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autoCompressPictures="0"/>
  <mc:AlternateContent xmlns:mc="http://schemas.openxmlformats.org/markup-compatibility/2006">
    <mc:Choice Requires="x15">
      <x15ac:absPath xmlns:x15ac="http://schemas.microsoft.com/office/spreadsheetml/2010/11/ac" url="C:\Users\ZackB\Desktop\WFTDA\"/>
    </mc:Choice>
  </mc:AlternateContent>
  <xr:revisionPtr revIDLastSave="0" documentId="13_ncr:1_{27325AF3-A338-4752-A5C9-2CD915CA3D69}" xr6:coauthVersionLast="47" xr6:coauthVersionMax="47" xr10:uidLastSave="{00000000-0000-0000-0000-000000000000}"/>
  <bookViews>
    <workbookView xWindow="28680" yWindow="-120" windowWidth="38640" windowHeight="21240" tabRatio="855" activeTab="1"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Game Summary" sheetId="46" r:id="rId7"/>
    <sheet name="Penalty Summary" sheetId="33" r:id="rId8"/>
    <sheet name="OS Offset" sheetId="35" r:id="rId9"/>
    <sheet name="Penalty Box" sheetId="13" r:id="rId10"/>
    <sheet name="Rosters" sheetId="42" r:id="rId11"/>
    <sheet name="Game Clock" sheetId="11" r:id="rId12"/>
    <sheet name="LU" sheetId="17" r:id="rId13"/>
    <sheet name="PT" sheetId="34" r:id="rId14"/>
    <sheet name="SK" sheetId="15" r:id="rId15"/>
    <sheet name="Credits" sheetId="27" r:id="rId16"/>
    <sheet name="Colophon" sheetId="28" r:id="rId17"/>
  </sheets>
  <definedNames>
    <definedName name="_xlnm.Print_Area" localSheetId="11">'Game Clock'!$A$1:$J$102</definedName>
    <definedName name="_xlnm.Print_Area" localSheetId="6">'Game Summary'!$A$1:$AM$48</definedName>
    <definedName name="_xlnm.Print_Area" localSheetId="1">IGRF!$A$1:$M$90</definedName>
    <definedName name="_xlnm.Print_Area" localSheetId="4">Lineups!$A$1:$AZ$84</definedName>
    <definedName name="_xlnm.Print_Area" localSheetId="8">'OS Offset'!$A$1:$K$84</definedName>
    <definedName name="_xlnm.Print_Area" localSheetId="3">Penalties!$A$1:$BD$45</definedName>
    <definedName name="_xlnm.Print_Area" localSheetId="5">'Penalties-Lineups'!$A$1:$BR$88</definedName>
    <definedName name="_xlnm.Print_Area" localSheetId="9">'Penalty Box'!$A$1:$AH$86</definedName>
    <definedName name="_xlnm.Print_Area" localSheetId="7">'Penalty Summary'!$A$1:$X$58</definedName>
    <definedName name="_xlnm.Print_Area" localSheetId="0">'Read Me'!$A$1:$K$31</definedName>
    <definedName name="_xlnm.Print_Area" localSheetId="2">Score!$A$1:$AK$84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A1" i="20"/>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9" i="17"/>
  <c r="U108" i="17"/>
  <c r="U177" i="17"/>
  <c r="B9" i="17"/>
  <c r="B108" i="17"/>
  <c r="B177" i="17"/>
  <c r="U78" i="17"/>
  <c r="A28" i="46"/>
  <c r="A29" i="46"/>
  <c r="U10" i="17"/>
  <c r="A30" i="46"/>
  <c r="U11" i="17"/>
  <c r="A31" i="46"/>
  <c r="U12" i="17"/>
  <c r="A32" i="46"/>
  <c r="U13" i="17"/>
  <c r="A33" i="46"/>
  <c r="U14" i="17"/>
  <c r="A34" i="46"/>
  <c r="U15" i="17"/>
  <c r="A35" i="46"/>
  <c r="U16" i="17"/>
  <c r="A36" i="46"/>
  <c r="U17" i="17"/>
  <c r="A37" i="46"/>
  <c r="U18" i="17"/>
  <c r="A38" i="46"/>
  <c r="U19" i="17"/>
  <c r="A39" i="46"/>
  <c r="U20" i="17"/>
  <c r="A40" i="46"/>
  <c r="U21" i="17"/>
  <c r="A41" i="46"/>
  <c r="U22" i="17"/>
  <c r="A42" i="46"/>
  <c r="U23" i="17"/>
  <c r="A43" i="46"/>
  <c r="U24" i="17"/>
  <c r="A44" i="46"/>
  <c r="U25" i="17"/>
  <c r="A45" i="46"/>
  <c r="C45" i="46"/>
  <c r="N45" i="46"/>
  <c r="O45" i="46"/>
  <c r="A46" i="46"/>
  <c r="C46" i="46"/>
  <c r="N46" i="46"/>
  <c r="O46" i="46"/>
  <c r="A47" i="46"/>
  <c r="C47" i="46"/>
  <c r="N47" i="46"/>
  <c r="O47" i="46"/>
  <c r="D108" i="17"/>
  <c r="F108" i="17"/>
  <c r="B10" i="17"/>
  <c r="B109" i="17"/>
  <c r="D109" i="17"/>
  <c r="F109" i="17"/>
  <c r="B11" i="17"/>
  <c r="B110" i="17"/>
  <c r="D110" i="17"/>
  <c r="F110" i="17"/>
  <c r="B12" i="17"/>
  <c r="B111" i="17"/>
  <c r="D111" i="17"/>
  <c r="F111" i="17"/>
  <c r="B13" i="17"/>
  <c r="B112" i="17"/>
  <c r="D112" i="17"/>
  <c r="F112" i="17"/>
  <c r="B14" i="17"/>
  <c r="B113" i="17"/>
  <c r="D113" i="17"/>
  <c r="F113" i="17"/>
  <c r="B15" i="17"/>
  <c r="B114" i="17"/>
  <c r="D114" i="17"/>
  <c r="F114" i="17"/>
  <c r="B16" i="17"/>
  <c r="B115" i="17"/>
  <c r="D115" i="17"/>
  <c r="F115" i="17"/>
  <c r="B17" i="17"/>
  <c r="B116" i="17"/>
  <c r="D116" i="17"/>
  <c r="F116" i="17"/>
  <c r="B18" i="17"/>
  <c r="B117" i="17"/>
  <c r="D117" i="17"/>
  <c r="F117" i="17"/>
  <c r="B19" i="17"/>
  <c r="B118" i="17"/>
  <c r="D118" i="17"/>
  <c r="F118" i="17"/>
  <c r="B20" i="17"/>
  <c r="B119" i="17"/>
  <c r="D119" i="17"/>
  <c r="F119" i="17"/>
  <c r="B21" i="17"/>
  <c r="B120" i="17"/>
  <c r="D120" i="17"/>
  <c r="F120" i="17"/>
  <c r="B22" i="17"/>
  <c r="B121" i="17"/>
  <c r="D121" i="17"/>
  <c r="F121" i="17"/>
  <c r="B23" i="17"/>
  <c r="B122" i="17"/>
  <c r="D122" i="17"/>
  <c r="F122" i="17"/>
  <c r="B24" i="17"/>
  <c r="B123" i="17"/>
  <c r="D123" i="17"/>
  <c r="F123" i="17"/>
  <c r="B25" i="17"/>
  <c r="B124" i="17"/>
  <c r="D124" i="17"/>
  <c r="F124" i="17"/>
  <c r="B26" i="17"/>
  <c r="B125" i="17"/>
  <c r="Q125" i="17"/>
  <c r="B27" i="17"/>
  <c r="B126" i="17"/>
  <c r="Q126" i="17"/>
  <c r="B28" i="17"/>
  <c r="B127" i="17"/>
  <c r="Q127" i="17"/>
  <c r="W108" i="17"/>
  <c r="Y108" i="17"/>
  <c r="U109" i="17"/>
  <c r="W109" i="17"/>
  <c r="Y109" i="17"/>
  <c r="U110" i="17"/>
  <c r="W110" i="17"/>
  <c r="Y110" i="17"/>
  <c r="U111" i="17"/>
  <c r="W111" i="17"/>
  <c r="Y111" i="17"/>
  <c r="U112" i="17"/>
  <c r="W112" i="17"/>
  <c r="Y112" i="17"/>
  <c r="U113" i="17"/>
  <c r="W113" i="17"/>
  <c r="Y113" i="17"/>
  <c r="U114" i="17"/>
  <c r="W114" i="17"/>
  <c r="Y114" i="17"/>
  <c r="U115" i="17"/>
  <c r="W115" i="17"/>
  <c r="Y115" i="17"/>
  <c r="U116" i="17"/>
  <c r="W116" i="17"/>
  <c r="Y116" i="17"/>
  <c r="U117" i="17"/>
  <c r="W117" i="17"/>
  <c r="Y117" i="17"/>
  <c r="U118" i="17"/>
  <c r="W118" i="17"/>
  <c r="Y118" i="17"/>
  <c r="U119" i="17"/>
  <c r="W119" i="17"/>
  <c r="Y119" i="17"/>
  <c r="U120" i="17"/>
  <c r="W120" i="17"/>
  <c r="Y120" i="17"/>
  <c r="U121" i="17"/>
  <c r="W121" i="17"/>
  <c r="Y121" i="17"/>
  <c r="U122" i="17"/>
  <c r="W122" i="17"/>
  <c r="Y122" i="17"/>
  <c r="U123" i="17"/>
  <c r="W123" i="17"/>
  <c r="Y123" i="17"/>
  <c r="U124" i="17"/>
  <c r="W124" i="17"/>
  <c r="Y124" i="17"/>
  <c r="U26" i="17"/>
  <c r="U125" i="17"/>
  <c r="AJ125" i="17"/>
  <c r="U27" i="17"/>
  <c r="U126" i="17"/>
  <c r="AJ126" i="17"/>
  <c r="U28" i="17"/>
  <c r="U127" i="17"/>
  <c r="AJ127" i="17"/>
  <c r="W9" i="17"/>
  <c r="Y9" i="17"/>
  <c r="W10" i="17"/>
  <c r="Y10" i="17"/>
  <c r="W11" i="17"/>
  <c r="Y11" i="17"/>
  <c r="W12" i="17"/>
  <c r="Y12" i="17"/>
  <c r="W13" i="17"/>
  <c r="Y13" i="17"/>
  <c r="W14" i="17"/>
  <c r="Y14" i="17"/>
  <c r="W15" i="17"/>
  <c r="Y15" i="17"/>
  <c r="W16" i="17"/>
  <c r="Y16" i="17"/>
  <c r="W17" i="17"/>
  <c r="Y17" i="17"/>
  <c r="W18" i="17"/>
  <c r="Y18" i="17"/>
  <c r="W19" i="17"/>
  <c r="Y19" i="17"/>
  <c r="W20" i="17"/>
  <c r="Y20" i="17"/>
  <c r="W21" i="17"/>
  <c r="Y21" i="17"/>
  <c r="W22" i="17"/>
  <c r="Y22" i="17"/>
  <c r="W23" i="17"/>
  <c r="Y23" i="17"/>
  <c r="W24" i="17"/>
  <c r="Y24" i="17"/>
  <c r="W25" i="17"/>
  <c r="Y25" i="17"/>
  <c r="AJ26" i="17"/>
  <c r="AJ27" i="17"/>
  <c r="AJ28" i="17"/>
  <c r="D9" i="17"/>
  <c r="F9" i="17"/>
  <c r="D10" i="17"/>
  <c r="F10" i="17"/>
  <c r="D11" i="17"/>
  <c r="F11" i="17"/>
  <c r="D12" i="17"/>
  <c r="F12" i="17"/>
  <c r="D13" i="17"/>
  <c r="F13" i="17"/>
  <c r="D14" i="17"/>
  <c r="F14" i="17"/>
  <c r="D15" i="17"/>
  <c r="F15" i="17"/>
  <c r="D16" i="17"/>
  <c r="F16" i="17"/>
  <c r="D17" i="17"/>
  <c r="F17" i="17"/>
  <c r="D18" i="17"/>
  <c r="F18" i="17"/>
  <c r="D19" i="17"/>
  <c r="F19" i="17"/>
  <c r="D20" i="17"/>
  <c r="F20" i="17"/>
  <c r="D21" i="17"/>
  <c r="F21" i="17"/>
  <c r="D22" i="17"/>
  <c r="F22" i="17"/>
  <c r="D23" i="17"/>
  <c r="F23" i="17"/>
  <c r="D24" i="17"/>
  <c r="F24" i="17"/>
  <c r="D25" i="17"/>
  <c r="F25" i="17"/>
  <c r="Q26" i="17"/>
  <c r="Q27" i="17"/>
  <c r="Q28" i="17"/>
  <c r="A7" i="46"/>
  <c r="A8" i="46"/>
  <c r="A9" i="46"/>
  <c r="A10" i="46"/>
  <c r="A11" i="46"/>
  <c r="A12" i="46"/>
  <c r="A13" i="46"/>
  <c r="A14" i="46"/>
  <c r="A15" i="46"/>
  <c r="A16" i="46"/>
  <c r="A17" i="46"/>
  <c r="A18" i="46"/>
  <c r="A19" i="46"/>
  <c r="A20" i="46"/>
  <c r="A21" i="46"/>
  <c r="A22" i="46"/>
  <c r="A23" i="46"/>
  <c r="C23" i="46"/>
  <c r="N23" i="46"/>
  <c r="O23" i="46"/>
  <c r="A24" i="46"/>
  <c r="C24" i="46"/>
  <c r="N24" i="46"/>
  <c r="O24" i="46"/>
  <c r="A25" i="46"/>
  <c r="C25" i="46"/>
  <c r="N25" i="46"/>
  <c r="O25" i="46"/>
  <c r="A6" i="46"/>
  <c r="U178" i="17"/>
  <c r="U179" i="17"/>
  <c r="U180" i="17"/>
  <c r="U181" i="17"/>
  <c r="U182" i="17"/>
  <c r="U183" i="17"/>
  <c r="U184" i="17"/>
  <c r="U185" i="17"/>
  <c r="U186" i="17"/>
  <c r="U187" i="17"/>
  <c r="U188" i="17"/>
  <c r="U189" i="17"/>
  <c r="U190" i="17"/>
  <c r="U191" i="17"/>
  <c r="U192" i="17"/>
  <c r="U193" i="17"/>
  <c r="U194" i="17"/>
  <c r="W194" i="17"/>
  <c r="U195" i="17"/>
  <c r="W195" i="17"/>
  <c r="U196" i="17"/>
  <c r="W196" i="17"/>
  <c r="B178" i="17"/>
  <c r="B179" i="17"/>
  <c r="B180" i="17"/>
  <c r="B181" i="17"/>
  <c r="B182" i="17"/>
  <c r="B183" i="17"/>
  <c r="B184" i="17"/>
  <c r="B185" i="17"/>
  <c r="B186" i="17"/>
  <c r="B187" i="17"/>
  <c r="B188" i="17"/>
  <c r="B189" i="17"/>
  <c r="B190" i="17"/>
  <c r="B191" i="17"/>
  <c r="B192" i="17"/>
  <c r="B193" i="17"/>
  <c r="B194" i="17"/>
  <c r="D194" i="17"/>
  <c r="B195" i="17"/>
  <c r="D195" i="17"/>
  <c r="B196" i="17"/>
  <c r="D196" i="17"/>
  <c r="U79" i="17"/>
  <c r="U80" i="17"/>
  <c r="U81" i="17"/>
  <c r="U82" i="17"/>
  <c r="U83" i="17"/>
  <c r="U84" i="17"/>
  <c r="U85" i="17"/>
  <c r="U86" i="17"/>
  <c r="U87" i="17"/>
  <c r="U88" i="17"/>
  <c r="U89" i="17"/>
  <c r="U90" i="17"/>
  <c r="U91" i="17"/>
  <c r="U92" i="17"/>
  <c r="U93" i="17"/>
  <c r="U94" i="17"/>
  <c r="U95" i="17"/>
  <c r="W95" i="17"/>
  <c r="U96" i="17"/>
  <c r="W96" i="17"/>
  <c r="U97" i="17"/>
  <c r="W97" i="17"/>
  <c r="B81" i="17"/>
  <c r="B82" i="17"/>
  <c r="B83" i="17"/>
  <c r="B84" i="17"/>
  <c r="B85" i="17"/>
  <c r="B86" i="17"/>
  <c r="B87" i="17"/>
  <c r="B88" i="17"/>
  <c r="B89" i="17"/>
  <c r="B90" i="17"/>
  <c r="B91" i="17"/>
  <c r="B92" i="17"/>
  <c r="B93" i="17"/>
  <c r="B94" i="17"/>
  <c r="B95" i="17"/>
  <c r="D95" i="17"/>
  <c r="B96" i="17"/>
  <c r="D96" i="17"/>
  <c r="B97" i="17"/>
  <c r="D97" i="17"/>
  <c r="B79" i="17"/>
  <c r="B80" i="17"/>
  <c r="B78" i="17"/>
  <c r="Y194" i="17"/>
  <c r="Y195" i="17"/>
  <c r="Y196" i="17"/>
  <c r="F194" i="17"/>
  <c r="F195" i="17"/>
  <c r="F196" i="17"/>
  <c r="Y95" i="17"/>
  <c r="Y96" i="17"/>
  <c r="Y97" i="17"/>
  <c r="F95" i="17"/>
  <c r="F96" i="17"/>
  <c r="F97" i="17"/>
  <c r="AB194" i="17"/>
  <c r="AB195" i="17"/>
  <c r="AB196" i="17"/>
  <c r="AA194" i="17"/>
  <c r="AA195" i="17"/>
  <c r="AA196" i="17"/>
  <c r="Z194" i="17"/>
  <c r="Z195" i="17"/>
  <c r="Z196" i="17"/>
  <c r="I194" i="17"/>
  <c r="I195" i="17"/>
  <c r="I196" i="17"/>
  <c r="H194" i="17"/>
  <c r="H195" i="17"/>
  <c r="H196" i="17"/>
  <c r="G194" i="17"/>
  <c r="G195" i="17"/>
  <c r="G196" i="17"/>
  <c r="AB95" i="17"/>
  <c r="AB96" i="17"/>
  <c r="AB97" i="17"/>
  <c r="AA95" i="17"/>
  <c r="AA96" i="17"/>
  <c r="AA97" i="17"/>
  <c r="Z95" i="17"/>
  <c r="Z96" i="17"/>
  <c r="Z97" i="17"/>
  <c r="I95" i="17"/>
  <c r="I96" i="17"/>
  <c r="I97" i="17"/>
  <c r="H95" i="17"/>
  <c r="H96" i="17"/>
  <c r="H97" i="17"/>
  <c r="G95" i="17"/>
  <c r="G96" i="17"/>
  <c r="G97" i="17"/>
  <c r="AH194" i="17"/>
  <c r="AH195" i="17"/>
  <c r="AH196" i="17"/>
  <c r="O194" i="17"/>
  <c r="O195" i="17"/>
  <c r="O196" i="17"/>
  <c r="AH95" i="17"/>
  <c r="AH96" i="17"/>
  <c r="AH97" i="17"/>
  <c r="O95"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Y1" i="13"/>
  <c r="Y44" i="13"/>
  <c r="Q6" i="13"/>
  <c r="A89" i="2"/>
  <c r="U150" i="17"/>
  <c r="U148" i="17"/>
  <c r="U146" i="17"/>
  <c r="A84" i="20"/>
  <c r="T84" i="20"/>
  <c r="D102" i="17"/>
  <c r="W102" i="17"/>
  <c r="U144" i="17"/>
  <c r="U142" i="17"/>
  <c r="U164" i="17"/>
  <c r="U59" i="17"/>
  <c r="U133" i="17"/>
  <c r="H1" i="13"/>
  <c r="H44" i="13"/>
  <c r="E2" i="11"/>
  <c r="E53" i="11"/>
  <c r="E1" i="11"/>
  <c r="E52" i="11"/>
  <c r="Z1" i="32"/>
  <c r="BB1" i="32"/>
  <c r="I1" i="32"/>
  <c r="AK1" i="32"/>
  <c r="AB1" i="20"/>
  <c r="AB43" i="20"/>
  <c r="I1" i="20"/>
  <c r="I43" i="20"/>
  <c r="AJ46" i="20"/>
  <c r="T42" i="20"/>
  <c r="AJ4" i="20"/>
  <c r="AK4" i="20"/>
  <c r="AJ5" i="20"/>
  <c r="AK5" i="20"/>
  <c r="AJ6" i="20"/>
  <c r="AK6" i="20"/>
  <c r="AJ7" i="20"/>
  <c r="AK7" i="20"/>
  <c r="AJ8" i="20"/>
  <c r="AK8" i="20"/>
  <c r="AJ9" i="20"/>
  <c r="AK9" i="20"/>
  <c r="AJ10" i="20"/>
  <c r="AK10" i="20"/>
  <c r="AJ11" i="20"/>
  <c r="AK11" i="20"/>
  <c r="AJ12" i="20"/>
  <c r="AK12" i="20"/>
  <c r="AJ13" i="20"/>
  <c r="AK13" i="20"/>
  <c r="AJ14" i="20"/>
  <c r="AK14" i="20"/>
  <c r="AJ15" i="20"/>
  <c r="AK15" i="20"/>
  <c r="AJ16" i="20"/>
  <c r="AK16" i="20"/>
  <c r="AJ17" i="20"/>
  <c r="AK17" i="20"/>
  <c r="AJ18" i="20"/>
  <c r="AK18" i="20"/>
  <c r="AJ19" i="20"/>
  <c r="AK19" i="20"/>
  <c r="AJ20" i="20"/>
  <c r="AK20" i="20"/>
  <c r="AJ21" i="20"/>
  <c r="AK21" i="20"/>
  <c r="AJ22" i="20"/>
  <c r="AK22" i="20"/>
  <c r="AJ23" i="20"/>
  <c r="AK23" i="20"/>
  <c r="AJ24" i="20"/>
  <c r="AK24" i="20"/>
  <c r="AJ25" i="20"/>
  <c r="AK25" i="20"/>
  <c r="AJ26" i="20"/>
  <c r="AK26" i="20"/>
  <c r="AJ27" i="20"/>
  <c r="AK27" i="20"/>
  <c r="AJ28" i="20"/>
  <c r="AK28" i="20"/>
  <c r="AJ29" i="20"/>
  <c r="AK29" i="20"/>
  <c r="AJ30" i="20"/>
  <c r="AK30" i="20"/>
  <c r="AJ31" i="20"/>
  <c r="AK31" i="20"/>
  <c r="AJ32" i="20"/>
  <c r="AK32" i="20"/>
  <c r="AJ33" i="20"/>
  <c r="AK33" i="20"/>
  <c r="AJ34" i="20"/>
  <c r="AK34" i="20"/>
  <c r="AJ35" i="20"/>
  <c r="AK35" i="20"/>
  <c r="AJ36" i="20"/>
  <c r="AK36" i="20"/>
  <c r="AJ37" i="20"/>
  <c r="AK37" i="20"/>
  <c r="AJ38" i="20"/>
  <c r="AK38" i="20"/>
  <c r="AJ39" i="20"/>
  <c r="AK39" i="20"/>
  <c r="AJ40" i="20"/>
  <c r="AK40" i="20"/>
  <c r="AJ41" i="20"/>
  <c r="AK41" i="20"/>
  <c r="AK42" i="20"/>
  <c r="AK45"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J69" i="20"/>
  <c r="AK69" i="20"/>
  <c r="AJ70" i="20"/>
  <c r="AK70" i="20"/>
  <c r="AJ71" i="20"/>
  <c r="AK71" i="20"/>
  <c r="AJ72" i="20"/>
  <c r="AK72" i="20"/>
  <c r="AJ73" i="20"/>
  <c r="AK73" i="20"/>
  <c r="AJ74" i="20"/>
  <c r="AK74" i="20"/>
  <c r="AJ75" i="20"/>
  <c r="AK75" i="20"/>
  <c r="AJ76" i="20"/>
  <c r="AK76" i="20"/>
  <c r="AJ77" i="20"/>
  <c r="AK77" i="20"/>
  <c r="AJ78" i="20"/>
  <c r="AK78" i="20"/>
  <c r="AJ79" i="20"/>
  <c r="AK79" i="20"/>
  <c r="AJ80" i="20"/>
  <c r="AK80" i="20"/>
  <c r="AJ81" i="20"/>
  <c r="AK81" i="20"/>
  <c r="AJ82" i="20"/>
  <c r="AK82" i="20"/>
  <c r="AJ83" i="20"/>
  <c r="AK83" i="20"/>
  <c r="AK84" i="20"/>
  <c r="J36" i="2"/>
  <c r="J37" i="2"/>
  <c r="Q46" i="20"/>
  <c r="A42" i="20"/>
  <c r="Q4" i="20"/>
  <c r="R4" i="20"/>
  <c r="Q5" i="20"/>
  <c r="R5" i="20"/>
  <c r="Q6" i="20"/>
  <c r="R6" i="20"/>
  <c r="Q7" i="20"/>
  <c r="R7" i="20"/>
  <c r="Q8" i="20"/>
  <c r="R8" i="20"/>
  <c r="Q9" i="20"/>
  <c r="R9" i="20"/>
  <c r="Q10" i="20"/>
  <c r="R10" i="20"/>
  <c r="Q11" i="20"/>
  <c r="R11" i="20"/>
  <c r="Q12" i="20"/>
  <c r="R12" i="20"/>
  <c r="Q13" i="20"/>
  <c r="R13" i="20"/>
  <c r="Q14" i="20"/>
  <c r="R14" i="20"/>
  <c r="Q15" i="20"/>
  <c r="R15" i="20"/>
  <c r="Q16" i="20"/>
  <c r="R16" i="20"/>
  <c r="Q17" i="20"/>
  <c r="R17" i="20"/>
  <c r="Q18" i="20"/>
  <c r="R18" i="20"/>
  <c r="Q19" i="20"/>
  <c r="R19" i="20"/>
  <c r="Q20" i="20"/>
  <c r="R20" i="20"/>
  <c r="Q21" i="20"/>
  <c r="R21" i="20"/>
  <c r="Q22" i="20"/>
  <c r="R22" i="20"/>
  <c r="Q23" i="20"/>
  <c r="R23" i="20"/>
  <c r="Q24" i="20"/>
  <c r="R24" i="20"/>
  <c r="Q25" i="20"/>
  <c r="R25" i="20"/>
  <c r="Q26" i="20"/>
  <c r="R26" i="20"/>
  <c r="Q27" i="20"/>
  <c r="R27" i="20"/>
  <c r="Q28" i="20"/>
  <c r="R28" i="20"/>
  <c r="Q29" i="20"/>
  <c r="R29" i="20"/>
  <c r="Q30" i="20"/>
  <c r="R30" i="20"/>
  <c r="Q31" i="20"/>
  <c r="R31" i="20"/>
  <c r="Q32" i="20"/>
  <c r="R32" i="20"/>
  <c r="Q33" i="20"/>
  <c r="R33" i="20"/>
  <c r="Q34" i="20"/>
  <c r="R34" i="20"/>
  <c r="Q35" i="20"/>
  <c r="R35" i="20"/>
  <c r="Q36" i="20"/>
  <c r="R36" i="20"/>
  <c r="Q37" i="20"/>
  <c r="R37" i="20"/>
  <c r="Q38" i="20"/>
  <c r="R38" i="20"/>
  <c r="Q39" i="20"/>
  <c r="R39" i="20"/>
  <c r="Q40" i="20"/>
  <c r="R40" i="20"/>
  <c r="Q41" i="20"/>
  <c r="R41" i="20"/>
  <c r="R42" i="20"/>
  <c r="R45"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Q69" i="20"/>
  <c r="R69" i="20"/>
  <c r="Q70" i="20"/>
  <c r="R70" i="20"/>
  <c r="Q71" i="20"/>
  <c r="R71" i="20"/>
  <c r="Q72" i="20"/>
  <c r="R72" i="20"/>
  <c r="Q73" i="20"/>
  <c r="R73" i="20"/>
  <c r="Q74" i="20"/>
  <c r="R74" i="20"/>
  <c r="Q75" i="20"/>
  <c r="R75" i="20"/>
  <c r="Q76" i="20"/>
  <c r="R76" i="20"/>
  <c r="Q77" i="20"/>
  <c r="R77" i="20"/>
  <c r="Q78" i="20"/>
  <c r="R78" i="20"/>
  <c r="Q79" i="20"/>
  <c r="R79" i="20"/>
  <c r="Q80" i="20"/>
  <c r="R80" i="20"/>
  <c r="Q81" i="20"/>
  <c r="R81" i="20"/>
  <c r="Q82" i="20"/>
  <c r="R82" i="20"/>
  <c r="Q83" i="20"/>
  <c r="R83" i="20"/>
  <c r="R84" i="20"/>
  <c r="C36" i="2"/>
  <c r="C37" i="2"/>
  <c r="Y42" i="20"/>
  <c r="E42"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27" i="17"/>
  <c r="Y28" i="17"/>
  <c r="B62" i="17"/>
  <c r="B68" i="17"/>
  <c r="B73" i="17"/>
  <c r="A90" i="15"/>
  <c r="B88" i="15"/>
  <c r="B3" i="15"/>
  <c r="A11" i="11"/>
  <c r="A5" i="15"/>
  <c r="B5" i="15"/>
  <c r="A12" i="11"/>
  <c r="A7" i="15"/>
  <c r="A9" i="15"/>
  <c r="A11" i="15"/>
  <c r="A13" i="15"/>
  <c r="A15" i="15"/>
  <c r="B9" i="15"/>
  <c r="A14" i="11"/>
  <c r="I14" i="11"/>
  <c r="B11" i="15"/>
  <c r="A15" i="11"/>
  <c r="AA47" i="31"/>
  <c r="R88" i="15"/>
  <c r="S1" i="15"/>
  <c r="T1" i="15"/>
  <c r="Q90" i="15"/>
  <c r="R90" i="15"/>
  <c r="Q92" i="15"/>
  <c r="R92" i="15"/>
  <c r="Q94" i="15"/>
  <c r="R94" i="15"/>
  <c r="Q96" i="15"/>
  <c r="R96" i="15"/>
  <c r="Q98" i="15"/>
  <c r="R98" i="15"/>
  <c r="Q100" i="15"/>
  <c r="R100" i="15"/>
  <c r="Q102" i="15"/>
  <c r="R102" i="15"/>
  <c r="Q104" i="15"/>
  <c r="R104" i="15"/>
  <c r="Q106" i="15"/>
  <c r="R106" i="15"/>
  <c r="Q108" i="15"/>
  <c r="R108" i="15"/>
  <c r="Q110" i="15"/>
  <c r="R110" i="15"/>
  <c r="Q112" i="15"/>
  <c r="R112" i="15"/>
  <c r="Q114" i="15"/>
  <c r="R114" i="15"/>
  <c r="Q116" i="15"/>
  <c r="R116" i="15"/>
  <c r="Q118" i="15"/>
  <c r="R118" i="15"/>
  <c r="Q120" i="15"/>
  <c r="R120" i="15"/>
  <c r="R121" i="15"/>
  <c r="Q122" i="15"/>
  <c r="R122" i="15"/>
  <c r="R123" i="15"/>
  <c r="AA123" i="15" s="1"/>
  <c r="Q124" i="15"/>
  <c r="R124" i="15"/>
  <c r="R125" i="15"/>
  <c r="AB125" i="15" s="1"/>
  <c r="Q126" i="15"/>
  <c r="R126" i="15"/>
  <c r="R127" i="15"/>
  <c r="Q128" i="15"/>
  <c r="R128" i="15"/>
  <c r="R129" i="15"/>
  <c r="Q130" i="15"/>
  <c r="R130" i="15"/>
  <c r="R131" i="15"/>
  <c r="Q132" i="15"/>
  <c r="R132" i="15"/>
  <c r="R133" i="15"/>
  <c r="T133" i="15" s="1"/>
  <c r="Q134" i="15"/>
  <c r="R134" i="15"/>
  <c r="R135" i="15"/>
  <c r="S135" i="15" s="1"/>
  <c r="Q136" i="15"/>
  <c r="R136" i="15"/>
  <c r="R137" i="15"/>
  <c r="Q138" i="15"/>
  <c r="R138" i="15"/>
  <c r="R139" i="15"/>
  <c r="T139" i="15" s="1"/>
  <c r="Q140" i="15"/>
  <c r="R140" i="15"/>
  <c r="R141" i="15"/>
  <c r="AB141" i="15" s="1"/>
  <c r="Q142" i="15"/>
  <c r="R142" i="15"/>
  <c r="R143" i="15"/>
  <c r="Q144" i="15"/>
  <c r="R144" i="15"/>
  <c r="R145" i="15"/>
  <c r="Q146" i="15"/>
  <c r="R146" i="15"/>
  <c r="R147" i="15"/>
  <c r="Q148" i="15"/>
  <c r="R148" i="15"/>
  <c r="R149" i="15"/>
  <c r="T149" i="15" s="1"/>
  <c r="Q150" i="15"/>
  <c r="R150" i="15"/>
  <c r="R151" i="15"/>
  <c r="S151" i="15" s="1"/>
  <c r="Q152" i="15"/>
  <c r="R152" i="15"/>
  <c r="R153" i="15"/>
  <c r="Q154" i="15"/>
  <c r="R154" i="15"/>
  <c r="R155" i="15"/>
  <c r="AC155" i="15" s="1"/>
  <c r="Q156" i="15"/>
  <c r="R156" i="15"/>
  <c r="R157" i="15"/>
  <c r="AB157" i="15" s="1"/>
  <c r="Q158" i="15"/>
  <c r="R158" i="15"/>
  <c r="R159" i="15"/>
  <c r="Q160" i="15"/>
  <c r="R160" i="15"/>
  <c r="R161" i="15"/>
  <c r="Q162" i="15"/>
  <c r="R162" i="15"/>
  <c r="R163" i="15"/>
  <c r="T120" i="15"/>
  <c r="T121" i="15"/>
  <c r="T122" i="15"/>
  <c r="T123" i="15"/>
  <c r="T124" i="15"/>
  <c r="T126" i="15"/>
  <c r="T127" i="15"/>
  <c r="T128" i="15"/>
  <c r="T129" i="15"/>
  <c r="T130" i="15"/>
  <c r="T131" i="15"/>
  <c r="T132" i="15"/>
  <c r="T134" i="15"/>
  <c r="T135" i="15"/>
  <c r="T136" i="15"/>
  <c r="T137" i="15"/>
  <c r="T138" i="15"/>
  <c r="T140" i="15"/>
  <c r="T142" i="15"/>
  <c r="T143" i="15"/>
  <c r="T144" i="15"/>
  <c r="T145" i="15"/>
  <c r="T146" i="15"/>
  <c r="T147" i="15"/>
  <c r="T148" i="15"/>
  <c r="T150" i="15"/>
  <c r="T151" i="15"/>
  <c r="T152" i="15"/>
  <c r="T153" i="15"/>
  <c r="T154" i="15"/>
  <c r="T156" i="15"/>
  <c r="T158" i="15"/>
  <c r="T159" i="15"/>
  <c r="T160" i="15"/>
  <c r="T161" i="15"/>
  <c r="T162" i="15"/>
  <c r="T163" i="15"/>
  <c r="AA48" i="31"/>
  <c r="AA49" i="31"/>
  <c r="AA50" i="31"/>
  <c r="AA51" i="31"/>
  <c r="AA52" i="31"/>
  <c r="AA53" i="31"/>
  <c r="AA54" i="31"/>
  <c r="AA55" i="31"/>
  <c r="AA56" i="31"/>
  <c r="AA57" i="31"/>
  <c r="AA58" i="31"/>
  <c r="AA59" i="31"/>
  <c r="AA60" i="31"/>
  <c r="AA61" i="31"/>
  <c r="AA62" i="31"/>
  <c r="AA63" i="31"/>
  <c r="AA64" i="31"/>
  <c r="AA65" i="31"/>
  <c r="AA66" i="31"/>
  <c r="AA67" i="31"/>
  <c r="AA68" i="31"/>
  <c r="AA69" i="31"/>
  <c r="AW69" i="31"/>
  <c r="AA70" i="31"/>
  <c r="AW70" i="31"/>
  <c r="AA71"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AA46" i="31"/>
  <c r="A47" i="31"/>
  <c r="C1" i="15"/>
  <c r="B90" i="15"/>
  <c r="A92" i="15"/>
  <c r="B92" i="15"/>
  <c r="A94" i="15"/>
  <c r="B94" i="15"/>
  <c r="A96" i="15"/>
  <c r="B96" i="15"/>
  <c r="A98" i="15"/>
  <c r="B98" i="15"/>
  <c r="A100" i="15"/>
  <c r="B100" i="15"/>
  <c r="A102" i="15"/>
  <c r="B102" i="15"/>
  <c r="A104" i="15"/>
  <c r="B104" i="15"/>
  <c r="A106" i="15"/>
  <c r="B106" i="15"/>
  <c r="A108" i="15"/>
  <c r="B108" i="15"/>
  <c r="A110" i="15"/>
  <c r="B110" i="15"/>
  <c r="A112" i="15"/>
  <c r="B112" i="15"/>
  <c r="A114" i="15"/>
  <c r="B114" i="15"/>
  <c r="A116" i="15"/>
  <c r="B116" i="15"/>
  <c r="A118" i="15"/>
  <c r="B118" i="15"/>
  <c r="A120" i="15"/>
  <c r="B120" i="15"/>
  <c r="B121" i="15"/>
  <c r="A122" i="15"/>
  <c r="B122" i="15"/>
  <c r="B123" i="15"/>
  <c r="J123" i="15" s="1"/>
  <c r="A124" i="15"/>
  <c r="B124" i="15"/>
  <c r="B125" i="15"/>
  <c r="C125" i="15" s="1"/>
  <c r="A126" i="15"/>
  <c r="B126" i="15"/>
  <c r="B127" i="15"/>
  <c r="A128" i="15"/>
  <c r="B128" i="15"/>
  <c r="B129" i="15"/>
  <c r="J129" i="15" s="1"/>
  <c r="A130" i="15"/>
  <c r="B130" i="15"/>
  <c r="B131" i="15"/>
  <c r="J131" i="15" s="1"/>
  <c r="A132" i="15"/>
  <c r="B132" i="15"/>
  <c r="B133" i="15"/>
  <c r="A134" i="15"/>
  <c r="B134" i="15"/>
  <c r="B135" i="15"/>
  <c r="A136" i="15"/>
  <c r="B136" i="15"/>
  <c r="B137" i="15"/>
  <c r="A138" i="15"/>
  <c r="B138" i="15"/>
  <c r="B139" i="15"/>
  <c r="J139" i="15" s="1"/>
  <c r="A140" i="15"/>
  <c r="B140" i="15"/>
  <c r="B141" i="15"/>
  <c r="C141" i="15" s="1"/>
  <c r="A142" i="15"/>
  <c r="B142" i="15"/>
  <c r="B143" i="15"/>
  <c r="A144" i="15"/>
  <c r="B144" i="15"/>
  <c r="B145" i="15"/>
  <c r="M145" i="15" s="1"/>
  <c r="A146" i="15"/>
  <c r="B146" i="15"/>
  <c r="B147" i="15"/>
  <c r="M147" i="15" s="1"/>
  <c r="A148" i="15"/>
  <c r="B148" i="15"/>
  <c r="B149" i="15"/>
  <c r="A150" i="15"/>
  <c r="B150" i="15"/>
  <c r="B151" i="15"/>
  <c r="A152" i="15"/>
  <c r="B152" i="15"/>
  <c r="B153" i="15"/>
  <c r="A154" i="15"/>
  <c r="B154" i="15"/>
  <c r="B155" i="15"/>
  <c r="M155" i="15" s="1"/>
  <c r="A156" i="15"/>
  <c r="B156" i="15"/>
  <c r="B157" i="15"/>
  <c r="C157" i="15" s="1"/>
  <c r="A158" i="15"/>
  <c r="B158" i="15"/>
  <c r="B159" i="15"/>
  <c r="A160" i="15"/>
  <c r="B160" i="15"/>
  <c r="B161" i="15"/>
  <c r="J161" i="15" s="1"/>
  <c r="A162" i="15"/>
  <c r="B162" i="15"/>
  <c r="B163" i="15"/>
  <c r="J163" i="15" s="1"/>
  <c r="D1" i="15"/>
  <c r="D120" i="15"/>
  <c r="D121" i="15"/>
  <c r="D122" i="15"/>
  <c r="D123" i="15"/>
  <c r="D124" i="15"/>
  <c r="D125" i="15"/>
  <c r="D126" i="15"/>
  <c r="D127" i="15"/>
  <c r="D128" i="15"/>
  <c r="D130" i="15"/>
  <c r="D132" i="15"/>
  <c r="D133" i="15"/>
  <c r="D134" i="15"/>
  <c r="D135" i="15"/>
  <c r="D136" i="15"/>
  <c r="D137" i="15"/>
  <c r="D138" i="15"/>
  <c r="D139" i="15"/>
  <c r="D140" i="15"/>
  <c r="D141" i="15"/>
  <c r="D142" i="15"/>
  <c r="D143" i="15"/>
  <c r="D144" i="15"/>
  <c r="D146" i="15"/>
  <c r="D148" i="15"/>
  <c r="D149" i="15"/>
  <c r="D150" i="15"/>
  <c r="D151" i="15"/>
  <c r="D152" i="15"/>
  <c r="D153" i="15"/>
  <c r="D154" i="15"/>
  <c r="D155" i="15"/>
  <c r="D156" i="15"/>
  <c r="D157" i="15"/>
  <c r="D158" i="15"/>
  <c r="D159" i="15"/>
  <c r="D160" i="15"/>
  <c r="D162" i="15"/>
  <c r="A48" i="31"/>
  <c r="A49" i="31"/>
  <c r="A50" i="31"/>
  <c r="A51" i="31"/>
  <c r="A52" i="31"/>
  <c r="A53" i="31"/>
  <c r="A54" i="31"/>
  <c r="A55" i="31"/>
  <c r="A56" i="31"/>
  <c r="A57" i="31"/>
  <c r="A58" i="31"/>
  <c r="A59" i="31"/>
  <c r="A60" i="31"/>
  <c r="A61" i="31"/>
  <c r="A62" i="31"/>
  <c r="A63" i="31"/>
  <c r="A64" i="31"/>
  <c r="A65" i="31"/>
  <c r="A66" i="31"/>
  <c r="A67" i="31"/>
  <c r="A68" i="31"/>
  <c r="A69" i="31"/>
  <c r="W69" i="31"/>
  <c r="A70"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A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R3" i="15"/>
  <c r="Q5" i="15"/>
  <c r="R5" i="15"/>
  <c r="Q7" i="15"/>
  <c r="R7" i="15"/>
  <c r="Q9" i="15"/>
  <c r="R9" i="15"/>
  <c r="Q11" i="15"/>
  <c r="R11" i="15"/>
  <c r="Q13" i="15"/>
  <c r="R13" i="15"/>
  <c r="Q15" i="15"/>
  <c r="R15" i="15"/>
  <c r="Q17" i="15"/>
  <c r="R17" i="15"/>
  <c r="Q19" i="15"/>
  <c r="R19" i="15"/>
  <c r="Q21" i="15"/>
  <c r="R21" i="15"/>
  <c r="Q23" i="15"/>
  <c r="R23" i="15"/>
  <c r="Q25" i="15"/>
  <c r="R25" i="15"/>
  <c r="Q27" i="15"/>
  <c r="R27" i="15"/>
  <c r="Q29" i="15"/>
  <c r="R29" i="15"/>
  <c r="Q31" i="15"/>
  <c r="R31" i="15"/>
  <c r="Q33" i="15"/>
  <c r="R33" i="15"/>
  <c r="Q35" i="15"/>
  <c r="R35" i="15"/>
  <c r="Q37" i="15"/>
  <c r="R37" i="15"/>
  <c r="Q39" i="15"/>
  <c r="R39" i="15"/>
  <c r="Q41" i="15"/>
  <c r="R41" i="15"/>
  <c r="Q43" i="15"/>
  <c r="R43" i="15"/>
  <c r="R44" i="15"/>
  <c r="T44" i="15" s="1"/>
  <c r="Q45" i="15"/>
  <c r="R45" i="15"/>
  <c r="R46" i="15"/>
  <c r="T46" i="15" s="1"/>
  <c r="Q47" i="15"/>
  <c r="R47" i="15"/>
  <c r="R48" i="15"/>
  <c r="Q49" i="15"/>
  <c r="R49" i="15"/>
  <c r="R50" i="15"/>
  <c r="AA50" i="15" s="1"/>
  <c r="Q51" i="15"/>
  <c r="R51" i="15"/>
  <c r="R52" i="15"/>
  <c r="T52" i="15" s="1"/>
  <c r="Q53" i="15"/>
  <c r="R53" i="15"/>
  <c r="R54" i="15"/>
  <c r="T54" i="15" s="1"/>
  <c r="Q55" i="15"/>
  <c r="R55" i="15"/>
  <c r="R56" i="15"/>
  <c r="Q57" i="15"/>
  <c r="R57" i="15"/>
  <c r="R58" i="15"/>
  <c r="Q59" i="15"/>
  <c r="R59" i="15"/>
  <c r="R60" i="15"/>
  <c r="T60" i="15" s="1"/>
  <c r="Q61" i="15"/>
  <c r="R61" i="15"/>
  <c r="R62" i="15"/>
  <c r="AC62" i="15" s="1"/>
  <c r="Q63" i="15"/>
  <c r="R63" i="15"/>
  <c r="R64" i="15"/>
  <c r="Q65" i="15"/>
  <c r="R65" i="15"/>
  <c r="R66" i="15"/>
  <c r="AC66" i="15" s="1"/>
  <c r="Q67" i="15"/>
  <c r="R67" i="15"/>
  <c r="R68" i="15"/>
  <c r="T68" i="15" s="1"/>
  <c r="Q69" i="15"/>
  <c r="R69" i="15"/>
  <c r="R70" i="15"/>
  <c r="Q71" i="15"/>
  <c r="R71" i="15"/>
  <c r="R72" i="15"/>
  <c r="Q73" i="15"/>
  <c r="R73" i="15"/>
  <c r="R74" i="15"/>
  <c r="Q75" i="15"/>
  <c r="R75" i="15"/>
  <c r="R76" i="15"/>
  <c r="T76" i="15" s="1"/>
  <c r="Q77" i="15"/>
  <c r="R77" i="15"/>
  <c r="R78" i="15"/>
  <c r="AB78" i="15" s="1"/>
  <c r="T43" i="15"/>
  <c r="T45" i="15"/>
  <c r="T47" i="15"/>
  <c r="T48" i="15"/>
  <c r="T49" i="15"/>
  <c r="T51" i="15"/>
  <c r="T53" i="15"/>
  <c r="T55" i="15"/>
  <c r="T56" i="15"/>
  <c r="T57" i="15"/>
  <c r="T58" i="15"/>
  <c r="T59" i="15"/>
  <c r="T61" i="15"/>
  <c r="T62" i="15"/>
  <c r="T63" i="15"/>
  <c r="T64" i="15"/>
  <c r="T65" i="15"/>
  <c r="T67" i="15"/>
  <c r="T69" i="15"/>
  <c r="T70" i="15"/>
  <c r="T71" i="15"/>
  <c r="T72" i="15"/>
  <c r="T73" i="15"/>
  <c r="T74" i="15"/>
  <c r="T75" i="15"/>
  <c r="T77" i="15"/>
  <c r="T78" i="15"/>
  <c r="A31" i="31"/>
  <c r="B7" i="15"/>
  <c r="B13" i="15"/>
  <c r="B15" i="15"/>
  <c r="A17" i="15"/>
  <c r="B17" i="15"/>
  <c r="A19" i="15"/>
  <c r="B19" i="15"/>
  <c r="A21" i="15"/>
  <c r="B21" i="15"/>
  <c r="A23" i="15"/>
  <c r="B23" i="15"/>
  <c r="A25" i="15"/>
  <c r="B25" i="15"/>
  <c r="A27" i="15"/>
  <c r="B27" i="15"/>
  <c r="A29" i="15"/>
  <c r="B29" i="15"/>
  <c r="A31" i="15"/>
  <c r="B31" i="15"/>
  <c r="A33" i="15"/>
  <c r="B33" i="15"/>
  <c r="A35" i="15"/>
  <c r="B35" i="15"/>
  <c r="A37" i="15"/>
  <c r="B37" i="15"/>
  <c r="A39" i="15"/>
  <c r="B39" i="15"/>
  <c r="A41" i="15"/>
  <c r="B41" i="15"/>
  <c r="A43" i="15"/>
  <c r="B43" i="15"/>
  <c r="B44" i="15"/>
  <c r="A45" i="15"/>
  <c r="B45" i="15"/>
  <c r="B46" i="15"/>
  <c r="A47" i="15"/>
  <c r="B47" i="15"/>
  <c r="B48" i="15"/>
  <c r="D48" i="15" s="1"/>
  <c r="A49" i="15"/>
  <c r="B49" i="15"/>
  <c r="B50" i="15"/>
  <c r="J50" i="15" s="1"/>
  <c r="A51" i="15"/>
  <c r="B51" i="15"/>
  <c r="B52" i="15"/>
  <c r="A53" i="15"/>
  <c r="B53" i="15"/>
  <c r="B54" i="15"/>
  <c r="C54" i="15" s="1"/>
  <c r="A55" i="15"/>
  <c r="B55" i="15"/>
  <c r="B56" i="15"/>
  <c r="D56" i="15" s="1"/>
  <c r="A57" i="15"/>
  <c r="B57" i="15"/>
  <c r="B58" i="15"/>
  <c r="A59" i="15"/>
  <c r="B59" i="15"/>
  <c r="B60" i="15"/>
  <c r="A61" i="15"/>
  <c r="B61" i="15"/>
  <c r="B62" i="15"/>
  <c r="A63" i="15"/>
  <c r="B63" i="15"/>
  <c r="B64" i="15"/>
  <c r="D64" i="15" s="1"/>
  <c r="A65" i="15"/>
  <c r="B65" i="15"/>
  <c r="B66" i="15"/>
  <c r="J66" i="15" s="1"/>
  <c r="A67" i="15"/>
  <c r="B67" i="15"/>
  <c r="B68" i="15"/>
  <c r="A69" i="15"/>
  <c r="B69" i="15"/>
  <c r="B70" i="15"/>
  <c r="C70" i="15" s="1"/>
  <c r="A71" i="15"/>
  <c r="B71" i="15"/>
  <c r="B72" i="15"/>
  <c r="D72" i="15" s="1"/>
  <c r="A73" i="15"/>
  <c r="B73" i="15"/>
  <c r="B74" i="15"/>
  <c r="A75" i="15"/>
  <c r="B75" i="15"/>
  <c r="B76" i="15"/>
  <c r="A77" i="15"/>
  <c r="B77" i="15"/>
  <c r="B78" i="15"/>
  <c r="D43" i="15"/>
  <c r="D44" i="15"/>
  <c r="D45" i="15"/>
  <c r="D46" i="15"/>
  <c r="D47" i="15"/>
  <c r="D49" i="15"/>
  <c r="D50" i="15"/>
  <c r="D51" i="15"/>
  <c r="D52" i="15"/>
  <c r="D53" i="15"/>
  <c r="D55" i="15"/>
  <c r="D57" i="15"/>
  <c r="D58" i="15"/>
  <c r="D59" i="15"/>
  <c r="D60" i="15"/>
  <c r="D61" i="15"/>
  <c r="D62" i="15"/>
  <c r="D63" i="15"/>
  <c r="D65" i="15"/>
  <c r="D67" i="15"/>
  <c r="D68" i="15"/>
  <c r="D69" i="15"/>
  <c r="D71" i="15"/>
  <c r="D73" i="15"/>
  <c r="D74" i="15"/>
  <c r="D75" i="15"/>
  <c r="D76" i="15"/>
  <c r="D77" i="15"/>
  <c r="D78" i="15"/>
  <c r="AA30" i="31"/>
  <c r="A30" i="31"/>
  <c r="AA29" i="31"/>
  <c r="A29" i="31"/>
  <c r="AA28" i="31"/>
  <c r="A28" i="31"/>
  <c r="AA27" i="31"/>
  <c r="A27" i="31"/>
  <c r="AA26" i="31"/>
  <c r="A26" i="31"/>
  <c r="AA25" i="31"/>
  <c r="A25" i="3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A4" i="31"/>
  <c r="X1" i="15"/>
  <c r="H1" i="15"/>
  <c r="U74" i="17"/>
  <c r="U70" i="17"/>
  <c r="U69" i="17"/>
  <c r="U66" i="17"/>
  <c r="U62" i="17"/>
  <c r="U61" i="17"/>
  <c r="U58" i="17"/>
  <c r="U168" i="17"/>
  <c r="U161" i="17"/>
  <c r="U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AN44" i="3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B55" i="17"/>
  <c r="AB1" i="15"/>
  <c r="N1" i="15"/>
  <c r="AY4" i="31"/>
  <c r="AY46" i="31"/>
  <c r="Z4" i="31"/>
  <c r="Z46" i="31"/>
  <c r="AZ4" i="31"/>
  <c r="AZ46"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C7" i="31"/>
  <c r="AC6" i="31"/>
  <c r="C6" i="31"/>
  <c r="AC5" i="31"/>
  <c r="C5"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90" i="2"/>
  <c r="AL74" i="20"/>
  <c r="AL75" i="20"/>
  <c r="AL76" i="20"/>
  <c r="AL77" i="20"/>
  <c r="AL78" i="20"/>
  <c r="AL79" i="20"/>
  <c r="AL80" i="20"/>
  <c r="AL81" i="20"/>
  <c r="S74" i="20"/>
  <c r="S75" i="20"/>
  <c r="S76" i="20"/>
  <c r="S77" i="20"/>
  <c r="S78" i="20"/>
  <c r="S79" i="20"/>
  <c r="S80" i="20"/>
  <c r="S81" i="20"/>
  <c r="S32" i="20"/>
  <c r="S33" i="20"/>
  <c r="S34" i="20"/>
  <c r="S35" i="20"/>
  <c r="S36" i="20"/>
  <c r="S37" i="20"/>
  <c r="S38" i="20"/>
  <c r="S39" i="20"/>
  <c r="AL32" i="20"/>
  <c r="AL33" i="20"/>
  <c r="AL34" i="20"/>
  <c r="AL35" i="20"/>
  <c r="AL36" i="20"/>
  <c r="AL37" i="20"/>
  <c r="AL38" i="20"/>
  <c r="AL39" i="20"/>
  <c r="AC1" i="15"/>
  <c r="AA1" i="15"/>
  <c r="Z1" i="15"/>
  <c r="W1" i="15"/>
  <c r="M1" i="15"/>
  <c r="L1" i="15"/>
  <c r="K1" i="15"/>
  <c r="J1" i="15"/>
  <c r="G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U47" i="17"/>
  <c r="U43" i="17"/>
  <c r="U33" i="17"/>
  <c r="B53" i="11"/>
  <c r="I12" i="11"/>
  <c r="X122" i="17"/>
  <c r="X118" i="17"/>
  <c r="X111" i="17"/>
  <c r="X114" i="17"/>
  <c r="X115" i="17"/>
  <c r="I15" i="11"/>
  <c r="AH111" i="17"/>
  <c r="AI111" i="17"/>
  <c r="AH115" i="17"/>
  <c r="AI115" i="17"/>
  <c r="AK126" i="17"/>
  <c r="B2" i="11"/>
  <c r="I7" i="11"/>
  <c r="I58" i="11"/>
  <c r="A31" i="33"/>
  <c r="O9" i="13"/>
  <c r="N10" i="13"/>
  <c r="O8" i="13"/>
  <c r="AE8" i="13"/>
  <c r="AF7" i="13"/>
  <c r="AF6" i="13"/>
  <c r="Q75" i="34"/>
  <c r="A17" i="11"/>
  <c r="AC72" i="34"/>
  <c r="A16" i="11"/>
  <c r="I57" i="34"/>
  <c r="A13" i="11"/>
  <c r="AA115" i="17"/>
  <c r="AB115" i="17"/>
  <c r="AB122" i="17"/>
  <c r="AA114" i="17"/>
  <c r="AA111" i="17"/>
  <c r="D31" i="46"/>
  <c r="O10" i="13"/>
  <c r="N11" i="13"/>
  <c r="O11" i="13"/>
  <c r="AH119" i="17"/>
  <c r="AB119" i="17"/>
  <c r="AA119" i="17"/>
  <c r="U165" i="17"/>
  <c r="X119" i="17"/>
  <c r="AI119" i="17"/>
  <c r="AB110" i="17"/>
  <c r="U156" i="17"/>
  <c r="AH110" i="17"/>
  <c r="AI110" i="17"/>
  <c r="AH121" i="17"/>
  <c r="AE9" i="13"/>
  <c r="AF8" i="13"/>
  <c r="W127" i="17"/>
  <c r="Z127" i="17"/>
  <c r="AA127" i="17"/>
  <c r="AB127" i="17"/>
  <c r="AH127" i="17"/>
  <c r="Y127" i="17"/>
  <c r="U173" i="17"/>
  <c r="Y173" i="17"/>
  <c r="X127" i="17"/>
  <c r="AI127" i="17"/>
  <c r="AK127" i="17"/>
  <c r="AF127" i="17"/>
  <c r="AD127" i="17"/>
  <c r="X125" i="17"/>
  <c r="AH123" i="17"/>
  <c r="AB123" i="17"/>
  <c r="AA123" i="17"/>
  <c r="U169" i="17"/>
  <c r="X123" i="17"/>
  <c r="AI123" i="17"/>
  <c r="A19" i="11"/>
  <c r="A20" i="11"/>
  <c r="N12" i="13"/>
  <c r="O12" i="13"/>
  <c r="A64" i="11"/>
  <c r="I64" i="11"/>
  <c r="N13" i="13"/>
  <c r="O13" i="13"/>
  <c r="A65" i="11"/>
  <c r="A68" i="11"/>
  <c r="I65" i="11"/>
  <c r="N14" i="13"/>
  <c r="O14" i="13"/>
  <c r="N15" i="13"/>
  <c r="O15" i="13"/>
  <c r="N16" i="13"/>
  <c r="O16" i="13"/>
  <c r="N17" i="13"/>
  <c r="N18" i="13"/>
  <c r="O17" i="13"/>
  <c r="AH57" i="34"/>
  <c r="F72" i="34"/>
  <c r="Y93" i="34"/>
  <c r="P72" i="34"/>
  <c r="V51" i="17"/>
  <c r="AE4" i="34"/>
  <c r="Z11" i="34"/>
  <c r="H35" i="34"/>
  <c r="D43" i="46"/>
  <c r="C155" i="17"/>
  <c r="V124" i="17"/>
  <c r="V147" i="17"/>
  <c r="W35" i="34"/>
  <c r="O27" i="34"/>
  <c r="D35" i="46"/>
  <c r="V63" i="17"/>
  <c r="B5" i="46"/>
  <c r="W31" i="46"/>
  <c r="X31" i="46"/>
  <c r="AH31" i="46"/>
  <c r="V42" i="20"/>
  <c r="AB20" i="17"/>
  <c r="V50" i="17"/>
  <c r="C86" i="17"/>
  <c r="C70" i="17"/>
  <c r="AB125" i="17"/>
  <c r="AB121" i="17"/>
  <c r="F64" i="34"/>
  <c r="L88" i="34"/>
  <c r="L89" i="34"/>
  <c r="K49" i="33"/>
  <c r="F73" i="34"/>
  <c r="AA89" i="34"/>
  <c r="U45" i="17"/>
  <c r="AA125" i="17"/>
  <c r="AA110" i="17"/>
  <c r="AB118" i="17"/>
  <c r="AH26" i="17"/>
  <c r="AK125" i="17"/>
  <c r="X110" i="17"/>
  <c r="AH114" i="17"/>
  <c r="AH118" i="17"/>
  <c r="AH126" i="17"/>
  <c r="AH85" i="34"/>
  <c r="AH73" i="34"/>
  <c r="R72" i="34"/>
  <c r="N92" i="34"/>
  <c r="AD126" i="17"/>
  <c r="AI118" i="17"/>
  <c r="AH122" i="17"/>
  <c r="AI122" i="17"/>
  <c r="AF126" i="17"/>
  <c r="U38" i="17"/>
  <c r="U160" i="17"/>
  <c r="U57" i="17"/>
  <c r="U65" i="17"/>
  <c r="U73" i="17"/>
  <c r="X72" i="34"/>
  <c r="G72" i="34"/>
  <c r="AD88" i="34"/>
  <c r="AI126" i="17"/>
  <c r="AI114" i="17"/>
  <c r="X126" i="17"/>
  <c r="U46" i="17"/>
  <c r="U50" i="17"/>
  <c r="U172" i="17"/>
  <c r="AH172" i="17"/>
  <c r="W27" i="17"/>
  <c r="M30" i="34"/>
  <c r="AD125" i="17"/>
  <c r="U171" i="17"/>
  <c r="Z171" i="17"/>
  <c r="Z125" i="17"/>
  <c r="X121" i="17"/>
  <c r="AA121" i="17"/>
  <c r="Z57" i="34"/>
  <c r="G73" i="34"/>
  <c r="X73" i="34"/>
  <c r="Z73" i="34"/>
  <c r="Q73" i="34"/>
  <c r="AB85" i="34"/>
  <c r="AI88" i="34"/>
  <c r="AB93" i="34"/>
  <c r="V74" i="17"/>
  <c r="V72" i="17"/>
  <c r="AF125" i="17"/>
  <c r="AH125" i="17"/>
  <c r="W125" i="17"/>
  <c r="AI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V84" i="17"/>
  <c r="C92" i="17"/>
  <c r="L37" i="34"/>
  <c r="E29" i="34"/>
  <c r="V81" i="17"/>
  <c r="C122" i="17"/>
  <c r="C145" i="17"/>
  <c r="C50" i="17"/>
  <c r="C73" i="17"/>
  <c r="C183" i="17"/>
  <c r="C61" i="17"/>
  <c r="V64" i="17"/>
  <c r="U49" i="17"/>
  <c r="C96" i="17"/>
  <c r="C45" i="17"/>
  <c r="C91" i="17"/>
  <c r="AI125" i="17"/>
  <c r="Y125" i="17"/>
  <c r="U167" i="17"/>
  <c r="N75" i="34"/>
  <c r="X74" i="34"/>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E66" i="34"/>
  <c r="P58" i="34"/>
  <c r="R79" i="34"/>
  <c r="AD58" i="34"/>
  <c r="P59" i="34"/>
  <c r="J74" i="34"/>
  <c r="AA59" i="34"/>
  <c r="G74" i="34"/>
  <c r="AB74" i="34"/>
  <c r="AH64" i="34"/>
  <c r="AE73" i="34"/>
  <c r="X87" i="34"/>
  <c r="Z95" i="34"/>
  <c r="X64" i="34"/>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AB18" i="17"/>
  <c r="W42" i="20"/>
  <c r="X42" i="20"/>
  <c r="AH28" i="17"/>
  <c r="Z42" i="20"/>
  <c r="D42" i="20"/>
  <c r="Z27" i="17"/>
  <c r="AB12" i="17"/>
  <c r="AB10" i="17"/>
  <c r="AA22" i="17"/>
  <c r="AA28" i="17"/>
  <c r="AA16" i="17"/>
  <c r="AB24" i="17"/>
  <c r="AA20" i="17"/>
  <c r="Z26" i="17"/>
  <c r="AB17" i="17"/>
  <c r="AA14" i="17"/>
  <c r="AB27" i="17"/>
  <c r="AB19" i="17"/>
  <c r="AB26" i="17"/>
  <c r="AA23" i="17"/>
  <c r="AB11" i="17"/>
  <c r="AA26" i="17"/>
  <c r="AB14" i="17"/>
  <c r="AB16" i="17"/>
  <c r="AA24" i="17"/>
  <c r="Z28" i="17"/>
  <c r="AA27" i="17"/>
  <c r="AB23" i="17"/>
  <c r="AA19" i="17"/>
  <c r="D3" i="17"/>
  <c r="E3" i="34"/>
  <c r="E4" i="34"/>
  <c r="D4" i="33"/>
  <c r="F3" i="34"/>
  <c r="F4" i="34"/>
  <c r="E4" i="33"/>
  <c r="G3" i="34"/>
  <c r="G4" i="34"/>
  <c r="F4" i="33"/>
  <c r="H3" i="34"/>
  <c r="H4" i="34"/>
  <c r="G4" i="33"/>
  <c r="I3" i="34"/>
  <c r="I4" i="34"/>
  <c r="H4" i="33"/>
  <c r="J3" i="34"/>
  <c r="J4" i="34"/>
  <c r="I4" i="33"/>
  <c r="K3" i="34"/>
  <c r="K4" i="34"/>
  <c r="J4" i="33"/>
  <c r="L3" i="34"/>
  <c r="L4" i="34"/>
  <c r="K4" i="33"/>
  <c r="M3" i="34"/>
  <c r="M4" i="34"/>
  <c r="L4" i="33"/>
  <c r="N3" i="34"/>
  <c r="N4" i="34"/>
  <c r="M4" i="33"/>
  <c r="O3" i="34"/>
  <c r="O4" i="34"/>
  <c r="N4" i="33"/>
  <c r="P4" i="34"/>
  <c r="O4" i="33"/>
  <c r="Q3" i="34"/>
  <c r="Q4" i="34"/>
  <c r="P4" i="33"/>
  <c r="R3" i="34"/>
  <c r="Q4" i="33"/>
  <c r="T4" i="33"/>
  <c r="E5" i="34"/>
  <c r="E6" i="34"/>
  <c r="D5" i="33"/>
  <c r="F5" i="34"/>
  <c r="F6" i="34"/>
  <c r="E5" i="33"/>
  <c r="G5" i="34"/>
  <c r="G6" i="34"/>
  <c r="F5" i="33"/>
  <c r="H5" i="34"/>
  <c r="H6" i="34"/>
  <c r="G5" i="33"/>
  <c r="I5" i="34"/>
  <c r="I6" i="34"/>
  <c r="H5" i="33"/>
  <c r="J5" i="34"/>
  <c r="J6" i="34"/>
  <c r="I5" i="33"/>
  <c r="K5" i="34"/>
  <c r="K6" i="34"/>
  <c r="J5" i="33"/>
  <c r="L5" i="34"/>
  <c r="L6" i="34"/>
  <c r="K5" i="33"/>
  <c r="M5" i="34"/>
  <c r="M6" i="34"/>
  <c r="L5" i="33"/>
  <c r="N5" i="34"/>
  <c r="N6" i="34"/>
  <c r="M5" i="33"/>
  <c r="O5" i="34"/>
  <c r="O6" i="34"/>
  <c r="N5" i="33"/>
  <c r="P5" i="34"/>
  <c r="P6" i="34"/>
  <c r="O5" i="33"/>
  <c r="Q5" i="34"/>
  <c r="Q6" i="34"/>
  <c r="P5" i="33"/>
  <c r="R5" i="34"/>
  <c r="Q5" i="33"/>
  <c r="T5" i="33"/>
  <c r="E7" i="34"/>
  <c r="E8" i="34"/>
  <c r="D6" i="33"/>
  <c r="F7" i="34"/>
  <c r="F8" i="34"/>
  <c r="E6" i="33"/>
  <c r="G7" i="34"/>
  <c r="G8" i="34"/>
  <c r="F6" i="33"/>
  <c r="H7" i="34"/>
  <c r="H8" i="34"/>
  <c r="G6" i="33"/>
  <c r="I7" i="34"/>
  <c r="I8" i="34"/>
  <c r="H6" i="33"/>
  <c r="J7" i="34"/>
  <c r="J8" i="34"/>
  <c r="I6" i="33"/>
  <c r="K7" i="34"/>
  <c r="K8" i="34"/>
  <c r="J6" i="33"/>
  <c r="L7" i="34"/>
  <c r="L8" i="34"/>
  <c r="K6" i="33"/>
  <c r="M7" i="34"/>
  <c r="M8" i="34"/>
  <c r="L6" i="33"/>
  <c r="N7" i="34"/>
  <c r="N8" i="34"/>
  <c r="M6" i="33"/>
  <c r="O7" i="34"/>
  <c r="O8" i="34"/>
  <c r="N6" i="33"/>
  <c r="P7" i="34"/>
  <c r="P8" i="34"/>
  <c r="O6" i="33"/>
  <c r="Q7" i="34"/>
  <c r="Q8" i="34"/>
  <c r="P6" i="33"/>
  <c r="R7" i="34"/>
  <c r="R8" i="34"/>
  <c r="Q6" i="33"/>
  <c r="T6" i="33"/>
  <c r="E9" i="34"/>
  <c r="E10" i="34"/>
  <c r="D7" i="33"/>
  <c r="F9" i="34"/>
  <c r="F10" i="34"/>
  <c r="E7" i="33"/>
  <c r="G9" i="34"/>
  <c r="G10" i="34"/>
  <c r="F7" i="33"/>
  <c r="H10" i="34"/>
  <c r="G7" i="33"/>
  <c r="I9" i="34"/>
  <c r="I10" i="34"/>
  <c r="H7" i="33"/>
  <c r="J9" i="34"/>
  <c r="J10" i="34"/>
  <c r="I7" i="33"/>
  <c r="K9" i="34"/>
  <c r="K10" i="34"/>
  <c r="J7" i="33"/>
  <c r="L9" i="34"/>
  <c r="L10" i="34"/>
  <c r="K7" i="33"/>
  <c r="M9" i="34"/>
  <c r="M10" i="34"/>
  <c r="L7" i="33"/>
  <c r="N9" i="34"/>
  <c r="N10" i="34"/>
  <c r="M7" i="33"/>
  <c r="O9" i="34"/>
  <c r="O10" i="34"/>
  <c r="N7" i="33"/>
  <c r="P9" i="34"/>
  <c r="P10" i="34"/>
  <c r="O7" i="33"/>
  <c r="Q9" i="34"/>
  <c r="Q10" i="34"/>
  <c r="P7" i="33"/>
  <c r="R9" i="34"/>
  <c r="R10" i="34"/>
  <c r="Q7" i="33"/>
  <c r="T7" i="33"/>
  <c r="E11" i="34"/>
  <c r="E12" i="34"/>
  <c r="D8" i="33"/>
  <c r="F11" i="34"/>
  <c r="F12" i="34"/>
  <c r="E8" i="33"/>
  <c r="G11" i="34"/>
  <c r="G12" i="34"/>
  <c r="F8" i="33"/>
  <c r="H11" i="34"/>
  <c r="H12" i="34"/>
  <c r="G8" i="33"/>
  <c r="I11" i="34"/>
  <c r="I12" i="34"/>
  <c r="H8" i="33"/>
  <c r="J11" i="34"/>
  <c r="J12" i="34"/>
  <c r="I8" i="33"/>
  <c r="K11" i="34"/>
  <c r="K12" i="34"/>
  <c r="J8" i="33"/>
  <c r="L11" i="34"/>
  <c r="L12" i="34"/>
  <c r="K8" i="33"/>
  <c r="M11" i="34"/>
  <c r="M12" i="34"/>
  <c r="L8" i="33"/>
  <c r="N11" i="34"/>
  <c r="N12" i="34"/>
  <c r="M8" i="33"/>
  <c r="O11" i="34"/>
  <c r="O12" i="34"/>
  <c r="N8" i="33"/>
  <c r="P11" i="34"/>
  <c r="P12" i="34"/>
  <c r="O8" i="33"/>
  <c r="Q11" i="34"/>
  <c r="Q12" i="34"/>
  <c r="P8" i="33"/>
  <c r="R11" i="34"/>
  <c r="R12" i="34"/>
  <c r="Q8" i="33"/>
  <c r="T8" i="33"/>
  <c r="E13" i="34"/>
  <c r="E14" i="34"/>
  <c r="D9" i="33"/>
  <c r="F13" i="34"/>
  <c r="F14" i="34"/>
  <c r="E9" i="33"/>
  <c r="G14" i="34"/>
  <c r="F9" i="33"/>
  <c r="H13" i="34"/>
  <c r="H14" i="34"/>
  <c r="G9" i="33"/>
  <c r="I13" i="34"/>
  <c r="I14" i="34"/>
  <c r="H9" i="33"/>
  <c r="J13" i="34"/>
  <c r="J14" i="34"/>
  <c r="I9" i="33"/>
  <c r="K13" i="34"/>
  <c r="K14" i="34"/>
  <c r="J9" i="33"/>
  <c r="L13" i="34"/>
  <c r="L14" i="34"/>
  <c r="K9" i="33"/>
  <c r="M13" i="34"/>
  <c r="L9" i="33"/>
  <c r="N13" i="34"/>
  <c r="N14" i="34"/>
  <c r="M9" i="33"/>
  <c r="O13" i="34"/>
  <c r="O14" i="34"/>
  <c r="N9" i="33"/>
  <c r="P13" i="34"/>
  <c r="P14" i="34"/>
  <c r="O9" i="33"/>
  <c r="Q13" i="34"/>
  <c r="Q14" i="34"/>
  <c r="P9" i="33"/>
  <c r="R13" i="34"/>
  <c r="R14" i="34"/>
  <c r="Q9" i="33"/>
  <c r="T9" i="33"/>
  <c r="E15" i="34"/>
  <c r="E16" i="34"/>
  <c r="D10" i="33"/>
  <c r="F15" i="34"/>
  <c r="F16" i="34"/>
  <c r="E10" i="33"/>
  <c r="G15" i="34"/>
  <c r="G16" i="34"/>
  <c r="F10" i="33"/>
  <c r="H15" i="34"/>
  <c r="H16" i="34"/>
  <c r="G10" i="33"/>
  <c r="I15" i="34"/>
  <c r="I16" i="34"/>
  <c r="H10" i="33"/>
  <c r="J15" i="34"/>
  <c r="J16" i="34"/>
  <c r="I10" i="33"/>
  <c r="K15" i="34"/>
  <c r="K16" i="34"/>
  <c r="J10" i="33"/>
  <c r="L15" i="34"/>
  <c r="L16" i="34"/>
  <c r="K10" i="33"/>
  <c r="M15" i="34"/>
  <c r="M16" i="34"/>
  <c r="L10" i="33"/>
  <c r="N16" i="34"/>
  <c r="M10" i="33"/>
  <c r="O15" i="34"/>
  <c r="O16" i="34"/>
  <c r="N10" i="33"/>
  <c r="P15" i="34"/>
  <c r="P16" i="34"/>
  <c r="O10" i="33"/>
  <c r="Q15" i="34"/>
  <c r="Q16" i="34"/>
  <c r="P10" i="33"/>
  <c r="R15" i="34"/>
  <c r="R16" i="34"/>
  <c r="Q10" i="33"/>
  <c r="T10" i="33"/>
  <c r="E17" i="34"/>
  <c r="E18" i="34"/>
  <c r="D11" i="33"/>
  <c r="F17" i="34"/>
  <c r="F18" i="34"/>
  <c r="E11" i="33"/>
  <c r="G17" i="34"/>
  <c r="G18" i="34"/>
  <c r="F11" i="33"/>
  <c r="H17" i="34"/>
  <c r="H18" i="34"/>
  <c r="G11" i="33"/>
  <c r="I17" i="34"/>
  <c r="I18" i="34"/>
  <c r="H11" i="33"/>
  <c r="J17" i="34"/>
  <c r="J18" i="34"/>
  <c r="I11" i="33"/>
  <c r="K17" i="34"/>
  <c r="K18" i="34"/>
  <c r="J11" i="33"/>
  <c r="L17" i="34"/>
  <c r="L18" i="34"/>
  <c r="K11" i="33"/>
  <c r="M17" i="34"/>
  <c r="M18" i="34"/>
  <c r="L11" i="33"/>
  <c r="N17" i="34"/>
  <c r="N18" i="34"/>
  <c r="M11" i="33"/>
  <c r="O17" i="34"/>
  <c r="O18" i="34"/>
  <c r="N11" i="33"/>
  <c r="P17" i="34"/>
  <c r="P18" i="34"/>
  <c r="O11" i="33"/>
  <c r="Q17" i="34"/>
  <c r="Q18" i="34"/>
  <c r="P11" i="33"/>
  <c r="R17" i="34"/>
  <c r="R18" i="34"/>
  <c r="Q11" i="33"/>
  <c r="T11" i="33"/>
  <c r="E19" i="34"/>
  <c r="E20" i="34"/>
  <c r="D12" i="33"/>
  <c r="F19" i="34"/>
  <c r="F20" i="34"/>
  <c r="E12" i="33"/>
  <c r="G19" i="34"/>
  <c r="G20" i="34"/>
  <c r="F12" i="33"/>
  <c r="H19" i="34"/>
  <c r="H20" i="34"/>
  <c r="G12" i="33"/>
  <c r="I19" i="34"/>
  <c r="I20" i="34"/>
  <c r="H12" i="33"/>
  <c r="J19" i="34"/>
  <c r="J20" i="34"/>
  <c r="I12" i="33"/>
  <c r="K19" i="34"/>
  <c r="K20" i="34"/>
  <c r="J12" i="33"/>
  <c r="L19" i="34"/>
  <c r="L20" i="34"/>
  <c r="K12" i="33"/>
  <c r="M19" i="34"/>
  <c r="M20" i="34"/>
  <c r="L12" i="33"/>
  <c r="N19" i="34"/>
  <c r="N20" i="34"/>
  <c r="M12" i="33"/>
  <c r="O19" i="34"/>
  <c r="O20" i="34"/>
  <c r="N12" i="33"/>
  <c r="P19" i="34"/>
  <c r="P20" i="34"/>
  <c r="O12" i="33"/>
  <c r="Q20" i="34"/>
  <c r="P12" i="33"/>
  <c r="R19" i="34"/>
  <c r="R20" i="34"/>
  <c r="Q12" i="33"/>
  <c r="T12" i="33"/>
  <c r="E21" i="34"/>
  <c r="E22" i="34"/>
  <c r="D13" i="33"/>
  <c r="F21" i="34"/>
  <c r="F22" i="34"/>
  <c r="E13" i="33"/>
  <c r="G21" i="34"/>
  <c r="G22" i="34"/>
  <c r="F13" i="33"/>
  <c r="H21" i="34"/>
  <c r="H22" i="34"/>
  <c r="G13" i="33"/>
  <c r="I21" i="34"/>
  <c r="I22" i="34"/>
  <c r="H13" i="33"/>
  <c r="J21" i="34"/>
  <c r="J22" i="34"/>
  <c r="I13" i="33"/>
  <c r="K21" i="34"/>
  <c r="K22" i="34"/>
  <c r="J13" i="33"/>
  <c r="L21" i="34"/>
  <c r="L22" i="34"/>
  <c r="K13" i="33"/>
  <c r="M21" i="34"/>
  <c r="M22" i="34"/>
  <c r="L13" i="33"/>
  <c r="N21" i="34"/>
  <c r="N22" i="34"/>
  <c r="M13" i="33"/>
  <c r="O21" i="34"/>
  <c r="O22" i="34"/>
  <c r="N13" i="33"/>
  <c r="P21" i="34"/>
  <c r="P22" i="34"/>
  <c r="O13" i="33"/>
  <c r="Q21" i="34"/>
  <c r="Q22" i="34"/>
  <c r="P13" i="33"/>
  <c r="R21" i="34"/>
  <c r="R22" i="34"/>
  <c r="Q13" i="33"/>
  <c r="T13" i="33"/>
  <c r="E23" i="34"/>
  <c r="E24" i="34"/>
  <c r="D14" i="33"/>
  <c r="F23" i="34"/>
  <c r="F24" i="34"/>
  <c r="E14" i="33"/>
  <c r="G23" i="34"/>
  <c r="G24" i="34"/>
  <c r="F14" i="33"/>
  <c r="H23" i="34"/>
  <c r="H24" i="34"/>
  <c r="G14" i="33"/>
  <c r="I23" i="34"/>
  <c r="I24" i="34"/>
  <c r="H14" i="33"/>
  <c r="J23" i="34"/>
  <c r="J24" i="34"/>
  <c r="I14" i="33"/>
  <c r="K23" i="34"/>
  <c r="K24" i="34"/>
  <c r="J14" i="33"/>
  <c r="L23" i="34"/>
  <c r="L24" i="34"/>
  <c r="K14" i="33"/>
  <c r="M23" i="34"/>
  <c r="M24" i="34"/>
  <c r="L14" i="33"/>
  <c r="N23" i="34"/>
  <c r="N24" i="34"/>
  <c r="M14" i="33"/>
  <c r="O23" i="34"/>
  <c r="O24" i="34"/>
  <c r="N14" i="33"/>
  <c r="P23" i="34"/>
  <c r="O14" i="33"/>
  <c r="Q23" i="34"/>
  <c r="Q24" i="34"/>
  <c r="P14" i="33"/>
  <c r="R23" i="34"/>
  <c r="R24" i="34"/>
  <c r="Q14" i="33"/>
  <c r="T14" i="33"/>
  <c r="E25" i="34"/>
  <c r="E26" i="34"/>
  <c r="D15" i="33"/>
  <c r="F25" i="34"/>
  <c r="F26" i="34"/>
  <c r="E15" i="33"/>
  <c r="G25" i="34"/>
  <c r="G26" i="34"/>
  <c r="F15" i="33"/>
  <c r="H25" i="34"/>
  <c r="H26" i="34"/>
  <c r="G15" i="33"/>
  <c r="I25" i="34"/>
  <c r="I26" i="34"/>
  <c r="H15" i="33"/>
  <c r="J25" i="34"/>
  <c r="J26" i="34"/>
  <c r="I15" i="33"/>
  <c r="K25" i="34"/>
  <c r="K26" i="34"/>
  <c r="J15" i="33"/>
  <c r="L25" i="34"/>
  <c r="L26" i="34"/>
  <c r="K15" i="33"/>
  <c r="M25" i="34"/>
  <c r="M26" i="34"/>
  <c r="L15" i="33"/>
  <c r="N25" i="34"/>
  <c r="N26" i="34"/>
  <c r="M15" i="33"/>
  <c r="O25" i="34"/>
  <c r="O26" i="34"/>
  <c r="N15" i="33"/>
  <c r="P25" i="34"/>
  <c r="P26" i="34"/>
  <c r="O15" i="33"/>
  <c r="Q25" i="34"/>
  <c r="Q26" i="34"/>
  <c r="P15" i="33"/>
  <c r="R25" i="34"/>
  <c r="R26" i="34"/>
  <c r="Q15" i="33"/>
  <c r="T15" i="33"/>
  <c r="E27" i="34"/>
  <c r="E28" i="34"/>
  <c r="D16" i="33"/>
  <c r="F27" i="34"/>
  <c r="F28" i="34"/>
  <c r="E16" i="33"/>
  <c r="G28" i="34"/>
  <c r="F16" i="33"/>
  <c r="H27" i="34"/>
  <c r="H28" i="34"/>
  <c r="G16" i="33"/>
  <c r="I27" i="34"/>
  <c r="H16" i="33"/>
  <c r="J27" i="34"/>
  <c r="J28" i="34"/>
  <c r="I16" i="33"/>
  <c r="K27" i="34"/>
  <c r="K28" i="34"/>
  <c r="J16" i="33"/>
  <c r="L27" i="34"/>
  <c r="L28" i="34"/>
  <c r="K16" i="33"/>
  <c r="M27" i="34"/>
  <c r="M28" i="34"/>
  <c r="L16" i="33"/>
  <c r="N27" i="34"/>
  <c r="N28" i="34"/>
  <c r="M16" i="33"/>
  <c r="O28" i="34"/>
  <c r="N16" i="33"/>
  <c r="P27" i="34"/>
  <c r="P28" i="34"/>
  <c r="O16" i="33"/>
  <c r="Q27" i="34"/>
  <c r="P16" i="33"/>
  <c r="R27" i="34"/>
  <c r="R28" i="34"/>
  <c r="Q16" i="33"/>
  <c r="T16" i="33"/>
  <c r="E30" i="34"/>
  <c r="D17" i="33"/>
  <c r="F29" i="34"/>
  <c r="F30" i="34"/>
  <c r="E17" i="33"/>
  <c r="G29" i="34"/>
  <c r="F17" i="33"/>
  <c r="H29" i="34"/>
  <c r="H30" i="34"/>
  <c r="G17" i="33"/>
  <c r="I29" i="34"/>
  <c r="I30" i="34"/>
  <c r="H17" i="33"/>
  <c r="J29" i="34"/>
  <c r="J30" i="34"/>
  <c r="I17" i="33"/>
  <c r="K30" i="34"/>
  <c r="J17" i="33"/>
  <c r="L29" i="34"/>
  <c r="L30" i="34"/>
  <c r="K17" i="33"/>
  <c r="M29" i="34"/>
  <c r="L17" i="33"/>
  <c r="N29" i="34"/>
  <c r="N30" i="34"/>
  <c r="M17" i="33"/>
  <c r="O29" i="34"/>
  <c r="O30" i="34"/>
  <c r="N17" i="33"/>
  <c r="P30" i="34"/>
  <c r="O17" i="33"/>
  <c r="Q29" i="34"/>
  <c r="Q30" i="34"/>
  <c r="P17" i="33"/>
  <c r="R29" i="34"/>
  <c r="Q17" i="33"/>
  <c r="T17" i="33"/>
  <c r="E31" i="34"/>
  <c r="E32" i="34"/>
  <c r="D18" i="33"/>
  <c r="F31" i="34"/>
  <c r="F32" i="34"/>
  <c r="E18" i="33"/>
  <c r="G31" i="34"/>
  <c r="G32" i="34"/>
  <c r="F18" i="33"/>
  <c r="H31" i="34"/>
  <c r="H32" i="34"/>
  <c r="G18" i="33"/>
  <c r="I31" i="34"/>
  <c r="I32" i="34"/>
  <c r="H18" i="33"/>
  <c r="J31" i="34"/>
  <c r="J32" i="34"/>
  <c r="I18" i="33"/>
  <c r="K31" i="34"/>
  <c r="K32" i="34"/>
  <c r="J18" i="33"/>
  <c r="L32" i="34"/>
  <c r="K18" i="33"/>
  <c r="M31" i="34"/>
  <c r="M32" i="34"/>
  <c r="L18" i="33"/>
  <c r="N31" i="34"/>
  <c r="N32" i="34"/>
  <c r="M18" i="33"/>
  <c r="O31" i="34"/>
  <c r="O32" i="34"/>
  <c r="N18" i="33"/>
  <c r="P31" i="34"/>
  <c r="P32" i="34"/>
  <c r="O18" i="33"/>
  <c r="Q31" i="34"/>
  <c r="Q32" i="34"/>
  <c r="P18" i="33"/>
  <c r="R31" i="34"/>
  <c r="R32" i="34"/>
  <c r="Q18" i="33"/>
  <c r="T18" i="33"/>
  <c r="E33" i="34"/>
  <c r="E34" i="34"/>
  <c r="D19" i="33"/>
  <c r="F33" i="34"/>
  <c r="F34" i="34"/>
  <c r="E19" i="33"/>
  <c r="G33" i="34"/>
  <c r="G34" i="34"/>
  <c r="F19" i="33"/>
  <c r="H33" i="34"/>
  <c r="H34" i="34"/>
  <c r="G19" i="33"/>
  <c r="I33" i="34"/>
  <c r="I34" i="34"/>
  <c r="H19" i="33"/>
  <c r="J33" i="34"/>
  <c r="J34" i="34"/>
  <c r="I19" i="33"/>
  <c r="K33" i="34"/>
  <c r="K34" i="34"/>
  <c r="J19" i="33"/>
  <c r="L33" i="34"/>
  <c r="L34" i="34"/>
  <c r="K19" i="33"/>
  <c r="M33" i="34"/>
  <c r="M34" i="34"/>
  <c r="L19" i="33"/>
  <c r="N33" i="34"/>
  <c r="N34" i="34"/>
  <c r="M19" i="33"/>
  <c r="O33" i="34"/>
  <c r="O34" i="34"/>
  <c r="N19" i="33"/>
  <c r="P33" i="34"/>
  <c r="P34" i="34"/>
  <c r="O19" i="33"/>
  <c r="Q33" i="34"/>
  <c r="Q34" i="34"/>
  <c r="P19" i="33"/>
  <c r="R33" i="34"/>
  <c r="R34" i="34"/>
  <c r="Q19" i="33"/>
  <c r="T19" i="33"/>
  <c r="E35" i="34"/>
  <c r="E36" i="34"/>
  <c r="D20" i="33"/>
  <c r="F35" i="34"/>
  <c r="F36" i="34"/>
  <c r="E20" i="33"/>
  <c r="G35" i="34"/>
  <c r="G36" i="34"/>
  <c r="F20" i="33"/>
  <c r="H36" i="34"/>
  <c r="G20" i="33"/>
  <c r="I35" i="34"/>
  <c r="I36" i="34"/>
  <c r="H20" i="33"/>
  <c r="J35" i="34"/>
  <c r="J36" i="34"/>
  <c r="I20" i="33"/>
  <c r="K35" i="34"/>
  <c r="K36" i="34"/>
  <c r="J20" i="33"/>
  <c r="L35" i="34"/>
  <c r="L36" i="34"/>
  <c r="K20" i="33"/>
  <c r="M35" i="34"/>
  <c r="M36" i="34"/>
  <c r="L20" i="33"/>
  <c r="N35" i="34"/>
  <c r="N36" i="34"/>
  <c r="M20" i="33"/>
  <c r="O35" i="34"/>
  <c r="O36" i="34"/>
  <c r="N20" i="33"/>
  <c r="P35" i="34"/>
  <c r="P36" i="34"/>
  <c r="O20" i="33"/>
  <c r="Q35" i="34"/>
  <c r="Q36" i="34"/>
  <c r="P20" i="33"/>
  <c r="R35" i="34"/>
  <c r="R36" i="34"/>
  <c r="Q20" i="33"/>
  <c r="T20" i="33"/>
  <c r="T21" i="33"/>
  <c r="T22" i="33"/>
  <c r="T23" i="33"/>
  <c r="T27" i="33"/>
  <c r="J28" i="33"/>
  <c r="I20" i="11"/>
  <c r="AH27" i="17"/>
  <c r="Z63" i="34"/>
  <c r="AC63" i="34"/>
  <c r="R63" i="34"/>
  <c r="AC75" i="34"/>
  <c r="AA87" i="34"/>
  <c r="X86" i="34"/>
  <c r="K87" i="34"/>
  <c r="H65" i="34"/>
  <c r="AI87" i="34"/>
  <c r="AH83" i="34"/>
  <c r="AG87" i="34"/>
  <c r="AF86" i="34"/>
  <c r="AD83" i="34"/>
  <c r="AC82" i="34"/>
  <c r="AA86" i="34"/>
  <c r="Y83" i="34"/>
  <c r="Q86" i="34"/>
  <c r="F38" i="34"/>
  <c r="R38" i="34"/>
  <c r="P37" i="34"/>
  <c r="O109" i="17"/>
  <c r="P109" i="17"/>
  <c r="AD27" i="34"/>
  <c r="W19" i="34"/>
  <c r="W36" i="34"/>
  <c r="AI3" i="34"/>
  <c r="AD11" i="34"/>
  <c r="AD19" i="34"/>
  <c r="AA28" i="34"/>
  <c r="Z35" i="34"/>
  <c r="W3" i="34"/>
  <c r="W20" i="34"/>
  <c r="AG4" i="34"/>
  <c r="AE12" i="34"/>
  <c r="AE20" i="34"/>
  <c r="AA36" i="34"/>
  <c r="AA12" i="34"/>
  <c r="AA20" i="34"/>
  <c r="AE36" i="34"/>
  <c r="W11" i="34"/>
  <c r="W28" i="34"/>
  <c r="AE3" i="34"/>
  <c r="I16" i="11"/>
  <c r="I17" i="11"/>
  <c r="I19" i="11"/>
  <c r="I11" i="11"/>
  <c r="I25" i="17"/>
  <c r="Z36" i="34"/>
  <c r="AC20" i="34"/>
  <c r="AH19" i="34"/>
  <c r="AD12" i="34"/>
  <c r="AI11" i="34"/>
  <c r="AF11" i="34"/>
  <c r="W4" i="34"/>
  <c r="AH4" i="34"/>
  <c r="AG3" i="34"/>
  <c r="AD3" i="34"/>
  <c r="AA4" i="34"/>
  <c r="AI4" i="34"/>
  <c r="Z3" i="34"/>
  <c r="AH3" i="34"/>
  <c r="AF3" i="34"/>
  <c r="AG38" i="34"/>
  <c r="AF37" i="34"/>
  <c r="AG37" i="34"/>
  <c r="AA9" i="34"/>
  <c r="W56" i="34"/>
  <c r="Z56" i="34"/>
  <c r="X57" i="34"/>
  <c r="N64" i="34"/>
  <c r="AI64" i="34"/>
  <c r="AF64" i="34"/>
  <c r="AE64" i="34"/>
  <c r="AC64" i="34"/>
  <c r="AB64" i="34"/>
  <c r="AA64" i="34"/>
  <c r="Z64" i="34"/>
  <c r="Y65" i="34"/>
  <c r="X61" i="34"/>
  <c r="F65" i="34"/>
  <c r="E37" i="33"/>
  <c r="M65" i="34"/>
  <c r="I65" i="34"/>
  <c r="J64" i="34"/>
  <c r="W64" i="34"/>
  <c r="AH65" i="34"/>
  <c r="AG65" i="34"/>
  <c r="AF65" i="34"/>
  <c r="O64" i="34"/>
  <c r="W65" i="34"/>
  <c r="AI65" i="34"/>
  <c r="AE65" i="34"/>
  <c r="AD65" i="34"/>
  <c r="AC65" i="34"/>
  <c r="AB65" i="34"/>
  <c r="AA65" i="34"/>
  <c r="Z65" i="34"/>
  <c r="Y64" i="34"/>
  <c r="P65" i="34"/>
  <c r="L64" i="34"/>
  <c r="AA11" i="17"/>
  <c r="W5" i="34"/>
  <c r="AB11" i="34"/>
  <c r="AI12" i="34"/>
  <c r="AG12" i="34"/>
  <c r="AF12" i="34"/>
  <c r="W13" i="34"/>
  <c r="AH14" i="34"/>
  <c r="AH27" i="34"/>
  <c r="AG28" i="34"/>
  <c r="Z27" i="34"/>
  <c r="AH28" i="34"/>
  <c r="AE28" i="34"/>
  <c r="W27" i="34"/>
  <c r="AI27" i="34"/>
  <c r="AD28" i="34"/>
  <c r="AH29" i="34"/>
  <c r="AD30" i="34"/>
  <c r="AC29" i="34"/>
  <c r="Z30" i="34"/>
  <c r="AI29" i="34"/>
  <c r="W29" i="34"/>
  <c r="AF30" i="34"/>
  <c r="W30" i="34"/>
  <c r="Q38" i="34"/>
  <c r="M38" i="34"/>
  <c r="I38" i="34"/>
  <c r="E38" i="34"/>
  <c r="O37" i="34"/>
  <c r="K37" i="34"/>
  <c r="G37" i="34"/>
  <c r="P38" i="34"/>
  <c r="L38" i="34"/>
  <c r="H38" i="34"/>
  <c r="R37" i="34"/>
  <c r="Q21" i="33"/>
  <c r="N37" i="34"/>
  <c r="J37" i="34"/>
  <c r="F37" i="34"/>
  <c r="W37" i="34"/>
  <c r="O38" i="34"/>
  <c r="K38" i="34"/>
  <c r="G38" i="34"/>
  <c r="Q37" i="34"/>
  <c r="M37" i="34"/>
  <c r="I37" i="34"/>
  <c r="E37" i="34"/>
  <c r="AE30" i="34"/>
  <c r="AG29" i="34"/>
  <c r="AC28" i="34"/>
  <c r="AG5" i="34"/>
  <c r="L44" i="32"/>
  <c r="F36" i="2"/>
  <c r="F38" i="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F88" i="34"/>
  <c r="E49" i="33"/>
  <c r="M93" i="34"/>
  <c r="AD92" i="34"/>
  <c r="AF88" i="34"/>
  <c r="Y63" i="34"/>
  <c r="AF93" i="34"/>
  <c r="X93" i="34"/>
  <c r="Q92" i="34"/>
  <c r="P51" i="33"/>
  <c r="W93" i="34"/>
  <c r="AH86" i="34"/>
  <c r="AE87" i="34"/>
  <c r="AE82" i="34"/>
  <c r="AC86" i="34"/>
  <c r="Y86" i="34"/>
  <c r="X83" i="34"/>
  <c r="X82" i="34"/>
  <c r="O87" i="34"/>
  <c r="F83" i="34"/>
  <c r="W150" i="17"/>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AI30" i="34"/>
  <c r="AI37" i="34"/>
  <c r="AH37" i="34"/>
  <c r="AD38" i="34"/>
  <c r="AD29" i="34"/>
  <c r="H20" i="17"/>
  <c r="F26" i="17"/>
  <c r="H28" i="17"/>
  <c r="B159" i="17"/>
  <c r="H113" i="17"/>
  <c r="X33" i="34"/>
  <c r="AA18" i="34"/>
  <c r="H24" i="17"/>
  <c r="B47" i="17"/>
  <c r="H117" i="17"/>
  <c r="B64" i="17"/>
  <c r="H18" i="17"/>
  <c r="I12" i="17"/>
  <c r="H22" i="17"/>
  <c r="R127" i="17"/>
  <c r="B45" i="17"/>
  <c r="Z41" i="34"/>
  <c r="R41" i="34"/>
  <c r="AE41" i="34"/>
  <c r="AH42" i="34"/>
  <c r="I42" i="34"/>
  <c r="B66" i="17"/>
  <c r="B43" i="17"/>
  <c r="I20" i="17"/>
  <c r="AF33" i="34"/>
  <c r="AG40" i="34"/>
  <c r="Y40" i="34"/>
  <c r="K40" i="34"/>
  <c r="I18" i="17"/>
  <c r="O121" i="17"/>
  <c r="P121" i="17"/>
  <c r="AH41" i="34"/>
  <c r="AG33" i="34"/>
  <c r="X25" i="34"/>
  <c r="AC26" i="34"/>
  <c r="AB25" i="34"/>
  <c r="AF26" i="34"/>
  <c r="I22" i="17"/>
  <c r="H16" i="17"/>
  <c r="I16" i="17"/>
  <c r="H14" i="17"/>
  <c r="B37" i="17"/>
  <c r="H12" i="17"/>
  <c r="B39" i="17"/>
  <c r="J41" i="34"/>
  <c r="I24" i="17"/>
  <c r="H123" i="17"/>
  <c r="B41" i="17"/>
  <c r="B70" i="17"/>
  <c r="AH26" i="34"/>
  <c r="AH30" i="34"/>
  <c r="AG30" i="34"/>
  <c r="AE29" i="34"/>
  <c r="AJ46" i="34"/>
  <c r="C25" i="33"/>
  <c r="AJ99" i="34"/>
  <c r="C54" i="33"/>
  <c r="AJ44" i="34"/>
  <c r="C24" i="33"/>
  <c r="W34" i="34"/>
  <c r="O42" i="34"/>
  <c r="G42" i="34"/>
  <c r="P41" i="34"/>
  <c r="H41" i="34"/>
  <c r="AI25" i="34"/>
  <c r="AH34" i="34"/>
  <c r="AH25" i="34"/>
  <c r="AG34" i="34"/>
  <c r="AF42" i="34"/>
  <c r="AF25" i="34"/>
  <c r="AE34" i="34"/>
  <c r="AE33" i="34"/>
  <c r="AD26" i="34"/>
  <c r="AD25" i="34"/>
  <c r="AC25" i="34"/>
  <c r="B71" i="17"/>
  <c r="W25" i="34"/>
  <c r="W41" i="34"/>
  <c r="M42" i="34"/>
  <c r="E42" i="34"/>
  <c r="N41" i="34"/>
  <c r="F41" i="34"/>
  <c r="AI42" i="34"/>
  <c r="AI26" i="34"/>
  <c r="AI33" i="34"/>
  <c r="AH33" i="34"/>
  <c r="AG25" i="34"/>
  <c r="AF34" i="34"/>
  <c r="AF41" i="34"/>
  <c r="AD34" i="34"/>
  <c r="AC34" i="34"/>
  <c r="AC41" i="34"/>
  <c r="AB34" i="34"/>
  <c r="AA26" i="34"/>
  <c r="W9" i="34"/>
  <c r="W17" i="34"/>
  <c r="W26" i="34"/>
  <c r="W42" i="34"/>
  <c r="K42" i="34"/>
  <c r="L41" i="34"/>
  <c r="AI34" i="34"/>
  <c r="AE26" i="34"/>
  <c r="AE25" i="34"/>
  <c r="AD33" i="34"/>
  <c r="AC33" i="34"/>
  <c r="AB26" i="34"/>
  <c r="AA25" i="34"/>
  <c r="Z173"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AC8" i="34"/>
  <c r="L39" i="34"/>
  <c r="AH12" i="34"/>
  <c r="AG11" i="34"/>
  <c r="AF20" i="34"/>
  <c r="AF19" i="34"/>
  <c r="AE11" i="34"/>
  <c r="AD39" i="34"/>
  <c r="AC12" i="34"/>
  <c r="AB28" i="34"/>
  <c r="O27" i="17"/>
  <c r="Y16" i="34"/>
  <c r="B42" i="17"/>
  <c r="B61" i="17"/>
  <c r="Y24"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AB7" i="34"/>
  <c r="B57" i="17"/>
  <c r="AI7" i="34"/>
  <c r="AG8" i="34"/>
  <c r="Y8" i="34"/>
  <c r="AF7" i="34"/>
  <c r="Y11" i="34"/>
  <c r="AB12" i="34"/>
  <c r="AA11" i="34"/>
  <c r="AF15" i="34"/>
  <c r="AC16" i="34"/>
  <c r="AI15" i="34"/>
  <c r="AB16" i="34"/>
  <c r="AB15" i="34"/>
  <c r="AG16" i="34"/>
  <c r="B40" i="17"/>
  <c r="AB19" i="34"/>
  <c r="AF23" i="34"/>
  <c r="W24" i="34"/>
  <c r="AC24" i="34"/>
  <c r="B65" i="17"/>
  <c r="AB23" i="34"/>
  <c r="AI24" i="34"/>
  <c r="AB27" i="34"/>
  <c r="AC32" i="34"/>
  <c r="AB31" i="34"/>
  <c r="AI32" i="34"/>
  <c r="Y32" i="34"/>
  <c r="B48" i="17"/>
  <c r="AI36" i="34"/>
  <c r="AE35" i="34"/>
  <c r="AB35" i="34"/>
  <c r="AA35" i="34"/>
  <c r="H25" i="17"/>
  <c r="G40" i="34"/>
  <c r="H39" i="34"/>
  <c r="H27" i="17"/>
  <c r="G27" i="17"/>
  <c r="AC40" i="34"/>
  <c r="AG39" i="34"/>
  <c r="D27" i="17"/>
  <c r="AB39" i="34"/>
  <c r="B50" i="17"/>
  <c r="O40" i="34"/>
  <c r="P39" i="34"/>
  <c r="AH40" i="34"/>
  <c r="AB42" i="34"/>
  <c r="X42" i="34"/>
  <c r="Y33" i="34"/>
  <c r="X34" i="34"/>
  <c r="Z25" i="34"/>
  <c r="Z26" i="34"/>
  <c r="Y25" i="34"/>
  <c r="X26" i="34"/>
  <c r="AI19" i="34"/>
  <c r="AH20" i="34"/>
  <c r="AE19" i="34"/>
  <c r="AB20" i="34"/>
  <c r="Y20" i="34"/>
  <c r="AG20" i="34"/>
  <c r="AG19" i="34"/>
  <c r="AD20" i="34"/>
  <c r="Z20" i="34"/>
  <c r="AI20" i="34"/>
  <c r="AC19" i="34"/>
  <c r="AA19" i="34"/>
  <c r="B38" i="17"/>
  <c r="AH15" i="34"/>
  <c r="AC15" i="34"/>
  <c r="AE5" i="34"/>
  <c r="AC6"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A18" i="17"/>
  <c r="AD57" i="34"/>
  <c r="F57" i="34"/>
  <c r="M57" i="34"/>
  <c r="J56" i="34"/>
  <c r="Z71" i="34"/>
  <c r="E71" i="34"/>
  <c r="G71" i="34"/>
  <c r="N71" i="34"/>
  <c r="K70" i="34"/>
  <c r="J40" i="33"/>
  <c r="Y71" i="34"/>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C83" i="17"/>
  <c r="C158" i="17"/>
  <c r="C135" i="17"/>
  <c r="C181" i="17"/>
  <c r="C82" i="17"/>
  <c r="C59" i="17"/>
  <c r="X21" i="34"/>
  <c r="AE21" i="34"/>
  <c r="X5" i="34"/>
  <c r="AD6" i="34"/>
  <c r="AF6" i="34"/>
  <c r="AI5" i="34"/>
  <c r="AI6" i="34"/>
  <c r="W6" i="34"/>
  <c r="AA5" i="34"/>
  <c r="AF5" i="34"/>
  <c r="B56" i="17"/>
  <c r="C64" i="17"/>
  <c r="E113" i="17"/>
  <c r="O113" i="17"/>
  <c r="H10" i="17"/>
  <c r="B33" i="17"/>
  <c r="C36" i="17"/>
  <c r="C57" i="17"/>
  <c r="C110" i="17"/>
  <c r="C34" i="17"/>
  <c r="AH6" i="34"/>
  <c r="AH5" i="34"/>
  <c r="AE6" i="34"/>
  <c r="AD5" i="34"/>
  <c r="X17" i="34"/>
  <c r="AB17" i="34"/>
  <c r="AD17" i="34"/>
  <c r="AH18" i="34"/>
  <c r="AI17" i="34"/>
  <c r="W18" i="34"/>
  <c r="X9" i="34"/>
  <c r="Z10" i="34"/>
  <c r="AE9" i="34"/>
  <c r="W10" i="34"/>
  <c r="AC9" i="34"/>
  <c r="AI9" i="34"/>
  <c r="I112" i="17"/>
  <c r="B59" i="17"/>
  <c r="B36" i="17"/>
  <c r="B34" i="17"/>
  <c r="B32" i="17"/>
  <c r="E109" i="17"/>
  <c r="C113" i="17"/>
  <c r="C182" i="17"/>
  <c r="C108" i="17"/>
  <c r="C131" i="17"/>
  <c r="C32" i="17"/>
  <c r="C55" i="17"/>
  <c r="X13" i="34"/>
  <c r="AE14" i="34"/>
  <c r="AF13" i="34"/>
  <c r="AH13" i="34"/>
  <c r="AI13" i="34"/>
  <c r="AD14" i="34"/>
  <c r="AE13" i="34"/>
  <c r="AF14" i="34"/>
  <c r="AG14" i="34"/>
  <c r="AI14" i="34"/>
  <c r="W14" i="34"/>
  <c r="B35" i="17"/>
  <c r="C78" i="17"/>
  <c r="C62" i="17"/>
  <c r="C39" i="17"/>
  <c r="B58" i="17"/>
  <c r="AG13" i="34"/>
  <c r="AC5" i="34"/>
  <c r="AI10" i="34"/>
  <c r="AG9" i="34"/>
  <c r="AE18" i="34"/>
  <c r="AE17" i="34"/>
  <c r="AD10" i="34"/>
  <c r="AD9" i="34"/>
  <c r="AC10" i="34"/>
  <c r="AC17" i="34"/>
  <c r="AA10" i="34"/>
  <c r="Y17" i="34"/>
  <c r="I19" i="17"/>
  <c r="AI18" i="34"/>
  <c r="AH17" i="34"/>
  <c r="AH9" i="34"/>
  <c r="AG18" i="34"/>
  <c r="AG10" i="34"/>
  <c r="AG17" i="34"/>
  <c r="AF10" i="34"/>
  <c r="AF9" i="34"/>
  <c r="AD18" i="34"/>
  <c r="AB10" i="34"/>
  <c r="AB9" i="34"/>
  <c r="AA17" i="34"/>
  <c r="Z17" i="34"/>
  <c r="Y18" i="34"/>
  <c r="AH10" i="34"/>
  <c r="AF18" i="34"/>
  <c r="AF17" i="34"/>
  <c r="AE10" i="34"/>
  <c r="AC18" i="34"/>
  <c r="AB18" i="34"/>
  <c r="Z18" i="34"/>
  <c r="Z9" i="34"/>
  <c r="X18" i="34"/>
  <c r="X78" i="34"/>
  <c r="P78" i="34"/>
  <c r="N79" i="34"/>
  <c r="O78" i="34"/>
  <c r="P41" i="33"/>
  <c r="AF78" i="34"/>
  <c r="Y79" i="34"/>
  <c r="V119" i="17"/>
  <c r="V142" i="17"/>
  <c r="V34" i="17"/>
  <c r="V40" i="17"/>
  <c r="V62" i="17"/>
  <c r="V115" i="17"/>
  <c r="V161" i="17"/>
  <c r="AE77" i="34"/>
  <c r="AB69" i="34"/>
  <c r="Z78" i="34"/>
  <c r="X65" i="34"/>
  <c r="N69" i="34"/>
  <c r="E69" i="34"/>
  <c r="K68" i="34"/>
  <c r="N65" i="34"/>
  <c r="I64" i="34"/>
  <c r="AB13" i="17"/>
  <c r="J78" i="34"/>
  <c r="J79" i="34"/>
  <c r="K78" i="34"/>
  <c r="AG79" i="34"/>
  <c r="AC79" i="34"/>
  <c r="V57" i="17"/>
  <c r="W78" i="34"/>
  <c r="AG77" i="34"/>
  <c r="AE68" i="34"/>
  <c r="AD69" i="34"/>
  <c r="Z69" i="34"/>
  <c r="Z68" i="34"/>
  <c r="Y76" i="34"/>
  <c r="M69" i="34"/>
  <c r="H68" i="34"/>
  <c r="K65" i="34"/>
  <c r="Q64" i="34"/>
  <c r="P37" i="33"/>
  <c r="G64" i="34"/>
  <c r="O79" i="34"/>
  <c r="E78" i="34"/>
  <c r="F79" i="34"/>
  <c r="G78" i="34"/>
  <c r="E41" i="33"/>
  <c r="AB78" i="34"/>
  <c r="W79" i="34"/>
  <c r="AA77" i="34"/>
  <c r="AA76" i="34"/>
  <c r="AA1" i="31"/>
  <c r="AA43" i="31"/>
  <c r="A1" i="31"/>
  <c r="A43" i="31"/>
  <c r="Q1" i="32"/>
  <c r="AS1" i="32"/>
  <c r="T43" i="20"/>
  <c r="U55" i="17"/>
  <c r="U32" i="17"/>
  <c r="AH124" i="17"/>
  <c r="U71" i="17"/>
  <c r="AA25" i="17"/>
  <c r="AB25" i="17"/>
  <c r="AA9"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AA21" i="17"/>
  <c r="U67" i="17"/>
  <c r="AB21" i="17"/>
  <c r="AB9" i="17"/>
  <c r="U48" i="17"/>
  <c r="AH76" i="34"/>
  <c r="AF76" i="34"/>
  <c r="X77" i="34"/>
  <c r="K77" i="34"/>
  <c r="L70" i="34"/>
  <c r="J70" i="34"/>
  <c r="I40" i="33"/>
  <c r="AB71" i="34"/>
  <c r="AE70" i="34"/>
  <c r="W71" i="34"/>
  <c r="Q70" i="34"/>
  <c r="P40" i="33"/>
  <c r="Z70" i="34"/>
  <c r="W70" i="34"/>
  <c r="H71" i="34"/>
  <c r="X71" i="34"/>
  <c r="Y70" i="34"/>
  <c r="AA70" i="34"/>
  <c r="AH71" i="34"/>
  <c r="N66" i="34"/>
  <c r="AD67" i="34"/>
  <c r="W67" i="34"/>
  <c r="U40" i="17"/>
  <c r="AA17" i="17"/>
  <c r="AD76" i="34"/>
  <c r="Z77" i="34"/>
  <c r="AE90" i="34"/>
  <c r="AB91" i="34"/>
  <c r="K60" i="34"/>
  <c r="Y26" i="17"/>
  <c r="AB22" i="17"/>
  <c r="AI63" i="34"/>
  <c r="AF58" i="34"/>
  <c r="AB58" i="34"/>
  <c r="W26" i="17"/>
  <c r="O28" i="17"/>
  <c r="G26" i="17"/>
  <c r="B49" i="17"/>
  <c r="B72" i="17"/>
  <c r="B69" i="17"/>
  <c r="B46" i="17"/>
  <c r="B67" i="17"/>
  <c r="F12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W23" i="34"/>
  <c r="AD24" i="34"/>
  <c r="AG23" i="34"/>
  <c r="AH24" i="34"/>
  <c r="AH23" i="34"/>
  <c r="AE15" i="34"/>
  <c r="AE16" i="34"/>
  <c r="AI16" i="34"/>
  <c r="Y15" i="34"/>
  <c r="W16" i="34"/>
  <c r="Z15" i="34"/>
  <c r="Z16" i="34"/>
  <c r="AA16" i="34"/>
  <c r="AD15" i="34"/>
  <c r="AD16" i="34"/>
  <c r="AF16" i="34"/>
  <c r="AG15" i="34"/>
  <c r="AH16" i="34"/>
  <c r="W15" i="34"/>
  <c r="AC7" i="34"/>
  <c r="AD7" i="34"/>
  <c r="AE7" i="34"/>
  <c r="AI8" i="34"/>
  <c r="X8" i="34"/>
  <c r="AE8" i="34"/>
  <c r="W8" i="34"/>
  <c r="AD8" i="34"/>
  <c r="AF8" i="34"/>
  <c r="AG7" i="34"/>
  <c r="AH8" i="34"/>
  <c r="W7" i="34"/>
  <c r="I26" i="17"/>
  <c r="G28" i="17"/>
  <c r="B44" i="17"/>
  <c r="B74" i="17"/>
  <c r="F28" i="17"/>
  <c r="I14" i="17"/>
  <c r="B60" i="17"/>
  <c r="Y30" i="34"/>
  <c r="W28" i="17"/>
  <c r="D47" i="46"/>
  <c r="P95" i="34"/>
  <c r="O52" i="33"/>
  <c r="I95" i="34"/>
  <c r="M94" i="34"/>
  <c r="H94" i="34"/>
  <c r="AB28" i="17"/>
  <c r="I93" i="34"/>
  <c r="J92" i="34"/>
  <c r="W171" i="17"/>
  <c r="N91" i="34"/>
  <c r="O90" i="34"/>
  <c r="I90" i="34"/>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D41" i="46"/>
  <c r="AI78" i="34"/>
  <c r="D39" i="46"/>
  <c r="AA79" i="34"/>
  <c r="AF79" i="34"/>
  <c r="P71" i="34"/>
  <c r="E70" i="34"/>
  <c r="D40" i="33"/>
  <c r="I71" i="34"/>
  <c r="AA15" i="17"/>
  <c r="P69" i="34"/>
  <c r="L69" i="34"/>
  <c r="G69" i="34"/>
  <c r="N68" i="34"/>
  <c r="G68" i="34"/>
  <c r="O69" i="34"/>
  <c r="N39" i="33"/>
  <c r="K69" i="34"/>
  <c r="F69" i="34"/>
  <c r="R68" i="34"/>
  <c r="L68" i="34"/>
  <c r="F68" i="34"/>
  <c r="AB15" i="17"/>
  <c r="AA66" i="34"/>
  <c r="R67" i="34"/>
  <c r="AH66" i="34"/>
  <c r="AG66" i="34"/>
  <c r="AB67" i="34"/>
  <c r="D37" i="33"/>
  <c r="R65" i="34"/>
  <c r="Q37" i="33"/>
  <c r="L65" i="34"/>
  <c r="G65" i="34"/>
  <c r="M64" i="34"/>
  <c r="H64" i="34"/>
  <c r="O65" i="34"/>
  <c r="J65" i="34"/>
  <c r="P64" i="34"/>
  <c r="O37" i="33"/>
  <c r="K64" i="34"/>
  <c r="J37" i="33"/>
  <c r="AA13" i="17"/>
  <c r="X63" i="34"/>
  <c r="L62" i="34"/>
  <c r="AD63" i="34"/>
  <c r="AA62" i="34"/>
  <c r="H63" i="34"/>
  <c r="AA12" i="17"/>
  <c r="AA10" i="17"/>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AB33" i="34"/>
  <c r="Z34" i="34"/>
  <c r="Y34" i="34"/>
  <c r="Z33" i="34"/>
  <c r="AA34" i="34"/>
  <c r="AA33" i="34"/>
  <c r="X28" i="34"/>
  <c r="AA27" i="34"/>
  <c r="Z28" i="34"/>
  <c r="AC27" i="34"/>
  <c r="I21" i="17"/>
  <c r="AF29" i="34"/>
  <c r="AB30" i="34"/>
  <c r="Y27" i="34"/>
  <c r="O120" i="17"/>
  <c r="AE24" i="34"/>
  <c r="H19" i="17"/>
  <c r="AI23" i="34"/>
  <c r="AG24" i="34"/>
  <c r="AF24" i="34"/>
  <c r="Y19" i="34"/>
  <c r="B63" i="17"/>
  <c r="AB14" i="34"/>
  <c r="Z14" i="34"/>
  <c r="AA14" i="34"/>
  <c r="Z12" i="34"/>
  <c r="Y12" i="34"/>
  <c r="X12" i="34"/>
  <c r="H13" i="17"/>
  <c r="Y9" i="34"/>
  <c r="Y10" i="34"/>
  <c r="X10" i="34"/>
  <c r="I11" i="17"/>
  <c r="H11" i="17"/>
  <c r="I110" i="17"/>
  <c r="B132" i="17"/>
  <c r="B155" i="17"/>
  <c r="H109" i="17"/>
  <c r="I10" i="17"/>
  <c r="I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H9" i="17"/>
  <c r="X4" i="34"/>
  <c r="H1" i="35"/>
  <c r="H43" i="35"/>
  <c r="R1" i="13"/>
  <c r="R44" i="13"/>
  <c r="A1" i="32"/>
  <c r="AC1" i="32"/>
  <c r="B52" i="11"/>
  <c r="B1" i="11"/>
  <c r="I5" i="11"/>
  <c r="I56" i="11"/>
  <c r="A2" i="33"/>
  <c r="A1" i="13"/>
  <c r="A44" i="13"/>
  <c r="A1" i="35"/>
  <c r="A43" i="35"/>
  <c r="O18" i="13"/>
  <c r="N19" i="13"/>
  <c r="I68" i="11"/>
  <c r="A63" i="11"/>
  <c r="A66" i="11"/>
  <c r="I13" i="11"/>
  <c r="A21" i="11"/>
  <c r="A18" i="11"/>
  <c r="AF9" i="13"/>
  <c r="AE10" i="13"/>
  <c r="P113" i="17"/>
  <c r="I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AF32" i="34"/>
  <c r="AG32" i="34"/>
  <c r="AI31" i="34"/>
  <c r="Y31" i="34"/>
  <c r="AD31" i="34"/>
  <c r="AE31" i="34"/>
  <c r="Z32" i="34"/>
  <c r="AE32" i="34"/>
  <c r="AF31" i="34"/>
  <c r="AG31" i="34"/>
  <c r="AH32" i="34"/>
  <c r="W32" i="34"/>
  <c r="W31" i="34"/>
  <c r="AC31" i="34"/>
  <c r="Y21" i="34"/>
  <c r="Z21" i="34"/>
  <c r="AA22" i="34"/>
  <c r="AB21" i="34"/>
  <c r="AB22" i="34"/>
  <c r="Y22" i="34"/>
  <c r="Z22" i="34"/>
  <c r="X22" i="34"/>
  <c r="AA21" i="34"/>
  <c r="AG21" i="34"/>
  <c r="AH22" i="34"/>
  <c r="AD21" i="34"/>
  <c r="AE22" i="34"/>
  <c r="AF21" i="34"/>
  <c r="AH21" i="34"/>
  <c r="AC21" i="34"/>
  <c r="AD22" i="34"/>
  <c r="AI22" i="34"/>
  <c r="AF22" i="34"/>
  <c r="AC22" i="34"/>
  <c r="AG22" i="34"/>
  <c r="AI21" i="34"/>
  <c r="W22" i="34"/>
  <c r="W21" i="34"/>
  <c r="P50" i="33"/>
  <c r="F50" i="33"/>
  <c r="E50" i="33"/>
  <c r="O48" i="13"/>
  <c r="N49" i="13"/>
  <c r="V172" i="17"/>
  <c r="C115" i="17"/>
  <c r="C95" i="17"/>
  <c r="C49" i="17"/>
  <c r="AE49" i="13"/>
  <c r="O51" i="33"/>
  <c r="M51"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AA122"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AA118"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H23" i="17"/>
  <c r="I23" i="17"/>
  <c r="M95" i="34"/>
  <c r="E95" i="34"/>
  <c r="N94" i="34"/>
  <c r="F94" i="34"/>
  <c r="L87" i="34"/>
  <c r="M86" i="34"/>
  <c r="E86" i="34"/>
  <c r="G83" i="34"/>
  <c r="P82" i="34"/>
  <c r="G82" i="34"/>
  <c r="L77" i="34"/>
  <c r="K43" i="33"/>
  <c r="M76" i="34"/>
  <c r="E76" i="34"/>
  <c r="H17" i="17"/>
  <c r="I17" i="17"/>
  <c r="AB114" i="17"/>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I15" i="17"/>
  <c r="H15" i="17"/>
  <c r="O26" i="17"/>
  <c r="H21" i="17"/>
  <c r="I13" i="17"/>
  <c r="I9" i="17"/>
  <c r="H26" i="17"/>
  <c r="Y172" i="17"/>
  <c r="AA171" i="17"/>
  <c r="AA148" i="17"/>
  <c r="AH171" i="17"/>
  <c r="AB171" i="17"/>
  <c r="W172" i="17"/>
  <c r="Y171" i="17"/>
  <c r="AB172" i="17"/>
  <c r="E43" i="33"/>
  <c r="Q41" i="33"/>
  <c r="Q47" i="33"/>
  <c r="P43" i="33"/>
  <c r="P46" i="33"/>
  <c r="L45" i="33"/>
  <c r="E40" i="33"/>
  <c r="L36" i="33"/>
  <c r="Q52" i="33"/>
  <c r="O47" i="33"/>
  <c r="I51" i="33"/>
  <c r="J51" i="33"/>
  <c r="W35" i="46"/>
  <c r="B146" i="17"/>
  <c r="G21" i="33"/>
  <c r="I21" i="33"/>
  <c r="M21" i="33"/>
  <c r="O111" i="17"/>
  <c r="Q49" i="33"/>
  <c r="K23" i="33"/>
  <c r="E21" i="33"/>
  <c r="F36" i="33"/>
  <c r="O50" i="33"/>
  <c r="N21" i="33"/>
  <c r="U20" i="34"/>
  <c r="U28" i="34"/>
  <c r="AH150" i="17"/>
  <c r="F42" i="33"/>
  <c r="K34" i="33"/>
  <c r="F34" i="33"/>
  <c r="K51" i="33"/>
  <c r="Z150" i="17"/>
  <c r="M44" i="33"/>
  <c r="V20" i="34"/>
  <c r="U19" i="34"/>
  <c r="U12" i="33"/>
  <c r="D13" i="46"/>
  <c r="M45" i="33"/>
  <c r="M38" i="33"/>
  <c r="C170" i="17"/>
  <c r="I37" i="33"/>
  <c r="K47" i="33"/>
  <c r="G48" i="33"/>
  <c r="N50" i="33"/>
  <c r="AC26" i="17"/>
  <c r="E45" i="46"/>
  <c r="H37" i="33"/>
  <c r="F40" i="33"/>
  <c r="L23" i="33"/>
  <c r="L47" i="33"/>
  <c r="D41" i="33"/>
  <c r="K42" i="33"/>
  <c r="O42" i="33"/>
  <c r="L37" i="33"/>
  <c r="P48" i="33"/>
  <c r="Q38" i="33"/>
  <c r="J44" i="33"/>
  <c r="Q44" i="33"/>
  <c r="C147" i="17"/>
  <c r="F47" i="33"/>
  <c r="E22" i="33"/>
  <c r="O40" i="33"/>
  <c r="L40" i="33"/>
  <c r="AB150" i="17"/>
  <c r="O21" i="33"/>
  <c r="V36" i="34"/>
  <c r="M39" i="33"/>
  <c r="P21" i="33"/>
  <c r="C192" i="17"/>
  <c r="M41" i="33"/>
  <c r="X35" i="46"/>
  <c r="G52" i="33"/>
  <c r="M40" i="33"/>
  <c r="J36" i="33"/>
  <c r="AC173" i="17"/>
  <c r="AE173" i="17"/>
  <c r="AJ173" i="17"/>
  <c r="AH35" i="46"/>
  <c r="N48" i="33"/>
  <c r="U93" i="34"/>
  <c r="K21" i="33"/>
  <c r="C169" i="17"/>
  <c r="D36" i="46"/>
  <c r="D11" i="46"/>
  <c r="X11" i="46"/>
  <c r="E51" i="33"/>
  <c r="G51" i="33"/>
  <c r="I50" i="33"/>
  <c r="H50" i="33"/>
  <c r="J50" i="33"/>
  <c r="G42" i="33"/>
  <c r="L45" i="46"/>
  <c r="D34" i="46"/>
  <c r="D42" i="46"/>
  <c r="O46" i="33"/>
  <c r="E47" i="33"/>
  <c r="K40" i="33"/>
  <c r="D50" i="33"/>
  <c r="Q50" i="33"/>
  <c r="V139" i="17"/>
  <c r="D46" i="46"/>
  <c r="D30" i="46"/>
  <c r="D21" i="33"/>
  <c r="D38" i="46"/>
  <c r="AH47" i="46"/>
  <c r="W47" i="46"/>
  <c r="X47" i="46"/>
  <c r="AH39" i="46"/>
  <c r="X39" i="46"/>
  <c r="W39" i="46"/>
  <c r="W42" i="46"/>
  <c r="D45" i="46"/>
  <c r="E21" i="17"/>
  <c r="D7" i="46"/>
  <c r="E23" i="17"/>
  <c r="E20" i="17"/>
  <c r="E13" i="17"/>
  <c r="E12" i="17"/>
  <c r="E27" i="17"/>
  <c r="E17" i="17"/>
  <c r="E11" i="17"/>
  <c r="V47" i="46"/>
  <c r="P47" i="46"/>
  <c r="L47" i="46"/>
  <c r="K47" i="46"/>
  <c r="Q47" i="46"/>
  <c r="H47" i="46"/>
  <c r="J47" i="46"/>
  <c r="U47" i="46"/>
  <c r="M47" i="46"/>
  <c r="AG47" i="46"/>
  <c r="J45" i="46"/>
  <c r="H45" i="46"/>
  <c r="E25" i="17"/>
  <c r="E24" i="17"/>
  <c r="P26"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H36" i="33"/>
  <c r="B163" i="17"/>
  <c r="D15" i="46"/>
  <c r="C163" i="17"/>
  <c r="I117" i="17"/>
  <c r="O117" i="17"/>
  <c r="P117" i="17"/>
  <c r="C177" i="17"/>
  <c r="B140" i="17"/>
  <c r="E117" i="17"/>
  <c r="V134" i="17"/>
  <c r="C157" i="17"/>
  <c r="I108" i="17"/>
  <c r="H108" i="17"/>
  <c r="C180" i="17"/>
  <c r="C164" i="17"/>
  <c r="V171" i="17"/>
  <c r="V194" i="17"/>
  <c r="O108" i="17"/>
  <c r="V180" i="17"/>
  <c r="C187" i="17"/>
  <c r="V148" i="17"/>
  <c r="V195" i="17"/>
  <c r="V149" i="17"/>
  <c r="C140" i="17"/>
  <c r="V145" i="17"/>
  <c r="V191" i="17"/>
  <c r="C168" i="17"/>
  <c r="O115" i="17"/>
  <c r="AH148" i="17"/>
  <c r="C191" i="17"/>
  <c r="V184" i="17"/>
  <c r="B161" i="17"/>
  <c r="W148" i="17"/>
  <c r="Z148" i="17"/>
  <c r="Y148" i="17"/>
  <c r="C165" i="17"/>
  <c r="C188" i="17"/>
  <c r="C142" i="17"/>
  <c r="B134" i="17"/>
  <c r="B157" i="17"/>
  <c r="H111" i="17"/>
  <c r="V169" i="17"/>
  <c r="V192" i="17"/>
  <c r="V156" i="17"/>
  <c r="C154" i="17"/>
  <c r="O123" i="17"/>
  <c r="P111" i="17"/>
  <c r="I111" i="17"/>
  <c r="AH120" i="17"/>
  <c r="B169" i="17"/>
  <c r="P127" i="17"/>
  <c r="E115" i="17"/>
  <c r="P23" i="33"/>
  <c r="Q23" i="33"/>
  <c r="G23" i="33"/>
  <c r="L21" i="33"/>
  <c r="F21" i="33"/>
  <c r="K22" i="33"/>
  <c r="U36" i="34"/>
  <c r="V19" i="34"/>
  <c r="P52" i="33"/>
  <c r="AC27" i="17"/>
  <c r="AB148" i="17"/>
  <c r="L50" i="33"/>
  <c r="G40" i="33"/>
  <c r="N40" i="33"/>
  <c r="E36" i="33"/>
  <c r="E33" i="33"/>
  <c r="AJ95" i="34"/>
  <c r="V52" i="33"/>
  <c r="AB116" i="17"/>
  <c r="U4" i="34"/>
  <c r="P49" i="33"/>
  <c r="O23" i="33"/>
  <c r="E18" i="17"/>
  <c r="E14" i="17"/>
  <c r="E28" i="17"/>
  <c r="P28" i="17"/>
  <c r="E16" i="17"/>
  <c r="E9" i="17"/>
  <c r="E26" i="17"/>
  <c r="AC28" i="17"/>
  <c r="AE28" i="17"/>
  <c r="E15" i="17"/>
  <c r="E19" i="17"/>
  <c r="P27" i="17"/>
  <c r="N49" i="33"/>
  <c r="H48" i="33"/>
  <c r="H43" i="33"/>
  <c r="K48" i="33"/>
  <c r="F44" i="33"/>
  <c r="G33" i="33"/>
  <c r="O39" i="33"/>
  <c r="Q45" i="33"/>
  <c r="I52" i="33"/>
  <c r="N37" i="33"/>
  <c r="K37" i="33"/>
  <c r="H52" i="33"/>
  <c r="G22" i="33"/>
  <c r="V35" i="34"/>
  <c r="U35" i="34"/>
  <c r="L43" i="33"/>
  <c r="L44" i="33"/>
  <c r="D36" i="33"/>
  <c r="F49" i="33"/>
  <c r="D127" i="17"/>
  <c r="E127" i="17"/>
  <c r="G127" i="17"/>
  <c r="K127" i="17"/>
  <c r="M127" i="17"/>
  <c r="H127" i="17"/>
  <c r="B173" i="17"/>
  <c r="H173" i="17"/>
  <c r="B150" i="17"/>
  <c r="F23" i="33"/>
  <c r="I23" i="33"/>
  <c r="V37" i="34"/>
  <c r="J21" i="33"/>
  <c r="E121" i="17"/>
  <c r="B142" i="17"/>
  <c r="O119" i="17"/>
  <c r="P119" i="17"/>
  <c r="E23" i="33"/>
  <c r="E10" i="17"/>
  <c r="E22" i="17"/>
  <c r="C38" i="2"/>
  <c r="J26" i="17"/>
  <c r="M22" i="33"/>
  <c r="P22" i="33"/>
  <c r="U38" i="34"/>
  <c r="V38" i="34"/>
  <c r="U37" i="34"/>
  <c r="H21" i="33"/>
  <c r="U30" i="34"/>
  <c r="V4" i="34"/>
  <c r="V3" i="34"/>
  <c r="U3" i="34"/>
  <c r="U139" i="17"/>
  <c r="AJ65" i="34"/>
  <c r="V37" i="33"/>
  <c r="AJ87" i="34"/>
  <c r="V48" i="33"/>
  <c r="AJ93" i="34"/>
  <c r="V51" i="33"/>
  <c r="V27" i="34"/>
  <c r="U27" i="34"/>
  <c r="U16" i="33"/>
  <c r="V28" i="34"/>
  <c r="B167" i="17"/>
  <c r="B144" i="17"/>
  <c r="H121" i="17"/>
  <c r="V30" i="34"/>
  <c r="I121" i="17"/>
  <c r="U29" i="34"/>
  <c r="H22" i="33"/>
  <c r="N23" i="33"/>
  <c r="G125" i="17"/>
  <c r="V29" i="34"/>
  <c r="Q48" i="33"/>
  <c r="L48" i="33"/>
  <c r="J45" i="33"/>
  <c r="H49" i="33"/>
  <c r="H40" i="33"/>
  <c r="H51" i="33"/>
  <c r="T51" i="33"/>
  <c r="K36" i="33"/>
  <c r="H39" i="33"/>
  <c r="K50" i="33"/>
  <c r="M46" i="33"/>
  <c r="AC172" i="17"/>
  <c r="O48" i="33"/>
  <c r="V63" i="34"/>
  <c r="Q39" i="33"/>
  <c r="F43" i="33"/>
  <c r="K46" i="33"/>
  <c r="P36" i="33"/>
  <c r="L33" i="33"/>
  <c r="J33" i="33"/>
  <c r="V33" i="34"/>
  <c r="U18" i="34"/>
  <c r="V11" i="34"/>
  <c r="V26" i="34"/>
  <c r="U34" i="34"/>
  <c r="J23" i="33"/>
  <c r="M23" i="33"/>
  <c r="U10" i="34"/>
  <c r="I123" i="17"/>
  <c r="V31" i="34"/>
  <c r="I22" i="33"/>
  <c r="L22" i="33"/>
  <c r="P123" i="17"/>
  <c r="H23" i="33"/>
  <c r="V12" i="34"/>
  <c r="V25" i="34"/>
  <c r="U33" i="34"/>
  <c r="U25" i="34"/>
  <c r="O127" i="17"/>
  <c r="I127" i="17"/>
  <c r="Q22" i="33"/>
  <c r="D22" i="33"/>
  <c r="V13" i="34"/>
  <c r="E123" i="17"/>
  <c r="E111" i="17"/>
  <c r="H115" i="17"/>
  <c r="I115" i="17"/>
  <c r="B138" i="17"/>
  <c r="P115" i="17"/>
  <c r="F22" i="33"/>
  <c r="U26" i="34"/>
  <c r="V34" i="34"/>
  <c r="I119" i="17"/>
  <c r="B165" i="17"/>
  <c r="H119" i="17"/>
  <c r="E119" i="17"/>
  <c r="AJ83" i="34"/>
  <c r="V46" i="33"/>
  <c r="AJ26" i="34"/>
  <c r="V15" i="33"/>
  <c r="AJ91" i="34"/>
  <c r="V50" i="33"/>
  <c r="AE26" i="17"/>
  <c r="G46" i="33"/>
  <c r="U75" i="34"/>
  <c r="U89" i="34"/>
  <c r="I44" i="33"/>
  <c r="I36" i="33"/>
  <c r="M36" i="33"/>
  <c r="E39" i="33"/>
  <c r="N46" i="33"/>
  <c r="J47" i="33"/>
  <c r="W100" i="34"/>
  <c r="G47" i="33"/>
  <c r="AE172" i="17"/>
  <c r="AJ172" i="17"/>
  <c r="Q40" i="33"/>
  <c r="Q46" i="33"/>
  <c r="U92" i="34"/>
  <c r="U51" i="33"/>
  <c r="M52" i="33"/>
  <c r="U147" i="17"/>
  <c r="J43" i="33"/>
  <c r="U95" i="34"/>
  <c r="G45" i="33"/>
  <c r="J38" i="33"/>
  <c r="U90" i="34"/>
  <c r="AC171" i="17"/>
  <c r="AE171" i="17"/>
  <c r="AJ171" i="17"/>
  <c r="N43" i="33"/>
  <c r="H47" i="33"/>
  <c r="AJ57" i="34"/>
  <c r="V33" i="33"/>
  <c r="W101" i="34"/>
  <c r="O22" i="33"/>
  <c r="U11" i="34"/>
  <c r="J27" i="17"/>
  <c r="U12" i="34"/>
  <c r="I120" i="17"/>
  <c r="H120" i="17"/>
  <c r="AJ28" i="34"/>
  <c r="V16" i="33"/>
  <c r="U6" i="34"/>
  <c r="D23" i="33"/>
  <c r="V41" i="34"/>
  <c r="U41" i="34"/>
  <c r="J28" i="17"/>
  <c r="U42" i="34"/>
  <c r="V42" i="34"/>
  <c r="V40" i="34"/>
  <c r="U39" i="34"/>
  <c r="V18" i="34"/>
  <c r="K48" i="34"/>
  <c r="V14" i="34"/>
  <c r="U13" i="34"/>
  <c r="V10" i="34"/>
  <c r="U9" i="34"/>
  <c r="V6" i="34"/>
  <c r="V5" i="34"/>
  <c r="M48" i="34"/>
  <c r="AI47" i="34"/>
  <c r="AI48" i="34"/>
  <c r="AJ20" i="34"/>
  <c r="V12" i="33"/>
  <c r="W47" i="34"/>
  <c r="S48" i="34"/>
  <c r="AB47" i="34"/>
  <c r="U40" i="34"/>
  <c r="V39" i="34"/>
  <c r="AJ36" i="34"/>
  <c r="V20" i="33"/>
  <c r="AJ34" i="34"/>
  <c r="V19" i="33"/>
  <c r="V32" i="34"/>
  <c r="U32" i="34"/>
  <c r="U22" i="34"/>
  <c r="AD48" i="34"/>
  <c r="V17" i="34"/>
  <c r="U17" i="34"/>
  <c r="V15" i="34"/>
  <c r="V16" i="34"/>
  <c r="U15" i="34"/>
  <c r="P47" i="34"/>
  <c r="U14" i="34"/>
  <c r="V9" i="34"/>
  <c r="U5" i="34"/>
  <c r="V159" i="17"/>
  <c r="V136" i="17"/>
  <c r="X109" i="17"/>
  <c r="AH109" i="17"/>
  <c r="AI109" i="17"/>
  <c r="AA109" i="17"/>
  <c r="AB109" i="17"/>
  <c r="U155" i="17"/>
  <c r="AJ77" i="34"/>
  <c r="V43" i="33"/>
  <c r="V183" i="17"/>
  <c r="V137" i="17"/>
  <c r="V132" i="17"/>
  <c r="V182" i="17"/>
  <c r="AJ69" i="34"/>
  <c r="V39" i="33"/>
  <c r="U163" i="17"/>
  <c r="AH117" i="17"/>
  <c r="AI117" i="17"/>
  <c r="AA117" i="17"/>
  <c r="X117" i="17"/>
  <c r="AB117" i="17"/>
  <c r="AH113" i="17"/>
  <c r="AI113" i="17"/>
  <c r="U159" i="17"/>
  <c r="X113" i="17"/>
  <c r="AA113" i="17"/>
  <c r="AB113" i="17"/>
  <c r="U132" i="17"/>
  <c r="AD100" i="34"/>
  <c r="V178" i="17"/>
  <c r="V179" i="17"/>
  <c r="N48" i="34"/>
  <c r="AE48" i="34"/>
  <c r="C156" i="17"/>
  <c r="C133" i="17"/>
  <c r="C179" i="17"/>
  <c r="H110" i="17"/>
  <c r="O110" i="17"/>
  <c r="W48" i="34"/>
  <c r="AJ18" i="34"/>
  <c r="V11" i="33"/>
  <c r="B131" i="17"/>
  <c r="B154" i="17"/>
  <c r="E108" i="17"/>
  <c r="P108" i="17"/>
  <c r="D10" i="46"/>
  <c r="O112" i="17"/>
  <c r="P112" i="17"/>
  <c r="B158" i="17"/>
  <c r="B135" i="17"/>
  <c r="E112" i="17"/>
  <c r="E48" i="34"/>
  <c r="D8" i="46"/>
  <c r="O48" i="34"/>
  <c r="T48" i="34"/>
  <c r="AF48" i="34"/>
  <c r="Q48" i="34"/>
  <c r="AH47" i="34"/>
  <c r="AH48" i="34"/>
  <c r="H112" i="17"/>
  <c r="C159" i="17"/>
  <c r="C136" i="17"/>
  <c r="V7" i="34"/>
  <c r="V8" i="34"/>
  <c r="U8" i="34"/>
  <c r="U7" i="34"/>
  <c r="U16" i="34"/>
  <c r="V22" i="34"/>
  <c r="G39" i="33"/>
  <c r="U56" i="34"/>
  <c r="K45" i="33"/>
  <c r="V58" i="34"/>
  <c r="F38" i="33"/>
  <c r="U60" i="34"/>
  <c r="N33" i="33"/>
  <c r="K39" i="33"/>
  <c r="G43" i="33"/>
  <c r="N44" i="33"/>
  <c r="V81" i="34"/>
  <c r="Q43" i="33"/>
  <c r="X101" i="34"/>
  <c r="V66" i="34"/>
  <c r="V78" i="34"/>
  <c r="V165" i="17"/>
  <c r="V188" i="17"/>
  <c r="V74" i="34"/>
  <c r="U61" i="34"/>
  <c r="O43" i="33"/>
  <c r="V80" i="34"/>
  <c r="V67" i="34"/>
  <c r="I38" i="33"/>
  <c r="AJ63" i="34"/>
  <c r="V36" i="33"/>
  <c r="V65" i="34"/>
  <c r="V71" i="34"/>
  <c r="AJ71" i="34"/>
  <c r="V40" i="33"/>
  <c r="AJ85" i="34"/>
  <c r="V47" i="33"/>
  <c r="U162" i="17"/>
  <c r="X116" i="17"/>
  <c r="AH116" i="17"/>
  <c r="AI116" i="17"/>
  <c r="AA116" i="17"/>
  <c r="AI120" i="17"/>
  <c r="U166" i="17"/>
  <c r="X120" i="17"/>
  <c r="AB120" i="17"/>
  <c r="AA120" i="17"/>
  <c r="U135" i="17"/>
  <c r="AH112" i="17"/>
  <c r="D32" i="46"/>
  <c r="X112" i="17"/>
  <c r="AA112" i="17"/>
  <c r="U158" i="17"/>
  <c r="AB112" i="17"/>
  <c r="AI112" i="17"/>
  <c r="AI124" i="17"/>
  <c r="U170" i="17"/>
  <c r="AB124" i="17"/>
  <c r="AA124" i="17"/>
  <c r="X124" i="17"/>
  <c r="AC195" i="17"/>
  <c r="AE195" i="17"/>
  <c r="AJ195" i="17"/>
  <c r="U131" i="17"/>
  <c r="AA108" i="17"/>
  <c r="AH108" i="17"/>
  <c r="X108" i="17"/>
  <c r="U154" i="17"/>
  <c r="AB108" i="17"/>
  <c r="D28" i="46"/>
  <c r="AI108" i="17"/>
  <c r="AJ4" i="34"/>
  <c r="V4" i="33"/>
  <c r="AJ10" i="34"/>
  <c r="V7" i="33"/>
  <c r="H125" i="17"/>
  <c r="O125" i="17"/>
  <c r="K125" i="17"/>
  <c r="R125" i="17"/>
  <c r="F125" i="17"/>
  <c r="B171" i="17"/>
  <c r="P125" i="17"/>
  <c r="D125" i="17"/>
  <c r="E125" i="17"/>
  <c r="M125" i="17"/>
  <c r="I125"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U86" i="34"/>
  <c r="U87" i="34"/>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E124" i="17"/>
  <c r="O124" i="17"/>
  <c r="P124" i="17"/>
  <c r="I124" i="17"/>
  <c r="B170" i="17"/>
  <c r="B147" i="17"/>
  <c r="H124" i="17"/>
  <c r="U31" i="34"/>
  <c r="AC48" i="34"/>
  <c r="E120" i="17"/>
  <c r="B166" i="17"/>
  <c r="B143" i="17"/>
  <c r="P120" i="17"/>
  <c r="I118" i="17"/>
  <c r="O118" i="17"/>
  <c r="P118" i="17"/>
  <c r="E118" i="17"/>
  <c r="H118" i="17"/>
  <c r="B141" i="17"/>
  <c r="B164" i="17"/>
  <c r="V23" i="34"/>
  <c r="U23" i="34"/>
  <c r="V24" i="34"/>
  <c r="U24" i="34"/>
  <c r="M47" i="34"/>
  <c r="Q47" i="34"/>
  <c r="AJ22" i="34"/>
  <c r="V13" i="33"/>
  <c r="H47" i="34"/>
  <c r="F47" i="34"/>
  <c r="E47" i="34"/>
  <c r="V21" i="34"/>
  <c r="T47" i="34"/>
  <c r="S47" i="34"/>
  <c r="J47" i="34"/>
  <c r="I47" i="34"/>
  <c r="AG47" i="34"/>
  <c r="L47" i="34"/>
  <c r="G47" i="34"/>
  <c r="U21" i="34"/>
  <c r="U13" i="33"/>
  <c r="AJ16" i="34"/>
  <c r="V10" i="33"/>
  <c r="AJ12" i="34"/>
  <c r="V8" i="33"/>
  <c r="Z47" i="34"/>
  <c r="AB48" i="34"/>
  <c r="B133" i="17"/>
  <c r="P110" i="17"/>
  <c r="B156" i="17"/>
  <c r="E110" i="17"/>
  <c r="U57" i="34"/>
  <c r="U33" i="33"/>
  <c r="S101" i="34"/>
  <c r="V57" i="34"/>
  <c r="F33" i="33"/>
  <c r="D33" i="33"/>
  <c r="V56" i="34"/>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Y48" i="34"/>
  <c r="AJ8" i="34"/>
  <c r="V6" i="33"/>
  <c r="X47" i="34"/>
  <c r="J100" i="34"/>
  <c r="AE100" i="34"/>
  <c r="AE101" i="34"/>
  <c r="AA101" i="34"/>
  <c r="F48" i="34"/>
  <c r="C161" i="17"/>
  <c r="C138" i="17"/>
  <c r="C184" i="17"/>
  <c r="R48" i="34"/>
  <c r="I48" i="34"/>
  <c r="H48" i="34"/>
  <c r="A22" i="11"/>
  <c r="AJ38" i="34"/>
  <c r="V21" i="33"/>
  <c r="R100" i="34"/>
  <c r="AI100" i="34"/>
  <c r="L48" i="34"/>
  <c r="P48" i="34"/>
  <c r="V143" i="17"/>
  <c r="V166" i="17"/>
  <c r="V189" i="17"/>
  <c r="I18" i="11"/>
  <c r="Y149" i="17"/>
  <c r="AH149" i="17"/>
  <c r="Z149" i="17"/>
  <c r="W149" i="17"/>
  <c r="AA149" i="17"/>
  <c r="AB149" i="17"/>
  <c r="I122" i="17"/>
  <c r="O122" i="17"/>
  <c r="H122" i="17"/>
  <c r="B168" i="17"/>
  <c r="E122" i="17"/>
  <c r="B145" i="17"/>
  <c r="P122" i="17"/>
  <c r="Z101" i="34"/>
  <c r="O101" i="34"/>
  <c r="H100" i="34"/>
  <c r="Z100" i="34"/>
  <c r="I62" i="11"/>
  <c r="X48" i="34"/>
  <c r="AJ61" i="34"/>
  <c r="V35" i="33"/>
  <c r="AF100" i="34"/>
  <c r="N47" i="34"/>
  <c r="J48" i="34"/>
  <c r="R47" i="34"/>
  <c r="V187" i="17"/>
  <c r="V141" i="17"/>
  <c r="V164" i="17"/>
  <c r="I63" i="11"/>
  <c r="N100" i="34"/>
  <c r="AJ30" i="34"/>
  <c r="V17" i="33"/>
  <c r="T101" i="34"/>
  <c r="I116" i="17"/>
  <c r="O116" i="17"/>
  <c r="H116" i="17"/>
  <c r="B162" i="17"/>
  <c r="E116" i="17"/>
  <c r="B139" i="17"/>
  <c r="P116" i="17"/>
  <c r="AE50" i="13"/>
  <c r="AF49" i="13"/>
  <c r="AJ59" i="34"/>
  <c r="V34" i="33"/>
  <c r="X100" i="34"/>
  <c r="AJ79" i="34"/>
  <c r="V44" i="33"/>
  <c r="Y100" i="34"/>
  <c r="F101" i="34"/>
  <c r="N50" i="13"/>
  <c r="O49" i="13"/>
  <c r="K47" i="34"/>
  <c r="AJ81" i="34"/>
  <c r="V45" i="33"/>
  <c r="E100" i="34"/>
  <c r="AC101" i="34"/>
  <c r="AD47" i="34"/>
  <c r="S100" i="34"/>
  <c r="AA100" i="34"/>
  <c r="I101" i="34"/>
  <c r="AJ67" i="34"/>
  <c r="V38" i="33"/>
  <c r="Z48" i="34"/>
  <c r="AJ40" i="34"/>
  <c r="V22" i="33"/>
  <c r="AH100" i="34"/>
  <c r="AG48" i="34"/>
  <c r="AF47" i="34"/>
  <c r="I21" i="11"/>
  <c r="A67" i="11"/>
  <c r="O19" i="13"/>
  <c r="N20" i="13"/>
  <c r="O114" i="17"/>
  <c r="H114" i="17"/>
  <c r="I114" i="17"/>
  <c r="B160" i="17"/>
  <c r="P114" i="17"/>
  <c r="B137" i="17"/>
  <c r="E114" i="17"/>
  <c r="AJ73" i="34"/>
  <c r="V41" i="33"/>
  <c r="AJ32" i="34"/>
  <c r="V18" i="33"/>
  <c r="V154" i="17"/>
  <c r="V177" i="17"/>
  <c r="V131" i="17"/>
  <c r="AF10" i="13"/>
  <c r="AE11" i="13"/>
  <c r="I66" i="11"/>
  <c r="AC100" i="34"/>
  <c r="AA48" i="34"/>
  <c r="AJ14" i="34"/>
  <c r="V9" i="33"/>
  <c r="R101" i="34"/>
  <c r="M101" i="34"/>
  <c r="E101" i="34"/>
  <c r="AJ89" i="34"/>
  <c r="V49" i="33"/>
  <c r="H101" i="34"/>
  <c r="M100" i="34"/>
  <c r="O47" i="34"/>
  <c r="G48" i="34"/>
  <c r="V167" i="17"/>
  <c r="V190" i="17"/>
  <c r="V144" i="17"/>
  <c r="V181" i="17"/>
  <c r="V158" i="17"/>
  <c r="V135" i="17"/>
  <c r="AH42" i="46"/>
  <c r="AB45" i="46"/>
  <c r="AJ45" i="46"/>
  <c r="AA45" i="46"/>
  <c r="X38" i="46"/>
  <c r="E46" i="46"/>
  <c r="AA46" i="46"/>
  <c r="AJ150" i="17"/>
  <c r="F173" i="17"/>
  <c r="U18" i="33"/>
  <c r="W13" i="46"/>
  <c r="AH11" i="46"/>
  <c r="Y45" i="46"/>
  <c r="Z45" i="46"/>
  <c r="K45" i="46"/>
  <c r="Q45" i="46"/>
  <c r="M45" i="46"/>
  <c r="AG45" i="46"/>
  <c r="U45" i="46"/>
  <c r="P45" i="46"/>
  <c r="V45" i="46"/>
  <c r="X42" i="46"/>
  <c r="X13" i="46"/>
  <c r="AH13" i="46"/>
  <c r="W11" i="46"/>
  <c r="AI45" i="46"/>
  <c r="AH46" i="46"/>
  <c r="T50" i="33"/>
  <c r="U49" i="33"/>
  <c r="W38" i="46"/>
  <c r="T37" i="33"/>
  <c r="U22" i="33"/>
  <c r="U50" i="33"/>
  <c r="AC194" i="17"/>
  <c r="AE194" i="17"/>
  <c r="AJ194" i="17"/>
  <c r="AH38" i="46"/>
  <c r="AC148" i="17"/>
  <c r="AE148" i="17"/>
  <c r="AJ148" i="17"/>
  <c r="X46" i="46"/>
  <c r="AH15" i="46"/>
  <c r="W15" i="46"/>
  <c r="X15" i="46"/>
  <c r="D16" i="46"/>
  <c r="U5" i="33"/>
  <c r="J127" i="17"/>
  <c r="E25" i="46"/>
  <c r="U20" i="33"/>
  <c r="H23" i="46"/>
  <c r="D14" i="46"/>
  <c r="W14" i="46"/>
  <c r="D40" i="46"/>
  <c r="D12" i="46"/>
  <c r="U21" i="33"/>
  <c r="D24" i="46"/>
  <c r="D33" i="46"/>
  <c r="X34" i="46"/>
  <c r="AH34" i="46"/>
  <c r="W34" i="46"/>
  <c r="D23" i="46"/>
  <c r="D17" i="46"/>
  <c r="D18" i="46"/>
  <c r="W46" i="46"/>
  <c r="D22" i="46"/>
  <c r="D25" i="46"/>
  <c r="D6" i="46"/>
  <c r="D37" i="46"/>
  <c r="D9" i="46"/>
  <c r="D20" i="46"/>
  <c r="D44" i="46"/>
  <c r="D29" i="46"/>
  <c r="D19" i="46"/>
  <c r="D21" i="46"/>
  <c r="F45" i="46"/>
  <c r="AH45" i="46"/>
  <c r="W45" i="46"/>
  <c r="X45" i="46"/>
  <c r="AI28" i="17"/>
  <c r="X28" i="17"/>
  <c r="X23" i="17"/>
  <c r="X22" i="17"/>
  <c r="AD26" i="17"/>
  <c r="X18" i="17"/>
  <c r="AK26" i="17"/>
  <c r="X20" i="17"/>
  <c r="AD28" i="17"/>
  <c r="AI26" i="17"/>
  <c r="X19" i="17"/>
  <c r="X24" i="17"/>
  <c r="AK28" i="17"/>
  <c r="X15" i="17"/>
  <c r="AI27" i="17"/>
  <c r="X12" i="17"/>
  <c r="AH10" i="46"/>
  <c r="X10" i="46"/>
  <c r="W10" i="46"/>
  <c r="X18" i="46"/>
  <c r="AG46" i="46"/>
  <c r="K46" i="46"/>
  <c r="Q46" i="46"/>
  <c r="H46" i="46"/>
  <c r="P46" i="46"/>
  <c r="L46" i="46"/>
  <c r="U46" i="46"/>
  <c r="V46" i="46"/>
  <c r="J46" i="46"/>
  <c r="M46" i="46"/>
  <c r="X16" i="17"/>
  <c r="AD27" i="17"/>
  <c r="X27" i="17"/>
  <c r="X26" i="17"/>
  <c r="X21" i="17"/>
  <c r="X13" i="17"/>
  <c r="X10" i="17"/>
  <c r="AB46" i="46"/>
  <c r="E47" i="46"/>
  <c r="AB47" i="46"/>
  <c r="AE27" i="17"/>
  <c r="AJ46" i="46"/>
  <c r="X11" i="17"/>
  <c r="X9" i="17"/>
  <c r="X25" i="17"/>
  <c r="K26" i="17"/>
  <c r="T33" i="33"/>
  <c r="T34" i="33"/>
  <c r="T35" i="33"/>
  <c r="T36" i="33"/>
  <c r="T38" i="33"/>
  <c r="T39" i="33"/>
  <c r="T40" i="33"/>
  <c r="T41" i="33"/>
  <c r="T42" i="33"/>
  <c r="T43" i="33"/>
  <c r="T44" i="33"/>
  <c r="T45" i="33"/>
  <c r="T46" i="33"/>
  <c r="T47" i="33"/>
  <c r="T48" i="33"/>
  <c r="T49" i="33"/>
  <c r="T52" i="33"/>
  <c r="T56" i="33"/>
  <c r="J57" i="33"/>
  <c r="J58" i="33"/>
  <c r="X14" i="17"/>
  <c r="U7" i="33"/>
  <c r="D173" i="17"/>
  <c r="H150" i="17"/>
  <c r="J196" i="17"/>
  <c r="L196" i="17"/>
  <c r="Q196" i="17"/>
  <c r="F150" i="17"/>
  <c r="G173" i="17"/>
  <c r="U17" i="33"/>
  <c r="I56" i="33"/>
  <c r="L102" i="34"/>
  <c r="W102" i="34"/>
  <c r="AD102" i="34"/>
  <c r="U4" i="33"/>
  <c r="P56" i="33"/>
  <c r="U9" i="33"/>
  <c r="J38" i="2"/>
  <c r="AF26" i="17"/>
  <c r="AF28" i="17"/>
  <c r="U36" i="33"/>
  <c r="AE126" i="17"/>
  <c r="U101" i="34"/>
  <c r="I173" i="17"/>
  <c r="O173" i="17"/>
  <c r="O150" i="17"/>
  <c r="K49" i="34"/>
  <c r="L26" i="17"/>
  <c r="R26" i="17"/>
  <c r="L28" i="17"/>
  <c r="K28" i="17"/>
  <c r="L27" i="17"/>
  <c r="K27" i="17"/>
  <c r="G56" i="33"/>
  <c r="AI102" i="34"/>
  <c r="Y102" i="34"/>
  <c r="AF102" i="34"/>
  <c r="X102" i="34"/>
  <c r="U38" i="33"/>
  <c r="O102" i="34"/>
  <c r="U35" i="33"/>
  <c r="N56" i="33"/>
  <c r="P102" i="34"/>
  <c r="M56" i="33"/>
  <c r="U11" i="33"/>
  <c r="U19" i="33"/>
  <c r="G27" i="33"/>
  <c r="U15" i="33"/>
  <c r="O27" i="33"/>
  <c r="H56" i="33"/>
  <c r="L56" i="33"/>
  <c r="M27" i="33"/>
  <c r="AC149" i="17"/>
  <c r="K102" i="34"/>
  <c r="U41" i="33"/>
  <c r="U47" i="33"/>
  <c r="F102" i="34"/>
  <c r="J56" i="33"/>
  <c r="M49" i="34"/>
  <c r="H27" i="33"/>
  <c r="J125" i="17"/>
  <c r="L125" i="17"/>
  <c r="U8" i="33"/>
  <c r="F27" i="33"/>
  <c r="P27" i="33"/>
  <c r="K27" i="33"/>
  <c r="U23" i="33"/>
  <c r="J126" i="17"/>
  <c r="AI49" i="34"/>
  <c r="W49" i="34"/>
  <c r="J27" i="33"/>
  <c r="AH49" i="34"/>
  <c r="P49" i="34"/>
  <c r="AE49" i="34"/>
  <c r="O49" i="34"/>
  <c r="AG49" i="34"/>
  <c r="AB49" i="34"/>
  <c r="S49" i="34"/>
  <c r="U48" i="34"/>
  <c r="AD49" i="34"/>
  <c r="E49" i="34"/>
  <c r="N49" i="34"/>
  <c r="Q49" i="34"/>
  <c r="L127" i="17"/>
  <c r="L27" i="33"/>
  <c r="Z49" i="34"/>
  <c r="E27" i="33"/>
  <c r="U14" i="33"/>
  <c r="V47" i="34"/>
  <c r="H49" i="34"/>
  <c r="N27" i="33"/>
  <c r="U10" i="33"/>
  <c r="T49" i="34"/>
  <c r="U6" i="33"/>
  <c r="AF49" i="34"/>
  <c r="U47" i="34"/>
  <c r="V48" i="34"/>
  <c r="AH102" i="34"/>
  <c r="U100" i="34"/>
  <c r="Q56" i="33"/>
  <c r="U43" i="33"/>
  <c r="N102" i="34"/>
  <c r="F56" i="33"/>
  <c r="K56" i="33"/>
  <c r="V100" i="34"/>
  <c r="O56" i="33"/>
  <c r="I171" i="17"/>
  <c r="G171" i="17"/>
  <c r="D171" i="17"/>
  <c r="F171" i="17"/>
  <c r="O171" i="17"/>
  <c r="H171" i="17"/>
  <c r="AE149" i="17"/>
  <c r="AJ149" i="17"/>
  <c r="U48" i="33"/>
  <c r="AG102" i="34"/>
  <c r="U46" i="33"/>
  <c r="E56" i="33"/>
  <c r="U45" i="33"/>
  <c r="T102" i="34"/>
  <c r="Q102" i="34"/>
  <c r="AB102" i="34"/>
  <c r="S102" i="34"/>
  <c r="G102" i="34"/>
  <c r="U39" i="33"/>
  <c r="U37" i="33"/>
  <c r="V101" i="34"/>
  <c r="U34" i="33"/>
  <c r="M102" i="34"/>
  <c r="G49" i="34"/>
  <c r="L126" i="17"/>
  <c r="L49" i="34"/>
  <c r="F49" i="34"/>
  <c r="I27" i="33"/>
  <c r="I49" i="34"/>
  <c r="AC49" i="34"/>
  <c r="J49" i="34"/>
  <c r="Q27" i="33"/>
  <c r="D27" i="33"/>
  <c r="R49" i="34"/>
  <c r="AA102" i="34"/>
  <c r="E102" i="34"/>
  <c r="D56" i="33"/>
  <c r="J102" i="34"/>
  <c r="O20" i="13"/>
  <c r="N21" i="13"/>
  <c r="AE102" i="34"/>
  <c r="I102" i="34"/>
  <c r="R102" i="34"/>
  <c r="AA49" i="34"/>
  <c r="AE51" i="13"/>
  <c r="AF50" i="13"/>
  <c r="O50" i="13"/>
  <c r="N51" i="13"/>
  <c r="I22" i="11"/>
  <c r="X49" i="34"/>
  <c r="AF11" i="13"/>
  <c r="AE12" i="13"/>
  <c r="AC102" i="34"/>
  <c r="Y49" i="34"/>
  <c r="Z102" i="34"/>
  <c r="A69" i="11"/>
  <c r="O172" i="17"/>
  <c r="F172" i="17"/>
  <c r="G172" i="17"/>
  <c r="I172" i="17"/>
  <c r="D172" i="17"/>
  <c r="H172" i="17"/>
  <c r="A23" i="11"/>
  <c r="I67" i="11"/>
  <c r="H102" i="34"/>
  <c r="AJ47" i="46"/>
  <c r="AA47" i="46"/>
  <c r="G45" i="46"/>
  <c r="W50" i="33"/>
  <c r="J23" i="46"/>
  <c r="U23" i="46"/>
  <c r="AH24" i="46"/>
  <c r="AA25" i="46"/>
  <c r="AJ25" i="46"/>
  <c r="AB25" i="46"/>
  <c r="AH17" i="46"/>
  <c r="W17" i="46"/>
  <c r="AH14" i="46"/>
  <c r="W18" i="46"/>
  <c r="AH9" i="46"/>
  <c r="W9" i="46"/>
  <c r="E23" i="46"/>
  <c r="AB23" i="46"/>
  <c r="E24" i="46"/>
  <c r="AB24" i="46"/>
  <c r="K23" i="46"/>
  <c r="Q23" i="46"/>
  <c r="P23" i="46"/>
  <c r="X17" i="46"/>
  <c r="X24" i="46"/>
  <c r="L23" i="46"/>
  <c r="AG23" i="46"/>
  <c r="M23" i="46"/>
  <c r="V23" i="46"/>
  <c r="X14" i="46"/>
  <c r="AH18" i="46"/>
  <c r="D48" i="46"/>
  <c r="D26" i="46"/>
  <c r="X9" i="46"/>
  <c r="AI25" i="46"/>
  <c r="Y25" i="46"/>
  <c r="F25" i="46"/>
  <c r="S25" i="46"/>
  <c r="Z25" i="46"/>
  <c r="D150" i="17"/>
  <c r="C43" i="15"/>
  <c r="C44" i="15"/>
  <c r="C45" i="15"/>
  <c r="C46" i="15"/>
  <c r="C47" i="15"/>
  <c r="C49" i="15"/>
  <c r="C50" i="15"/>
  <c r="C51" i="15"/>
  <c r="C52" i="15"/>
  <c r="C53" i="15"/>
  <c r="C55" i="15"/>
  <c r="C57" i="15"/>
  <c r="C58" i="15"/>
  <c r="C59" i="15"/>
  <c r="C60" i="15"/>
  <c r="C61" i="15"/>
  <c r="C62" i="15"/>
  <c r="C63" i="15"/>
  <c r="C65" i="15"/>
  <c r="C66" i="15"/>
  <c r="C67" i="15"/>
  <c r="C68" i="15"/>
  <c r="C69" i="15"/>
  <c r="C71" i="15"/>
  <c r="C73" i="15"/>
  <c r="C74" i="15"/>
  <c r="C75" i="15"/>
  <c r="C76" i="15"/>
  <c r="C77" i="15"/>
  <c r="C78" i="15"/>
  <c r="G43" i="15"/>
  <c r="G45" i="15"/>
  <c r="G47" i="15"/>
  <c r="G49" i="15"/>
  <c r="G51" i="15"/>
  <c r="G53" i="15"/>
  <c r="G55" i="15"/>
  <c r="G57" i="15"/>
  <c r="G59" i="15"/>
  <c r="G61" i="15"/>
  <c r="G63" i="15"/>
  <c r="G65" i="15"/>
  <c r="G67" i="15"/>
  <c r="G69" i="15"/>
  <c r="G71" i="15"/>
  <c r="G73" i="15"/>
  <c r="G75" i="15"/>
  <c r="G77" i="15"/>
  <c r="C120" i="15"/>
  <c r="C121" i="15"/>
  <c r="C122" i="15"/>
  <c r="C123" i="15"/>
  <c r="C124" i="15"/>
  <c r="C126" i="15"/>
  <c r="C127" i="15"/>
  <c r="C128" i="15"/>
  <c r="C129" i="15"/>
  <c r="C130" i="15"/>
  <c r="C132" i="15"/>
  <c r="C133" i="15"/>
  <c r="C134" i="15"/>
  <c r="C135" i="15"/>
  <c r="C136" i="15"/>
  <c r="C137" i="15"/>
  <c r="C138" i="15"/>
  <c r="C139" i="15"/>
  <c r="C140" i="15"/>
  <c r="C142" i="15"/>
  <c r="C143" i="15"/>
  <c r="C144" i="15"/>
  <c r="C145" i="15"/>
  <c r="C146" i="15"/>
  <c r="C148" i="15"/>
  <c r="C149" i="15"/>
  <c r="C150" i="15"/>
  <c r="C151" i="15"/>
  <c r="C152" i="15"/>
  <c r="C153" i="15"/>
  <c r="C154" i="15"/>
  <c r="C155" i="15"/>
  <c r="C156" i="15"/>
  <c r="C158" i="15"/>
  <c r="C159" i="15"/>
  <c r="C160" i="15"/>
  <c r="C161" i="15"/>
  <c r="C162" i="15"/>
  <c r="V24" i="46"/>
  <c r="V25" i="46"/>
  <c r="H43" i="15"/>
  <c r="H45" i="15"/>
  <c r="I45" i="15" s="1"/>
  <c r="H47" i="15"/>
  <c r="I47" i="15" s="1"/>
  <c r="H49" i="15"/>
  <c r="I49" i="15" s="1"/>
  <c r="H51" i="15"/>
  <c r="I51" i="15" s="1"/>
  <c r="H53" i="15"/>
  <c r="I53" i="15" s="1"/>
  <c r="H55" i="15"/>
  <c r="I55" i="15" s="1"/>
  <c r="H57" i="15"/>
  <c r="H59" i="15"/>
  <c r="H61" i="15"/>
  <c r="H63" i="15"/>
  <c r="I63" i="15" s="1"/>
  <c r="H65" i="15"/>
  <c r="I65" i="15" s="1"/>
  <c r="H67" i="15"/>
  <c r="I67" i="15" s="1"/>
  <c r="H69" i="15"/>
  <c r="H71" i="15"/>
  <c r="I71" i="15" s="1"/>
  <c r="H73" i="15"/>
  <c r="H75" i="15"/>
  <c r="I75" i="15" s="1"/>
  <c r="H77" i="15"/>
  <c r="I77" i="15" s="1"/>
  <c r="L43" i="15"/>
  <c r="L44" i="15"/>
  <c r="L45" i="15"/>
  <c r="L46" i="15"/>
  <c r="L47" i="15"/>
  <c r="L49" i="15"/>
  <c r="L51" i="15"/>
  <c r="L52" i="15"/>
  <c r="L53" i="15"/>
  <c r="L55" i="15"/>
  <c r="L57" i="15"/>
  <c r="L58" i="15"/>
  <c r="L59" i="15"/>
  <c r="L60" i="15"/>
  <c r="L61" i="15"/>
  <c r="L62" i="15"/>
  <c r="L63" i="15"/>
  <c r="L65" i="15"/>
  <c r="L67" i="15"/>
  <c r="L68" i="15"/>
  <c r="L69" i="15"/>
  <c r="L71" i="15"/>
  <c r="L73" i="15"/>
  <c r="L74" i="15"/>
  <c r="L75" i="15"/>
  <c r="L76" i="15"/>
  <c r="L77" i="15"/>
  <c r="L78" i="15"/>
  <c r="I43" i="15"/>
  <c r="I57" i="15"/>
  <c r="I59" i="15"/>
  <c r="I61" i="15"/>
  <c r="I69" i="15"/>
  <c r="I73" i="15"/>
  <c r="J43" i="15"/>
  <c r="J44" i="15"/>
  <c r="J45" i="15"/>
  <c r="J46" i="15"/>
  <c r="J47" i="15"/>
  <c r="J48" i="15"/>
  <c r="J49" i="15"/>
  <c r="J51" i="15"/>
  <c r="J52" i="15"/>
  <c r="J53" i="15"/>
  <c r="J54" i="15"/>
  <c r="J55" i="15"/>
  <c r="J57" i="15"/>
  <c r="J58" i="15"/>
  <c r="J59" i="15"/>
  <c r="J60" i="15"/>
  <c r="J61" i="15"/>
  <c r="J62" i="15"/>
  <c r="J63" i="15"/>
  <c r="J64" i="15"/>
  <c r="J65" i="15"/>
  <c r="J67" i="15"/>
  <c r="J68" i="15"/>
  <c r="J69" i="15"/>
  <c r="J70" i="15"/>
  <c r="J71" i="15"/>
  <c r="J73" i="15"/>
  <c r="J74" i="15"/>
  <c r="J75" i="15"/>
  <c r="J76" i="15"/>
  <c r="J77" i="15"/>
  <c r="J78" i="15"/>
  <c r="AJ23" i="46"/>
  <c r="W24" i="46"/>
  <c r="X37" i="46"/>
  <c r="W37" i="46"/>
  <c r="AH37" i="46"/>
  <c r="W22" i="46"/>
  <c r="X22" i="46"/>
  <c r="AH22" i="46"/>
  <c r="AH12" i="46"/>
  <c r="X12" i="46"/>
  <c r="W12" i="46"/>
  <c r="AH16" i="46"/>
  <c r="X16" i="46"/>
  <c r="W16" i="46"/>
  <c r="S43" i="15"/>
  <c r="S44" i="15"/>
  <c r="S45" i="15"/>
  <c r="S46" i="15"/>
  <c r="S47" i="15"/>
  <c r="S48" i="15"/>
  <c r="S49" i="15"/>
  <c r="S51" i="15"/>
  <c r="S52" i="15"/>
  <c r="S53" i="15"/>
  <c r="S54" i="15"/>
  <c r="S55" i="15"/>
  <c r="S56" i="15"/>
  <c r="S57" i="15"/>
  <c r="S58" i="15"/>
  <c r="S59" i="15"/>
  <c r="S60" i="15"/>
  <c r="S61" i="15"/>
  <c r="S62" i="15"/>
  <c r="S63" i="15"/>
  <c r="S64" i="15"/>
  <c r="S65" i="15"/>
  <c r="S67" i="15"/>
  <c r="S68" i="15"/>
  <c r="S69" i="15"/>
  <c r="S70" i="15"/>
  <c r="S71" i="15"/>
  <c r="S72" i="15"/>
  <c r="S73" i="15"/>
  <c r="S74" i="15"/>
  <c r="S75" i="15"/>
  <c r="S76" i="15"/>
  <c r="S77" i="15"/>
  <c r="S78" i="15"/>
  <c r="X43" i="15"/>
  <c r="Y43" i="15" s="1"/>
  <c r="X45" i="15"/>
  <c r="X47" i="15"/>
  <c r="X49" i="15"/>
  <c r="X51" i="15"/>
  <c r="X53" i="15"/>
  <c r="Y53" i="15" s="1"/>
  <c r="X55" i="15"/>
  <c r="Y55" i="15" s="1"/>
  <c r="X57" i="15"/>
  <c r="Y57" i="15" s="1"/>
  <c r="X59" i="15"/>
  <c r="Y59" i="15" s="1"/>
  <c r="X61" i="15"/>
  <c r="Y61" i="15" s="1"/>
  <c r="X63" i="15"/>
  <c r="X65" i="15"/>
  <c r="X67" i="15"/>
  <c r="Y67" i="15" s="1"/>
  <c r="X69" i="15"/>
  <c r="Y69" i="15" s="1"/>
  <c r="X71" i="15"/>
  <c r="Y71" i="15" s="1"/>
  <c r="X73" i="15"/>
  <c r="X75" i="15"/>
  <c r="Y75" i="15" s="1"/>
  <c r="X77" i="15"/>
  <c r="Y77" i="15" s="1"/>
  <c r="S120" i="15"/>
  <c r="S121" i="15"/>
  <c r="S122" i="15"/>
  <c r="S123" i="15"/>
  <c r="S124" i="15"/>
  <c r="S126" i="15"/>
  <c r="S127" i="15"/>
  <c r="S128" i="15"/>
  <c r="S129" i="15"/>
  <c r="S130" i="15"/>
  <c r="S131" i="15"/>
  <c r="S132" i="15"/>
  <c r="S133" i="15"/>
  <c r="S134" i="15"/>
  <c r="S136" i="15"/>
  <c r="S137" i="15"/>
  <c r="S138" i="15"/>
  <c r="S139" i="15"/>
  <c r="S140" i="15"/>
  <c r="S142" i="15"/>
  <c r="S143" i="15"/>
  <c r="S144" i="15"/>
  <c r="S145" i="15"/>
  <c r="S146" i="15"/>
  <c r="S147" i="15"/>
  <c r="S148" i="15"/>
  <c r="S149" i="15"/>
  <c r="S150" i="15"/>
  <c r="S152" i="15"/>
  <c r="S153" i="15"/>
  <c r="S154" i="15"/>
  <c r="S155" i="15"/>
  <c r="S156" i="15"/>
  <c r="S158" i="15"/>
  <c r="S159" i="15"/>
  <c r="S160" i="15"/>
  <c r="S161" i="15"/>
  <c r="S162" i="15"/>
  <c r="S163" i="15"/>
  <c r="X120" i="15"/>
  <c r="X122" i="15"/>
  <c r="Y122" i="15" s="1"/>
  <c r="X124" i="15"/>
  <c r="Y124" i="15" s="1"/>
  <c r="X126" i="15"/>
  <c r="X128" i="15"/>
  <c r="X130" i="15"/>
  <c r="X132" i="15"/>
  <c r="X134" i="15"/>
  <c r="Y134" i="15" s="1"/>
  <c r="X136" i="15"/>
  <c r="X138" i="15"/>
  <c r="Y138" i="15" s="1"/>
  <c r="X140" i="15"/>
  <c r="Y140" i="15" s="1"/>
  <c r="X142" i="15"/>
  <c r="X144" i="15"/>
  <c r="X146" i="15"/>
  <c r="X148" i="15"/>
  <c r="X150" i="15"/>
  <c r="Y150" i="15" s="1"/>
  <c r="X152" i="15"/>
  <c r="X154" i="15"/>
  <c r="Y154" i="15" s="1"/>
  <c r="X156" i="15"/>
  <c r="Y156" i="15" s="1"/>
  <c r="X158" i="15"/>
  <c r="X160" i="15"/>
  <c r="X162" i="15"/>
  <c r="W43" i="15"/>
  <c r="W45" i="15"/>
  <c r="W47" i="15"/>
  <c r="W49" i="15"/>
  <c r="W51" i="15"/>
  <c r="W53" i="15"/>
  <c r="W55" i="15"/>
  <c r="W57" i="15"/>
  <c r="W59" i="15"/>
  <c r="W61" i="15"/>
  <c r="W63" i="15"/>
  <c r="W65" i="15"/>
  <c r="W67" i="15"/>
  <c r="W69" i="15"/>
  <c r="W71" i="15"/>
  <c r="W73" i="15"/>
  <c r="W75" i="15"/>
  <c r="W77" i="15"/>
  <c r="W120" i="15"/>
  <c r="W122" i="15"/>
  <c r="W124" i="15"/>
  <c r="W126" i="15"/>
  <c r="W128" i="15"/>
  <c r="W130" i="15"/>
  <c r="W132" i="15"/>
  <c r="W134" i="15"/>
  <c r="W136" i="15"/>
  <c r="W138" i="15"/>
  <c r="W140" i="15"/>
  <c r="W142" i="15"/>
  <c r="W144" i="15"/>
  <c r="W146" i="15"/>
  <c r="W148" i="15"/>
  <c r="W150" i="15"/>
  <c r="W152" i="15"/>
  <c r="W154" i="15"/>
  <c r="W156" i="15"/>
  <c r="W158" i="15"/>
  <c r="W160" i="15"/>
  <c r="W162" i="15"/>
  <c r="Z43" i="15"/>
  <c r="Z44" i="15"/>
  <c r="Z45" i="15"/>
  <c r="Z46" i="15"/>
  <c r="Z47" i="15"/>
  <c r="Z48" i="15"/>
  <c r="Z49" i="15"/>
  <c r="Z51" i="15"/>
  <c r="Z52" i="15"/>
  <c r="Z53" i="15"/>
  <c r="Z54" i="15"/>
  <c r="Z55" i="15"/>
  <c r="Z56" i="15"/>
  <c r="Z57" i="15"/>
  <c r="Z58" i="15"/>
  <c r="Z59" i="15"/>
  <c r="Z60" i="15"/>
  <c r="Z61" i="15"/>
  <c r="Z62" i="15"/>
  <c r="Z63" i="15"/>
  <c r="Z64" i="15"/>
  <c r="Z65" i="15"/>
  <c r="Z67" i="15"/>
  <c r="Z68" i="15"/>
  <c r="Z69" i="15"/>
  <c r="Z70" i="15"/>
  <c r="Z71" i="15"/>
  <c r="Z72" i="15"/>
  <c r="Z73" i="15"/>
  <c r="Z74" i="15"/>
  <c r="Z75" i="15"/>
  <c r="Z76" i="15"/>
  <c r="Z77" i="15"/>
  <c r="Z78" i="15"/>
  <c r="Z120" i="15"/>
  <c r="Z121" i="15"/>
  <c r="Z122" i="15"/>
  <c r="Z124" i="15"/>
  <c r="Z125" i="15"/>
  <c r="Z126" i="15"/>
  <c r="Z127" i="15"/>
  <c r="Z128" i="15"/>
  <c r="Z129" i="15"/>
  <c r="Z130" i="15"/>
  <c r="Z131" i="15"/>
  <c r="Z132" i="15"/>
  <c r="Z133" i="15"/>
  <c r="Z134" i="15"/>
  <c r="Z135" i="15"/>
  <c r="Z136" i="15"/>
  <c r="Z137" i="15"/>
  <c r="Z138" i="15"/>
  <c r="Z140" i="15"/>
  <c r="Z141" i="15"/>
  <c r="Z142" i="15"/>
  <c r="Z143" i="15"/>
  <c r="Z144" i="15"/>
  <c r="Z145" i="15"/>
  <c r="Z146" i="15"/>
  <c r="Z147" i="15"/>
  <c r="Z148" i="15"/>
  <c r="Z149" i="15"/>
  <c r="Z150" i="15"/>
  <c r="Z151" i="15"/>
  <c r="Z152" i="15"/>
  <c r="Z153" i="15"/>
  <c r="Z154" i="15"/>
  <c r="Z156" i="15"/>
  <c r="Z157" i="15"/>
  <c r="Z158" i="15"/>
  <c r="Z159" i="15"/>
  <c r="Z160" i="15"/>
  <c r="Z161" i="15"/>
  <c r="Z162" i="15"/>
  <c r="Z163" i="15"/>
  <c r="Y45" i="15"/>
  <c r="Y47" i="15"/>
  <c r="Y49" i="15"/>
  <c r="Y51" i="15"/>
  <c r="Y63" i="15"/>
  <c r="Y65" i="15"/>
  <c r="Y73" i="15"/>
  <c r="Y120" i="15"/>
  <c r="Y126" i="15"/>
  <c r="Y128" i="15"/>
  <c r="Y130" i="15"/>
  <c r="Y132" i="15"/>
  <c r="Y136" i="15"/>
  <c r="Y142" i="15"/>
  <c r="Y144" i="15"/>
  <c r="Y146" i="15"/>
  <c r="Y148" i="15"/>
  <c r="Y152" i="15"/>
  <c r="Y158" i="15"/>
  <c r="Y160" i="15"/>
  <c r="Y162" i="15"/>
  <c r="AB43" i="15"/>
  <c r="AB45" i="15"/>
  <c r="AB47" i="15"/>
  <c r="AB48" i="15"/>
  <c r="AB49" i="15"/>
  <c r="AB51" i="15"/>
  <c r="AB53" i="15"/>
  <c r="AB54" i="15"/>
  <c r="AB55" i="15"/>
  <c r="AB56" i="15"/>
  <c r="AB57" i="15"/>
  <c r="AB58" i="15"/>
  <c r="AB59" i="15"/>
  <c r="AB61" i="15"/>
  <c r="AB63" i="15"/>
  <c r="AB64" i="15"/>
  <c r="AB65" i="15"/>
  <c r="AB67" i="15"/>
  <c r="AB69" i="15"/>
  <c r="AB70" i="15"/>
  <c r="AB71" i="15"/>
  <c r="AB72" i="15"/>
  <c r="AB73" i="15"/>
  <c r="AB74" i="15"/>
  <c r="AB75" i="15"/>
  <c r="AB77" i="15"/>
  <c r="AB120" i="15"/>
  <c r="AB121" i="15"/>
  <c r="AB122" i="15"/>
  <c r="AB124" i="15"/>
  <c r="AB126" i="15"/>
  <c r="AB127" i="15"/>
  <c r="AB128" i="15"/>
  <c r="AB129" i="15"/>
  <c r="AB130" i="15"/>
  <c r="AB131" i="15"/>
  <c r="AB132" i="15"/>
  <c r="AB134" i="15"/>
  <c r="AB136" i="15"/>
  <c r="AB137" i="15"/>
  <c r="AB138" i="15"/>
  <c r="AB140" i="15"/>
  <c r="AB142" i="15"/>
  <c r="AB143" i="15"/>
  <c r="AB144" i="15"/>
  <c r="AB145" i="15"/>
  <c r="AB146" i="15"/>
  <c r="AB147" i="15"/>
  <c r="AB148" i="15"/>
  <c r="AB150" i="15"/>
  <c r="AB152" i="15"/>
  <c r="AB153" i="15"/>
  <c r="AB154" i="15"/>
  <c r="AB156" i="15"/>
  <c r="AB158" i="15"/>
  <c r="AB159" i="15"/>
  <c r="AB160" i="15"/>
  <c r="AB161" i="15"/>
  <c r="AB162" i="15"/>
  <c r="AB163" i="15"/>
  <c r="AH44" i="46"/>
  <c r="W44" i="46"/>
  <c r="X44" i="46"/>
  <c r="AH25" i="46"/>
  <c r="W25" i="46"/>
  <c r="X25" i="46"/>
  <c r="AH23" i="46"/>
  <c r="X23" i="46"/>
  <c r="W23" i="46"/>
  <c r="L25" i="46"/>
  <c r="H25" i="46"/>
  <c r="K25" i="46"/>
  <c r="Q25" i="46"/>
  <c r="M25" i="46"/>
  <c r="P25" i="46"/>
  <c r="U25" i="46"/>
  <c r="J25" i="46"/>
  <c r="AG25" i="46"/>
  <c r="W40" i="46"/>
  <c r="AH40" i="46"/>
  <c r="X40" i="46"/>
  <c r="AL45" i="46"/>
  <c r="S45" i="46"/>
  <c r="AC45" i="46"/>
  <c r="T45" i="46"/>
  <c r="R45" i="46"/>
  <c r="J29" i="33"/>
  <c r="Z47" i="46"/>
  <c r="F47" i="46"/>
  <c r="W52" i="33"/>
  <c r="Y47" i="46"/>
  <c r="AI47" i="46"/>
  <c r="Z46" i="46"/>
  <c r="AI46" i="46"/>
  <c r="F46" i="46"/>
  <c r="W51" i="33"/>
  <c r="Y46" i="46"/>
  <c r="AK27" i="17"/>
  <c r="AF27" i="17"/>
  <c r="AI23" i="46"/>
  <c r="F149" i="17"/>
  <c r="G150" i="17"/>
  <c r="U102" i="34"/>
  <c r="M26" i="17"/>
  <c r="I150" i="17"/>
  <c r="J173" i="17"/>
  <c r="L173" i="17"/>
  <c r="Q173" i="17"/>
  <c r="R27" i="17"/>
  <c r="M27" i="17"/>
  <c r="R28" i="17"/>
  <c r="M28" i="17"/>
  <c r="O149" i="17"/>
  <c r="I149" i="17"/>
  <c r="X50" i="33"/>
  <c r="H149" i="17"/>
  <c r="J172" i="17"/>
  <c r="D149" i="17"/>
  <c r="O148" i="17"/>
  <c r="U49" i="34"/>
  <c r="J195" i="17"/>
  <c r="L195" i="17"/>
  <c r="Q195" i="17"/>
  <c r="H148" i="17"/>
  <c r="G148" i="17"/>
  <c r="I148" i="17"/>
  <c r="J194" i="17"/>
  <c r="L194" i="17"/>
  <c r="Q194" i="17"/>
  <c r="J171" i="17"/>
  <c r="L171" i="17"/>
  <c r="Q171" i="17"/>
  <c r="F148" i="17"/>
  <c r="D148" i="17"/>
  <c r="V49" i="34"/>
  <c r="U27" i="33"/>
  <c r="V102" i="34"/>
  <c r="X52" i="33"/>
  <c r="X51" i="33"/>
  <c r="U56" i="33"/>
  <c r="V53" i="33"/>
  <c r="L172" i="17"/>
  <c r="Q172" i="17"/>
  <c r="G149" i="17"/>
  <c r="I69" i="11"/>
  <c r="N52" i="13"/>
  <c r="O51" i="13"/>
  <c r="AE52" i="13"/>
  <c r="AF51" i="13"/>
  <c r="A70" i="11"/>
  <c r="O21" i="13"/>
  <c r="N22" i="13"/>
  <c r="AF12" i="13"/>
  <c r="AE13" i="13"/>
  <c r="A24" i="11"/>
  <c r="I23" i="11"/>
  <c r="V24" i="33"/>
  <c r="F23" i="46"/>
  <c r="W21" i="33"/>
  <c r="X21" i="33"/>
  <c r="AA24" i="46"/>
  <c r="Z23" i="46"/>
  <c r="AJ24" i="46"/>
  <c r="Y23" i="46"/>
  <c r="AA23" i="46"/>
  <c r="T25" i="46"/>
  <c r="W23" i="33"/>
  <c r="X23" i="33"/>
  <c r="AL25" i="46"/>
  <c r="G25" i="46"/>
  <c r="AC25" i="46"/>
  <c r="R25" i="46"/>
  <c r="J149" i="17"/>
  <c r="J150" i="17"/>
  <c r="L150" i="17"/>
  <c r="Q150" i="17"/>
  <c r="AI24" i="46"/>
  <c r="Z24" i="46"/>
  <c r="Y24" i="46"/>
  <c r="F24" i="46"/>
  <c r="W22" i="33"/>
  <c r="X22" i="33"/>
  <c r="S46" i="46"/>
  <c r="AC46" i="46"/>
  <c r="T46" i="46"/>
  <c r="R46" i="46"/>
  <c r="AL46" i="46"/>
  <c r="G46" i="46"/>
  <c r="T47" i="46"/>
  <c r="AC47" i="46"/>
  <c r="R47" i="46"/>
  <c r="AL47" i="46"/>
  <c r="S47" i="46"/>
  <c r="G47" i="46"/>
  <c r="T28" i="33"/>
  <c r="R28" i="33"/>
  <c r="T57" i="33"/>
  <c r="R57" i="33"/>
  <c r="L149" i="17"/>
  <c r="Q149" i="17"/>
  <c r="J148" i="17"/>
  <c r="L148" i="17"/>
  <c r="Q148" i="17"/>
  <c r="U28" i="33"/>
  <c r="U57" i="33"/>
  <c r="O22" i="13"/>
  <c r="N23" i="13"/>
  <c r="N53" i="13"/>
  <c r="O52" i="13"/>
  <c r="A25" i="11"/>
  <c r="I24" i="11"/>
  <c r="A71" i="11"/>
  <c r="AE14" i="13"/>
  <c r="AF13" i="13"/>
  <c r="AF52" i="13"/>
  <c r="AE53" i="13"/>
  <c r="I70" i="11"/>
  <c r="AL23" i="46"/>
  <c r="T23" i="46"/>
  <c r="S23" i="46"/>
  <c r="G23" i="46"/>
  <c r="AC23" i="46"/>
  <c r="R23" i="46"/>
  <c r="G24" i="46"/>
  <c r="AL24" i="46"/>
  <c r="N54" i="13"/>
  <c r="O53" i="13"/>
  <c r="AE54" i="13"/>
  <c r="AF53" i="13"/>
  <c r="A26" i="11"/>
  <c r="I71" i="11"/>
  <c r="I25" i="11"/>
  <c r="N24" i="13"/>
  <c r="O23" i="13"/>
  <c r="A72" i="11"/>
  <c r="AE15" i="13"/>
  <c r="AF14" i="13"/>
  <c r="O24" i="13"/>
  <c r="N25" i="13"/>
  <c r="AE55" i="13"/>
  <c r="AF54" i="13"/>
  <c r="A27" i="11"/>
  <c r="O54" i="13"/>
  <c r="N55" i="13"/>
  <c r="A73" i="11"/>
  <c r="AE16" i="13"/>
  <c r="AF15" i="13"/>
  <c r="I72" i="11"/>
  <c r="I26" i="11"/>
  <c r="I73" i="11"/>
  <c r="I27" i="11"/>
  <c r="A28" i="11"/>
  <c r="AE17" i="13"/>
  <c r="AF16" i="13"/>
  <c r="A74" i="11"/>
  <c r="N56" i="13"/>
  <c r="O55" i="13"/>
  <c r="AF55" i="13"/>
  <c r="AE56" i="13"/>
  <c r="O25" i="13"/>
  <c r="N26" i="13"/>
  <c r="N27" i="13"/>
  <c r="O26" i="13"/>
  <c r="A29" i="11"/>
  <c r="A75" i="11"/>
  <c r="AF17" i="13"/>
  <c r="AE18" i="13"/>
  <c r="AE57" i="13"/>
  <c r="AF56" i="13"/>
  <c r="O56" i="13"/>
  <c r="N57" i="13"/>
  <c r="I74" i="11"/>
  <c r="I28" i="11"/>
  <c r="AE58" i="13"/>
  <c r="AF57" i="13"/>
  <c r="O57" i="13"/>
  <c r="N58" i="13"/>
  <c r="I29" i="11"/>
  <c r="O27" i="13"/>
  <c r="N28" i="13"/>
  <c r="O28" i="13"/>
  <c r="AE19" i="13"/>
  <c r="AF18" i="13"/>
  <c r="V120" i="15"/>
  <c r="AA120" i="15"/>
  <c r="U120" i="15"/>
  <c r="AC120" i="15"/>
  <c r="I75" i="11"/>
  <c r="A30" i="11"/>
  <c r="A76" i="11"/>
  <c r="A77" i="11"/>
  <c r="AE59" i="13"/>
  <c r="AF58" i="13"/>
  <c r="AE20" i="13"/>
  <c r="AF19" i="13"/>
  <c r="I30" i="11"/>
  <c r="AC122" i="15"/>
  <c r="U122" i="15"/>
  <c r="AA122" i="15"/>
  <c r="V122" i="15"/>
  <c r="K43" i="15"/>
  <c r="E43" i="15"/>
  <c r="A31" i="11"/>
  <c r="F43" i="15"/>
  <c r="M43" i="15"/>
  <c r="N59" i="13"/>
  <c r="O58" i="13"/>
  <c r="AA121" i="15"/>
  <c r="AC121" i="15"/>
  <c r="I76" i="11"/>
  <c r="AF20" i="13"/>
  <c r="AE21" i="13"/>
  <c r="I77" i="11"/>
  <c r="J31" i="11"/>
  <c r="I31" i="11"/>
  <c r="G120" i="15"/>
  <c r="A78" i="11"/>
  <c r="K120" i="15"/>
  <c r="E120" i="15"/>
  <c r="J120" i="15"/>
  <c r="L120" i="15"/>
  <c r="F120" i="15"/>
  <c r="H120" i="15"/>
  <c r="I120" i="15" s="1"/>
  <c r="M120" i="15"/>
  <c r="U124" i="15"/>
  <c r="AA124" i="15"/>
  <c r="AC124" i="15"/>
  <c r="V124" i="15"/>
  <c r="A32" i="11"/>
  <c r="F45" i="15"/>
  <c r="E45" i="15"/>
  <c r="K45" i="15"/>
  <c r="M45" i="15"/>
  <c r="AE60" i="13"/>
  <c r="AF59" i="13"/>
  <c r="N60" i="13"/>
  <c r="O59" i="13"/>
  <c r="M44" i="15"/>
  <c r="K44" i="15"/>
  <c r="AE22" i="13"/>
  <c r="AF21" i="13"/>
  <c r="K46" i="15"/>
  <c r="M46" i="15"/>
  <c r="V126" i="15"/>
  <c r="U126" i="15"/>
  <c r="AA126" i="15"/>
  <c r="AC126" i="15"/>
  <c r="K121" i="15"/>
  <c r="M121" i="15"/>
  <c r="J121" i="15"/>
  <c r="L121" i="15"/>
  <c r="O60" i="13"/>
  <c r="N61" i="13"/>
  <c r="AF60" i="13"/>
  <c r="AE61" i="13"/>
  <c r="A33" i="11"/>
  <c r="M47" i="15"/>
  <c r="F47" i="15"/>
  <c r="E47" i="15"/>
  <c r="K47" i="15"/>
  <c r="I78" i="11"/>
  <c r="J78" i="11"/>
  <c r="J32" i="11"/>
  <c r="I32" i="11"/>
  <c r="J122" i="15"/>
  <c r="F122" i="15"/>
  <c r="L122" i="15"/>
  <c r="K122" i="15"/>
  <c r="E122" i="15"/>
  <c r="A79" i="11"/>
  <c r="G122" i="15"/>
  <c r="H122" i="15"/>
  <c r="I122" i="15"/>
  <c r="M122" i="15"/>
  <c r="E49" i="15"/>
  <c r="F49" i="15"/>
  <c r="M49" i="15"/>
  <c r="K49" i="15"/>
  <c r="A34" i="11"/>
  <c r="AE23" i="13"/>
  <c r="AF22" i="13"/>
  <c r="K48" i="15"/>
  <c r="O61" i="13"/>
  <c r="N62" i="13"/>
  <c r="M123" i="15"/>
  <c r="I79" i="11"/>
  <c r="J79" i="11"/>
  <c r="I33" i="11"/>
  <c r="J33" i="11"/>
  <c r="L124" i="15"/>
  <c r="H124" i="15"/>
  <c r="I124" i="15" s="1"/>
  <c r="G124" i="15"/>
  <c r="J124" i="15"/>
  <c r="F124" i="15"/>
  <c r="A80" i="11"/>
  <c r="K124" i="15"/>
  <c r="M124" i="15"/>
  <c r="E124" i="15"/>
  <c r="AE62" i="13"/>
  <c r="AF61" i="13"/>
  <c r="AA127" i="15"/>
  <c r="AC127" i="15"/>
  <c r="U128" i="15"/>
  <c r="AA128" i="15"/>
  <c r="AC128" i="15"/>
  <c r="V128" i="15"/>
  <c r="O62" i="13"/>
  <c r="N63" i="13"/>
  <c r="J34" i="11"/>
  <c r="I34" i="11"/>
  <c r="AE63" i="13"/>
  <c r="AF62" i="13"/>
  <c r="AA130" i="15"/>
  <c r="AC130" i="15"/>
  <c r="U130" i="15"/>
  <c r="V130" i="15"/>
  <c r="L125" i="15"/>
  <c r="M125" i="15"/>
  <c r="K125" i="15"/>
  <c r="G126" i="15"/>
  <c r="J126" i="15"/>
  <c r="L126" i="15"/>
  <c r="F126" i="15"/>
  <c r="M126" i="15"/>
  <c r="A81" i="11"/>
  <c r="H126" i="15"/>
  <c r="I126" i="15"/>
  <c r="K126" i="15"/>
  <c r="E126" i="15"/>
  <c r="AF23" i="13"/>
  <c r="AE24" i="13"/>
  <c r="M50" i="15"/>
  <c r="AC129" i="15"/>
  <c r="AA129" i="15"/>
  <c r="J80" i="11"/>
  <c r="I80" i="11"/>
  <c r="E51" i="15"/>
  <c r="F51" i="15"/>
  <c r="A35" i="11"/>
  <c r="K51" i="15"/>
  <c r="M51" i="15"/>
  <c r="J128" i="15"/>
  <c r="H128" i="15"/>
  <c r="I128" i="15" s="1"/>
  <c r="F128" i="15"/>
  <c r="A82" i="11"/>
  <c r="K128" i="15"/>
  <c r="L128" i="15"/>
  <c r="G128" i="15"/>
  <c r="M128" i="15"/>
  <c r="E128" i="15"/>
  <c r="M52" i="15"/>
  <c r="K52" i="15"/>
  <c r="AA132" i="15"/>
  <c r="U132" i="15"/>
  <c r="V132" i="15"/>
  <c r="AC132" i="15"/>
  <c r="AE25" i="13"/>
  <c r="AF24" i="13"/>
  <c r="E53" i="15"/>
  <c r="F53" i="15"/>
  <c r="K53" i="15"/>
  <c r="M53" i="15"/>
  <c r="A36" i="11"/>
  <c r="J35" i="11"/>
  <c r="I35" i="11"/>
  <c r="J81" i="11"/>
  <c r="I81" i="11"/>
  <c r="K127" i="15"/>
  <c r="L127" i="15"/>
  <c r="J127" i="15"/>
  <c r="M127" i="15"/>
  <c r="AA131" i="15"/>
  <c r="AC131" i="15"/>
  <c r="AE64" i="13"/>
  <c r="AF63" i="13"/>
  <c r="N64" i="13"/>
  <c r="O63" i="13"/>
  <c r="AF64" i="13"/>
  <c r="AE65" i="13"/>
  <c r="M129" i="15"/>
  <c r="N65" i="13"/>
  <c r="O64" i="13"/>
  <c r="AC134" i="15"/>
  <c r="V134" i="15"/>
  <c r="AA134" i="15"/>
  <c r="U134" i="15"/>
  <c r="AC133" i="15"/>
  <c r="L130" i="15"/>
  <c r="A83" i="11"/>
  <c r="F130" i="15"/>
  <c r="H130" i="15"/>
  <c r="I130" i="15" s="1"/>
  <c r="M130" i="15"/>
  <c r="J130" i="15"/>
  <c r="E130" i="15"/>
  <c r="G130" i="15"/>
  <c r="K130" i="15"/>
  <c r="I82" i="11"/>
  <c r="J82" i="11"/>
  <c r="J36" i="11"/>
  <c r="I36" i="11"/>
  <c r="M54" i="15"/>
  <c r="AF25" i="13"/>
  <c r="AE26" i="13"/>
  <c r="K55" i="15"/>
  <c r="A37" i="11"/>
  <c r="F55" i="15"/>
  <c r="E55" i="15"/>
  <c r="M55" i="15"/>
  <c r="E57" i="15"/>
  <c r="F57" i="15"/>
  <c r="A38" i="11"/>
  <c r="M57" i="15"/>
  <c r="K57" i="15"/>
  <c r="J83" i="11"/>
  <c r="I83" i="11"/>
  <c r="J37" i="11"/>
  <c r="I37" i="11"/>
  <c r="L131" i="15"/>
  <c r="J132" i="15"/>
  <c r="G132" i="15"/>
  <c r="A84" i="11"/>
  <c r="L132" i="15"/>
  <c r="E132" i="15"/>
  <c r="H132" i="15"/>
  <c r="I132" i="15"/>
  <c r="M132" i="15"/>
  <c r="F132" i="15"/>
  <c r="K132" i="15"/>
  <c r="N66" i="13"/>
  <c r="O65" i="13"/>
  <c r="AC136" i="15"/>
  <c r="AA136" i="15"/>
  <c r="U136" i="15"/>
  <c r="V136" i="15"/>
  <c r="AA135" i="15"/>
  <c r="K56" i="15"/>
  <c r="AE27" i="13"/>
  <c r="AF26" i="13"/>
  <c r="AF65" i="13"/>
  <c r="AE66" i="13"/>
  <c r="AA137" i="15"/>
  <c r="AC137" i="15"/>
  <c r="M59" i="15"/>
  <c r="F59" i="15"/>
  <c r="E59" i="15"/>
  <c r="A39" i="11"/>
  <c r="K59" i="15"/>
  <c r="N67" i="13"/>
  <c r="O66" i="13"/>
  <c r="J133" i="15"/>
  <c r="L133" i="15"/>
  <c r="K133" i="15"/>
  <c r="M133" i="15"/>
  <c r="AA138" i="15"/>
  <c r="AC138" i="15"/>
  <c r="U138" i="15"/>
  <c r="V138" i="15"/>
  <c r="K58" i="15"/>
  <c r="M58" i="15"/>
  <c r="AE67" i="13"/>
  <c r="AF66" i="13"/>
  <c r="AA43" i="15"/>
  <c r="V43" i="15"/>
  <c r="AC43" i="15"/>
  <c r="U43" i="15"/>
  <c r="I38" i="11"/>
  <c r="J38" i="11"/>
  <c r="AE28" i="13"/>
  <c r="AF28" i="13"/>
  <c r="AF27" i="13"/>
  <c r="J84" i="11"/>
  <c r="I84" i="11"/>
  <c r="H134" i="15"/>
  <c r="I134" i="15" s="1"/>
  <c r="L134" i="15"/>
  <c r="G134" i="15"/>
  <c r="J134" i="15"/>
  <c r="F134" i="15"/>
  <c r="A85" i="11"/>
  <c r="M134" i="15"/>
  <c r="K134" i="15"/>
  <c r="E134" i="15"/>
  <c r="O67" i="13"/>
  <c r="N68" i="13"/>
  <c r="I39" i="11"/>
  <c r="J39" i="11"/>
  <c r="AC140" i="15"/>
  <c r="U140" i="15"/>
  <c r="V140" i="15"/>
  <c r="AA140" i="15"/>
  <c r="L135" i="15"/>
  <c r="M135" i="15"/>
  <c r="K135" i="15"/>
  <c r="J135" i="15"/>
  <c r="AC44" i="15"/>
  <c r="U45" i="15"/>
  <c r="AA45" i="15"/>
  <c r="V45" i="15"/>
  <c r="AC45" i="15"/>
  <c r="AE68" i="13"/>
  <c r="AF67" i="13"/>
  <c r="H136" i="15"/>
  <c r="I136" i="15" s="1"/>
  <c r="J136" i="15"/>
  <c r="F136" i="15"/>
  <c r="E136" i="15"/>
  <c r="A86" i="11"/>
  <c r="L136" i="15"/>
  <c r="G136" i="15"/>
  <c r="K136" i="15"/>
  <c r="M136" i="15"/>
  <c r="K61" i="15"/>
  <c r="M61" i="15"/>
  <c r="F61" i="15"/>
  <c r="A40" i="11"/>
  <c r="E61" i="15"/>
  <c r="J85" i="11"/>
  <c r="I85" i="11"/>
  <c r="M60" i="15"/>
  <c r="K60" i="15"/>
  <c r="AA142" i="15"/>
  <c r="V142" i="15"/>
  <c r="AC142" i="15"/>
  <c r="U142" i="15"/>
  <c r="K62" i="15"/>
  <c r="M62" i="15"/>
  <c r="AA46" i="15"/>
  <c r="O68" i="13"/>
  <c r="N69" i="13"/>
  <c r="AE69" i="13"/>
  <c r="AF68" i="13"/>
  <c r="L137" i="15"/>
  <c r="M137" i="15"/>
  <c r="K137" i="15"/>
  <c r="J137" i="15"/>
  <c r="F138" i="15"/>
  <c r="K138" i="15"/>
  <c r="H138" i="15"/>
  <c r="I138" i="15"/>
  <c r="E138" i="15"/>
  <c r="A87" i="11"/>
  <c r="L138" i="15"/>
  <c r="G138" i="15"/>
  <c r="J138" i="15"/>
  <c r="M138" i="15"/>
  <c r="U47" i="15"/>
  <c r="AC47" i="15"/>
  <c r="AA47" i="15"/>
  <c r="V47" i="15"/>
  <c r="F63" i="15"/>
  <c r="A41" i="11"/>
  <c r="K63" i="15"/>
  <c r="M63" i="15"/>
  <c r="E63" i="15"/>
  <c r="J86" i="11"/>
  <c r="I86" i="11"/>
  <c r="I40" i="11"/>
  <c r="J40" i="11"/>
  <c r="K64" i="15"/>
  <c r="AC48" i="15"/>
  <c r="AA48" i="15"/>
  <c r="N70" i="13"/>
  <c r="O69" i="13"/>
  <c r="AC144" i="15"/>
  <c r="AA144" i="15"/>
  <c r="U144" i="15"/>
  <c r="V144" i="15"/>
  <c r="M139" i="15"/>
  <c r="K139" i="15"/>
  <c r="F65" i="15"/>
  <c r="A42" i="11"/>
  <c r="K65" i="15"/>
  <c r="E65" i="15"/>
  <c r="M65" i="15"/>
  <c r="J41" i="11"/>
  <c r="I41" i="11"/>
  <c r="J87" i="11"/>
  <c r="I87" i="11"/>
  <c r="AA49" i="15"/>
  <c r="V49" i="15"/>
  <c r="AC49" i="15"/>
  <c r="U49" i="15"/>
  <c r="AE70" i="13"/>
  <c r="AF69" i="13"/>
  <c r="AC143" i="15"/>
  <c r="AA143" i="15"/>
  <c r="L140" i="15"/>
  <c r="J140" i="15"/>
  <c r="A88" i="11"/>
  <c r="E140" i="15"/>
  <c r="H140" i="15"/>
  <c r="I140" i="15" s="1"/>
  <c r="G140" i="15"/>
  <c r="F140" i="15"/>
  <c r="K140" i="15"/>
  <c r="M140" i="15"/>
  <c r="AC145" i="15"/>
  <c r="AA145" i="15"/>
  <c r="A89" i="11"/>
  <c r="K142" i="15"/>
  <c r="F142" i="15"/>
  <c r="G142" i="15"/>
  <c r="H142" i="15"/>
  <c r="I142" i="15"/>
  <c r="E142" i="15"/>
  <c r="L142" i="15"/>
  <c r="M142" i="15"/>
  <c r="J142" i="15"/>
  <c r="M66" i="15"/>
  <c r="K66" i="15"/>
  <c r="V51" i="15"/>
  <c r="U51" i="15"/>
  <c r="AC51" i="15"/>
  <c r="AA51" i="15"/>
  <c r="U146" i="15"/>
  <c r="V146" i="15"/>
  <c r="AC146" i="15"/>
  <c r="AA146" i="15"/>
  <c r="AE71" i="13"/>
  <c r="AF71" i="13"/>
  <c r="AF70" i="13"/>
  <c r="O70" i="13"/>
  <c r="N71" i="13"/>
  <c r="O71" i="13"/>
  <c r="I42" i="11"/>
  <c r="J42" i="11"/>
  <c r="M141" i="15"/>
  <c r="I88" i="11"/>
  <c r="J88" i="11"/>
  <c r="M67" i="15"/>
  <c r="K67" i="15"/>
  <c r="E67" i="15"/>
  <c r="A43" i="11"/>
  <c r="F67" i="15"/>
  <c r="AA147" i="15"/>
  <c r="AC147" i="15"/>
  <c r="M68" i="15"/>
  <c r="K68" i="15"/>
  <c r="V148" i="15"/>
  <c r="AA148" i="15"/>
  <c r="AC148" i="15"/>
  <c r="U148" i="15"/>
  <c r="I89" i="11"/>
  <c r="J89" i="11"/>
  <c r="I43" i="11"/>
  <c r="J43" i="11"/>
  <c r="AA52" i="15"/>
  <c r="A44" i="11"/>
  <c r="M69" i="15"/>
  <c r="E69" i="15"/>
  <c r="F69" i="15"/>
  <c r="K69" i="15"/>
  <c r="A90" i="11"/>
  <c r="F144" i="15"/>
  <c r="M144" i="15"/>
  <c r="H144" i="15"/>
  <c r="I144" i="15" s="1"/>
  <c r="J144" i="15"/>
  <c r="G144" i="15"/>
  <c r="E144" i="15"/>
  <c r="L144" i="15"/>
  <c r="K144" i="15"/>
  <c r="U53" i="15"/>
  <c r="AA53" i="15"/>
  <c r="AC53" i="15"/>
  <c r="V53" i="15"/>
  <c r="J143" i="15"/>
  <c r="K143" i="15"/>
  <c r="L143" i="15"/>
  <c r="M143" i="15"/>
  <c r="J44" i="11"/>
  <c r="I44" i="11"/>
  <c r="L146" i="15"/>
  <c r="J146" i="15"/>
  <c r="H146" i="15"/>
  <c r="I146" i="15"/>
  <c r="K146" i="15"/>
  <c r="A91" i="11"/>
  <c r="F146" i="15"/>
  <c r="M146" i="15"/>
  <c r="E146" i="15"/>
  <c r="G146" i="15"/>
  <c r="AA54" i="15"/>
  <c r="AC54" i="15"/>
  <c r="AC149" i="15"/>
  <c r="J145" i="15"/>
  <c r="A45" i="11"/>
  <c r="K71" i="15"/>
  <c r="M71" i="15"/>
  <c r="E71" i="15"/>
  <c r="F71" i="15"/>
  <c r="AA55" i="15"/>
  <c r="U55" i="15"/>
  <c r="V55" i="15"/>
  <c r="AC55" i="15"/>
  <c r="AC150" i="15"/>
  <c r="AA150" i="15"/>
  <c r="V150" i="15"/>
  <c r="U150" i="15"/>
  <c r="J90" i="11"/>
  <c r="I90" i="11"/>
  <c r="L148" i="15"/>
  <c r="J148" i="15"/>
  <c r="A92" i="11"/>
  <c r="E148" i="15"/>
  <c r="H148" i="15"/>
  <c r="I148" i="15" s="1"/>
  <c r="K148" i="15"/>
  <c r="M148" i="15"/>
  <c r="F148" i="15"/>
  <c r="G148" i="15"/>
  <c r="AA56" i="15"/>
  <c r="AC56" i="15"/>
  <c r="AC57" i="15"/>
  <c r="U57" i="15"/>
  <c r="AA57" i="15"/>
  <c r="V57" i="15"/>
  <c r="AA152" i="15"/>
  <c r="U152" i="15"/>
  <c r="AC152" i="15"/>
  <c r="V152" i="15"/>
  <c r="K73" i="15"/>
  <c r="F73" i="15"/>
  <c r="M73" i="15"/>
  <c r="A46" i="11"/>
  <c r="E73" i="15"/>
  <c r="L147" i="15"/>
  <c r="I45" i="11"/>
  <c r="J45" i="11"/>
  <c r="J91" i="11"/>
  <c r="I91" i="11"/>
  <c r="K74" i="15"/>
  <c r="M74" i="15"/>
  <c r="V154" i="15"/>
  <c r="U154" i="15"/>
  <c r="AA154" i="15"/>
  <c r="AC154" i="15"/>
  <c r="I46" i="11"/>
  <c r="J46" i="11"/>
  <c r="AC153" i="15"/>
  <c r="AA153" i="15"/>
  <c r="AA58" i="15"/>
  <c r="AC58" i="15"/>
  <c r="I92" i="11"/>
  <c r="J92" i="11"/>
  <c r="J149" i="15"/>
  <c r="K149" i="15"/>
  <c r="L149" i="15"/>
  <c r="M149" i="15"/>
  <c r="F150" i="15"/>
  <c r="L150" i="15"/>
  <c r="M150" i="15"/>
  <c r="K150" i="15"/>
  <c r="E150" i="15"/>
  <c r="A93" i="11"/>
  <c r="H150" i="15"/>
  <c r="I150" i="15" s="1"/>
  <c r="G150" i="15"/>
  <c r="J150" i="15"/>
  <c r="A47" i="11"/>
  <c r="K75" i="15"/>
  <c r="E75" i="15"/>
  <c r="F75" i="15"/>
  <c r="M75" i="15"/>
  <c r="U59" i="15"/>
  <c r="AA59" i="15"/>
  <c r="AC59" i="15"/>
  <c r="V59" i="15"/>
  <c r="AC60" i="15"/>
  <c r="AA60" i="15"/>
  <c r="M76" i="15"/>
  <c r="K76" i="15"/>
  <c r="AA155" i="15"/>
  <c r="M77" i="15"/>
  <c r="E77" i="15"/>
  <c r="F77" i="15"/>
  <c r="A48" i="11"/>
  <c r="N67" i="15"/>
  <c r="AD67" i="15" s="1"/>
  <c r="AE67" i="15" s="1"/>
  <c r="K77" i="15"/>
  <c r="I47" i="11"/>
  <c r="J47" i="11"/>
  <c r="V61" i="15"/>
  <c r="AC61" i="15"/>
  <c r="AA61" i="15"/>
  <c r="U61" i="15"/>
  <c r="K152" i="15"/>
  <c r="H152" i="15"/>
  <c r="I152" i="15" s="1"/>
  <c r="G152" i="15"/>
  <c r="E152" i="15"/>
  <c r="M152" i="15"/>
  <c r="J152" i="15"/>
  <c r="L152" i="15"/>
  <c r="F152" i="15"/>
  <c r="A94" i="11"/>
  <c r="J93" i="11"/>
  <c r="I93" i="11"/>
  <c r="J151" i="15"/>
  <c r="L151" i="15"/>
  <c r="K151" i="15"/>
  <c r="M151" i="15"/>
  <c r="AA156" i="15"/>
  <c r="U156" i="15"/>
  <c r="V156" i="15"/>
  <c r="AC156" i="15"/>
  <c r="I94" i="11"/>
  <c r="J94" i="11"/>
  <c r="V158" i="15"/>
  <c r="AC158" i="15"/>
  <c r="U158" i="15"/>
  <c r="AA158" i="15"/>
  <c r="AC157" i="15"/>
  <c r="N73" i="15"/>
  <c r="L154" i="15"/>
  <c r="G154" i="15"/>
  <c r="F154" i="15"/>
  <c r="K154" i="15"/>
  <c r="E154" i="15"/>
  <c r="J154" i="15"/>
  <c r="A95" i="11"/>
  <c r="H154" i="15"/>
  <c r="I154" i="15" s="1"/>
  <c r="M154" i="15"/>
  <c r="N75" i="15"/>
  <c r="O75" i="15" s="1"/>
  <c r="M78" i="15"/>
  <c r="K78" i="15"/>
  <c r="AA62" i="15"/>
  <c r="J153" i="15"/>
  <c r="M153" i="15"/>
  <c r="L153" i="15"/>
  <c r="K153" i="15"/>
  <c r="I48" i="11"/>
  <c r="J48" i="11"/>
  <c r="N47" i="15"/>
  <c r="AD47" i="15" s="1"/>
  <c r="AE47" i="15" s="1"/>
  <c r="N43" i="15"/>
  <c r="O43" i="15" s="1"/>
  <c r="N45" i="15"/>
  <c r="N49" i="15"/>
  <c r="N55" i="15"/>
  <c r="N51" i="15"/>
  <c r="AD51" i="15" s="1"/>
  <c r="AE51" i="15" s="1"/>
  <c r="N53" i="15"/>
  <c r="AD53" i="15" s="1"/>
  <c r="N61" i="15"/>
  <c r="AD61" i="15" s="1"/>
  <c r="AE61" i="15" s="1"/>
  <c r="N57" i="15"/>
  <c r="O57" i="15" s="1"/>
  <c r="N63" i="15"/>
  <c r="AD63" i="15" s="1"/>
  <c r="N59" i="15"/>
  <c r="AD59" i="15" s="1"/>
  <c r="AE59" i="15" s="1"/>
  <c r="N65" i="15"/>
  <c r="N77" i="15"/>
  <c r="O77" i="15" s="1"/>
  <c r="N71" i="15"/>
  <c r="AD71" i="15" s="1"/>
  <c r="AE71" i="15" s="1"/>
  <c r="N69" i="15"/>
  <c r="U63" i="15"/>
  <c r="AA63" i="15"/>
  <c r="AC63" i="15"/>
  <c r="V63" i="15"/>
  <c r="H72" i="17"/>
  <c r="F73" i="17"/>
  <c r="D72" i="17"/>
  <c r="O74" i="17"/>
  <c r="O72" i="17"/>
  <c r="G74" i="17"/>
  <c r="I72" i="17"/>
  <c r="F74" i="17"/>
  <c r="D73" i="17"/>
  <c r="I74" i="17"/>
  <c r="D74" i="17"/>
  <c r="G73" i="17"/>
  <c r="H73" i="17"/>
  <c r="G72" i="17"/>
  <c r="F72" i="17"/>
  <c r="H74" i="17"/>
  <c r="I73" i="17"/>
  <c r="O73" i="17"/>
  <c r="E229" i="15"/>
  <c r="E226" i="15"/>
  <c r="E223" i="15"/>
  <c r="AD73" i="15"/>
  <c r="AE73" i="15" s="1"/>
  <c r="O73" i="15"/>
  <c r="U65" i="15"/>
  <c r="V65" i="15"/>
  <c r="AA65" i="15"/>
  <c r="AC65" i="15"/>
  <c r="AE53" i="15"/>
  <c r="O53" i="15"/>
  <c r="AA162" i="15"/>
  <c r="AC162" i="15"/>
  <c r="V162" i="15"/>
  <c r="U162" i="15"/>
  <c r="U160" i="15"/>
  <c r="O61" i="15"/>
  <c r="V160" i="15"/>
  <c r="AC160" i="15"/>
  <c r="AA160" i="15"/>
  <c r="AD77" i="15"/>
  <c r="AE77" i="15" s="1"/>
  <c r="AD55" i="15"/>
  <c r="AE55" i="15" s="1"/>
  <c r="O55" i="15"/>
  <c r="AD75" i="15"/>
  <c r="AE75" i="15" s="1"/>
  <c r="AD65" i="15"/>
  <c r="AE65" i="15"/>
  <c r="O65" i="15"/>
  <c r="O49" i="15"/>
  <c r="AD49" i="15"/>
  <c r="AE49" i="15" s="1"/>
  <c r="J155" i="15"/>
  <c r="K155" i="15"/>
  <c r="L155" i="15"/>
  <c r="AC159" i="15"/>
  <c r="AA159" i="15"/>
  <c r="O51" i="15"/>
  <c r="AA64" i="15"/>
  <c r="AC64" i="15"/>
  <c r="AD45" i="15"/>
  <c r="AE45" i="15"/>
  <c r="O45" i="15"/>
  <c r="AD69" i="15"/>
  <c r="AE69" i="15" s="1"/>
  <c r="O69" i="15"/>
  <c r="AE63" i="15"/>
  <c r="O63" i="15"/>
  <c r="J95" i="11"/>
  <c r="I95" i="11"/>
  <c r="H156" i="15"/>
  <c r="I156" i="15" s="1"/>
  <c r="F156" i="15"/>
  <c r="M156" i="15"/>
  <c r="L156" i="15"/>
  <c r="A96" i="11"/>
  <c r="K156" i="15"/>
  <c r="J156" i="15"/>
  <c r="G156" i="15"/>
  <c r="E156" i="15"/>
  <c r="AC96" i="17"/>
  <c r="AE96" i="17"/>
  <c r="AJ96" i="17"/>
  <c r="AC95" i="17"/>
  <c r="AE95" i="17"/>
  <c r="AJ95" i="17"/>
  <c r="AC97" i="17"/>
  <c r="AE97" i="17"/>
  <c r="AJ97" i="17"/>
  <c r="J72" i="17"/>
  <c r="L72" i="17"/>
  <c r="Q72" i="17"/>
  <c r="J73" i="17"/>
  <c r="L73" i="17"/>
  <c r="Q73" i="17"/>
  <c r="J74" i="17"/>
  <c r="L74" i="17"/>
  <c r="Q74"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AA163" i="15"/>
  <c r="AC163" i="15"/>
  <c r="AC67" i="15"/>
  <c r="U67" i="15"/>
  <c r="V67" i="15"/>
  <c r="AA67" i="15"/>
  <c r="AA66" i="15"/>
  <c r="M157" i="15"/>
  <c r="J157" i="15"/>
  <c r="I96" i="11"/>
  <c r="J96" i="11"/>
  <c r="AC161" i="15"/>
  <c r="AA161" i="15"/>
  <c r="G158" i="15"/>
  <c r="K158" i="15"/>
  <c r="J158" i="15"/>
  <c r="A97" i="11"/>
  <c r="M158" i="15"/>
  <c r="H158" i="15"/>
  <c r="I158" i="15"/>
  <c r="E158" i="15"/>
  <c r="L158" i="15"/>
  <c r="F158" i="15"/>
  <c r="U24" i="46"/>
  <c r="R24" i="46"/>
  <c r="U230" i="15"/>
  <c r="U227" i="15"/>
  <c r="U224" i="15"/>
  <c r="J159" i="15"/>
  <c r="L159" i="15"/>
  <c r="M159" i="15"/>
  <c r="K159" i="15"/>
  <c r="U69" i="15"/>
  <c r="AC69" i="15"/>
  <c r="V69" i="15"/>
  <c r="AA69" i="15"/>
  <c r="I97" i="11"/>
  <c r="J97" i="11"/>
  <c r="A98" i="11"/>
  <c r="J160" i="15"/>
  <c r="E160" i="15"/>
  <c r="F160" i="15"/>
  <c r="G160" i="15"/>
  <c r="L160" i="15"/>
  <c r="M160" i="15"/>
  <c r="H160" i="15"/>
  <c r="I160" i="15"/>
  <c r="K160" i="15"/>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A99" i="11"/>
  <c r="N162" i="15"/>
  <c r="O162" i="15" s="1"/>
  <c r="AC70" i="15"/>
  <c r="AA70" i="15"/>
  <c r="E162" i="15"/>
  <c r="L162" i="15"/>
  <c r="F162" i="15"/>
  <c r="G162" i="15"/>
  <c r="K162" i="15"/>
  <c r="J162" i="15"/>
  <c r="M162" i="15"/>
  <c r="H162" i="15"/>
  <c r="I162" i="15" s="1"/>
  <c r="N154" i="15"/>
  <c r="O154" i="15" s="1"/>
  <c r="J98" i="11"/>
  <c r="I98" i="11"/>
  <c r="N160" i="15"/>
  <c r="AD160" i="15" s="1"/>
  <c r="AC71" i="15"/>
  <c r="U71" i="15"/>
  <c r="AA71" i="15"/>
  <c r="V71" i="15"/>
  <c r="AG24" i="46"/>
  <c r="AD154" i="15"/>
  <c r="AE154" i="15"/>
  <c r="AE160" i="15"/>
  <c r="N158" i="15"/>
  <c r="AD158" i="15" s="1"/>
  <c r="AE158" i="15" s="1"/>
  <c r="N156" i="15"/>
  <c r="AC72" i="15"/>
  <c r="AA72" i="15"/>
  <c r="K163" i="15"/>
  <c r="U73" i="15"/>
  <c r="AC73" i="15"/>
  <c r="AA73" i="15"/>
  <c r="V73" i="15"/>
  <c r="J99" i="11"/>
  <c r="I99" i="11"/>
  <c r="N120" i="15"/>
  <c r="O120" i="15" s="1"/>
  <c r="N122" i="15"/>
  <c r="N132" i="15"/>
  <c r="N126" i="15"/>
  <c r="N124" i="15"/>
  <c r="O124" i="15" s="1"/>
  <c r="N128" i="15"/>
  <c r="AD128" i="15" s="1"/>
  <c r="AE128" i="15" s="1"/>
  <c r="N134" i="15"/>
  <c r="O134" i="15" s="1"/>
  <c r="N130" i="15"/>
  <c r="N136" i="15"/>
  <c r="AD136" i="15" s="1"/>
  <c r="AE136" i="15" s="1"/>
  <c r="N142" i="15"/>
  <c r="AD142" i="15" s="1"/>
  <c r="AE142" i="15" s="1"/>
  <c r="N138" i="15"/>
  <c r="O138" i="15" s="1"/>
  <c r="N140" i="15"/>
  <c r="N144" i="15"/>
  <c r="O144" i="15" s="1"/>
  <c r="N148" i="15"/>
  <c r="O148" i="15" s="1"/>
  <c r="N146" i="15"/>
  <c r="AD146" i="15" s="1"/>
  <c r="AE146" i="15" s="1"/>
  <c r="N152" i="15"/>
  <c r="AD152" i="15" s="1"/>
  <c r="AE152" i="15" s="1"/>
  <c r="N150" i="15"/>
  <c r="O150" i="15" s="1"/>
  <c r="E227" i="15"/>
  <c r="K227" i="15"/>
  <c r="K228" i="15"/>
  <c r="E230" i="15"/>
  <c r="E224" i="15"/>
  <c r="U75" i="15"/>
  <c r="AA75" i="15"/>
  <c r="V75" i="15"/>
  <c r="AC75" i="15"/>
  <c r="O146" i="15"/>
  <c r="AD140" i="15"/>
  <c r="AE140" i="15" s="1"/>
  <c r="O140" i="15"/>
  <c r="AD126" i="15"/>
  <c r="AE126" i="15" s="1"/>
  <c r="O126" i="15"/>
  <c r="AC77" i="15"/>
  <c r="AA77" i="15"/>
  <c r="V77" i="15"/>
  <c r="U77" i="15"/>
  <c r="AD138" i="15"/>
  <c r="AE138" i="15"/>
  <c r="O132" i="15"/>
  <c r="AD132" i="15"/>
  <c r="AE132" i="15" s="1"/>
  <c r="AA74" i="15"/>
  <c r="AC74" i="15"/>
  <c r="AD134" i="15"/>
  <c r="AE134" i="15" s="1"/>
  <c r="O128" i="15"/>
  <c r="O142" i="15"/>
  <c r="O122" i="15"/>
  <c r="AD122" i="15"/>
  <c r="AE122" i="15" s="1"/>
  <c r="O158" i="15"/>
  <c r="O156" i="15"/>
  <c r="AD156" i="15"/>
  <c r="AE156" i="15" s="1"/>
  <c r="E228" i="15"/>
  <c r="L227" i="15"/>
  <c r="L228" i="15"/>
  <c r="D227" i="15"/>
  <c r="D228" i="15"/>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L224" i="15"/>
  <c r="L225" i="15"/>
  <c r="H224" i="15"/>
  <c r="H225" i="15"/>
  <c r="F224" i="15"/>
  <c r="F225" i="15"/>
  <c r="K224" i="15"/>
  <c r="K225" i="15"/>
  <c r="J224" i="15"/>
  <c r="J225" i="15"/>
  <c r="I224" i="15"/>
  <c r="I225" i="15"/>
  <c r="D224" i="15"/>
  <c r="D225" i="15"/>
  <c r="M224" i="15"/>
  <c r="M225" i="15"/>
  <c r="G224" i="15"/>
  <c r="G225" i="15"/>
  <c r="N125" i="17"/>
  <c r="E225" i="15"/>
  <c r="AC76" i="15"/>
  <c r="AC78" i="15"/>
  <c r="AA78" i="15"/>
  <c r="P24" i="46"/>
  <c r="H24" i="46"/>
  <c r="I24" i="46"/>
  <c r="L24" i="46"/>
  <c r="J24" i="46"/>
  <c r="M24" i="46"/>
  <c r="K24" i="46"/>
  <c r="I23" i="46"/>
  <c r="Z72" i="17"/>
  <c r="Z49" i="17"/>
  <c r="W73" i="17"/>
  <c r="W50" i="17"/>
  <c r="AA72" i="17"/>
  <c r="AA49" i="17"/>
  <c r="Y72" i="17"/>
  <c r="W72" i="17"/>
  <c r="W49" i="17"/>
  <c r="AB72" i="17"/>
  <c r="AB49" i="17"/>
  <c r="Z73" i="17"/>
  <c r="Z50" i="17"/>
  <c r="AA74" i="17"/>
  <c r="AA51" i="17"/>
  <c r="AH72" i="17"/>
  <c r="AH49" i="17"/>
  <c r="W74" i="17"/>
  <c r="W51" i="17"/>
  <c r="Z74" i="17"/>
  <c r="Z51" i="17"/>
  <c r="Y74" i="17"/>
  <c r="AA73" i="17"/>
  <c r="AA50" i="17"/>
  <c r="Y73" i="17"/>
  <c r="AB74" i="17"/>
  <c r="AB51" i="17"/>
  <c r="G50" i="17"/>
  <c r="AH73" i="17"/>
  <c r="AH50" i="17"/>
  <c r="AB73" i="17"/>
  <c r="AB50" i="17"/>
  <c r="AH74" i="17"/>
  <c r="AH51" i="17"/>
  <c r="I50" i="17"/>
  <c r="G49" i="17"/>
  <c r="D50" i="17"/>
  <c r="D49" i="17"/>
  <c r="D51" i="17"/>
  <c r="G51" i="17"/>
  <c r="H49" i="17"/>
  <c r="H51" i="17"/>
  <c r="H50" i="17"/>
  <c r="I49" i="17"/>
  <c r="I51" i="17"/>
  <c r="U226" i="15"/>
  <c r="Y226" i="15"/>
  <c r="Y228" i="15"/>
  <c r="U229" i="15"/>
  <c r="U223" i="15"/>
  <c r="W30" i="46"/>
  <c r="X30" i="46"/>
  <c r="W29" i="46"/>
  <c r="X29" i="46"/>
  <c r="Q24" i="46"/>
  <c r="W7" i="46"/>
  <c r="X7" i="46"/>
  <c r="W6" i="46"/>
  <c r="J95" i="17"/>
  <c r="L95" i="17"/>
  <c r="Q95" i="17"/>
  <c r="F49" i="17"/>
  <c r="J49" i="17"/>
  <c r="L49" i="17"/>
  <c r="Q49" i="17"/>
  <c r="AC73" i="17"/>
  <c r="AE73" i="17"/>
  <c r="AJ73" i="17"/>
  <c r="Y50" i="17"/>
  <c r="AC50" i="17"/>
  <c r="AE50" i="17"/>
  <c r="AJ50" i="17"/>
  <c r="AC72" i="17"/>
  <c r="AE72" i="17"/>
  <c r="AJ72" i="17"/>
  <c r="Y49" i="17"/>
  <c r="AC49" i="17"/>
  <c r="AE49" i="17"/>
  <c r="AJ49" i="17"/>
  <c r="J96" i="17"/>
  <c r="L96" i="17"/>
  <c r="Q96" i="17"/>
  <c r="F50" i="17"/>
  <c r="J50" i="17"/>
  <c r="L50" i="17"/>
  <c r="Q50" i="17"/>
  <c r="AC74" i="17"/>
  <c r="AE74" i="17"/>
  <c r="AJ74" i="17"/>
  <c r="Y51" i="17"/>
  <c r="AC51" i="17"/>
  <c r="AE51" i="17"/>
  <c r="AJ51" i="17"/>
  <c r="J97" i="17"/>
  <c r="L97" i="17"/>
  <c r="Q97" i="17"/>
  <c r="F51" i="17"/>
  <c r="J51" i="17"/>
  <c r="L51" i="17"/>
  <c r="Q51" i="17"/>
  <c r="AB226" i="15"/>
  <c r="AB228" i="15"/>
  <c r="AC226" i="15"/>
  <c r="AC228" i="15"/>
  <c r="W226" i="15"/>
  <c r="W228"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23" i="15"/>
  <c r="T225" i="15"/>
  <c r="Z223" i="15"/>
  <c r="Z225" i="15"/>
  <c r="AA223" i="15"/>
  <c r="AA225" i="15"/>
  <c r="Y223" i="15"/>
  <c r="Y225" i="15"/>
  <c r="AC223" i="15"/>
  <c r="AC225" i="15"/>
  <c r="U225" i="15"/>
  <c r="I45" i="46"/>
  <c r="V223" i="15"/>
  <c r="V225" i="15"/>
  <c r="X223" i="15"/>
  <c r="X225" i="15"/>
  <c r="W223" i="15"/>
  <c r="W225" i="15"/>
  <c r="AB223" i="15"/>
  <c r="AB225" i="15"/>
  <c r="T24" i="46"/>
  <c r="AC24" i="46"/>
  <c r="S24" i="46"/>
  <c r="X6" i="46"/>
  <c r="AG27" i="17"/>
  <c r="AG28" i="17"/>
  <c r="AG26" i="17"/>
  <c r="AH30" i="46"/>
  <c r="AH6" i="46"/>
  <c r="AH7" i="46"/>
  <c r="AH29" i="46"/>
  <c r="O9" i="17"/>
  <c r="C6" i="46"/>
  <c r="G9" i="17"/>
  <c r="J9" i="17"/>
  <c r="G108" i="17"/>
  <c r="J108" i="17"/>
  <c r="E6" i="46"/>
  <c r="F6" i="46"/>
  <c r="O10" i="17"/>
  <c r="C7" i="46"/>
  <c r="G10" i="17"/>
  <c r="J10" i="17"/>
  <c r="G109" i="17"/>
  <c r="J109" i="17"/>
  <c r="E7" i="46"/>
  <c r="F7" i="46"/>
  <c r="O11" i="17"/>
  <c r="C8" i="46"/>
  <c r="G11" i="17"/>
  <c r="J11" i="17"/>
  <c r="G110" i="17"/>
  <c r="J110" i="17"/>
  <c r="E8" i="46"/>
  <c r="F8" i="46"/>
  <c r="O12" i="17"/>
  <c r="C9" i="46"/>
  <c r="G12" i="17"/>
  <c r="J12" i="17"/>
  <c r="G111" i="17"/>
  <c r="J111" i="17"/>
  <c r="E9" i="46"/>
  <c r="F9" i="46"/>
  <c r="O13" i="17"/>
  <c r="C10" i="46"/>
  <c r="G13" i="17"/>
  <c r="J13" i="17"/>
  <c r="G112" i="17"/>
  <c r="J112" i="17"/>
  <c r="E10" i="46"/>
  <c r="F10" i="46"/>
  <c r="O14" i="17"/>
  <c r="C11" i="46"/>
  <c r="G14" i="17"/>
  <c r="J14" i="17"/>
  <c r="G113" i="17"/>
  <c r="J113" i="17"/>
  <c r="E11" i="46"/>
  <c r="F11" i="46"/>
  <c r="AC11" i="46"/>
  <c r="O15" i="17"/>
  <c r="C12" i="46"/>
  <c r="G15" i="17"/>
  <c r="J15" i="17"/>
  <c r="G114" i="17"/>
  <c r="J114" i="17"/>
  <c r="E12" i="46"/>
  <c r="F12" i="46"/>
  <c r="O16" i="17"/>
  <c r="C13" i="46"/>
  <c r="G16" i="17"/>
  <c r="J16" i="17"/>
  <c r="G115" i="17"/>
  <c r="J115" i="17"/>
  <c r="E13" i="46"/>
  <c r="F13" i="46"/>
  <c r="O17" i="17"/>
  <c r="C14" i="46"/>
  <c r="G17" i="17"/>
  <c r="J17" i="17"/>
  <c r="G116" i="17"/>
  <c r="J116" i="17"/>
  <c r="E14" i="46"/>
  <c r="F14" i="46"/>
  <c r="AC14" i="46"/>
  <c r="O18" i="17"/>
  <c r="C15" i="46"/>
  <c r="G18" i="17"/>
  <c r="J18" i="17"/>
  <c r="G117" i="17"/>
  <c r="J117" i="17"/>
  <c r="E15" i="46"/>
  <c r="F15" i="46"/>
  <c r="O19" i="17"/>
  <c r="C16" i="46"/>
  <c r="G19" i="17"/>
  <c r="J19" i="17"/>
  <c r="G118" i="17"/>
  <c r="J118" i="17"/>
  <c r="E16" i="46"/>
  <c r="F16" i="46"/>
  <c r="O20" i="17"/>
  <c r="C17" i="46"/>
  <c r="G20" i="17"/>
  <c r="J20" i="17"/>
  <c r="G119" i="17"/>
  <c r="J119" i="17"/>
  <c r="E17" i="46"/>
  <c r="F17" i="46"/>
  <c r="O21" i="17"/>
  <c r="C18" i="46"/>
  <c r="G21" i="17"/>
  <c r="J21" i="17"/>
  <c r="G120" i="17"/>
  <c r="J120" i="17"/>
  <c r="E18" i="46"/>
  <c r="F18" i="46"/>
  <c r="O22" i="17"/>
  <c r="C19" i="46"/>
  <c r="G22" i="17"/>
  <c r="J22" i="17"/>
  <c r="G121" i="17"/>
  <c r="J121" i="17"/>
  <c r="E19" i="46"/>
  <c r="F19" i="46"/>
  <c r="O23" i="17"/>
  <c r="C20" i="46"/>
  <c r="G23" i="17"/>
  <c r="J23" i="17"/>
  <c r="G122" i="17"/>
  <c r="J122" i="17"/>
  <c r="E20" i="46"/>
  <c r="F20" i="46"/>
  <c r="O24" i="17"/>
  <c r="C21" i="46"/>
  <c r="G24" i="17"/>
  <c r="J24" i="17"/>
  <c r="G123" i="17"/>
  <c r="J123" i="17"/>
  <c r="E21" i="46"/>
  <c r="F21" i="46"/>
  <c r="O25" i="17"/>
  <c r="C22" i="46"/>
  <c r="G25" i="17"/>
  <c r="J25" i="17"/>
  <c r="G124" i="17"/>
  <c r="J124" i="17"/>
  <c r="E22" i="46"/>
  <c r="F22" i="46"/>
  <c r="L9" i="17"/>
  <c r="Q9" i="17"/>
  <c r="L10" i="17"/>
  <c r="Q10" i="17"/>
  <c r="L11" i="17"/>
  <c r="Q11" i="17"/>
  <c r="L12" i="17"/>
  <c r="Q12" i="17"/>
  <c r="L13" i="17"/>
  <c r="Q13" i="17"/>
  <c r="L14" i="17"/>
  <c r="Q14" i="17"/>
  <c r="L15" i="17"/>
  <c r="Q15" i="17"/>
  <c r="L16" i="17"/>
  <c r="Q16" i="17"/>
  <c r="L17" i="17"/>
  <c r="Q17" i="17"/>
  <c r="L18" i="17"/>
  <c r="Q18" i="17"/>
  <c r="L19" i="17"/>
  <c r="Q19" i="17"/>
  <c r="L20" i="17"/>
  <c r="Q20" i="17"/>
  <c r="L21" i="17"/>
  <c r="Q21" i="17"/>
  <c r="L22" i="17"/>
  <c r="Q22" i="17"/>
  <c r="L23" i="17"/>
  <c r="Q23" i="17"/>
  <c r="L24" i="17"/>
  <c r="Q24" i="17"/>
  <c r="L25" i="17"/>
  <c r="Q25" i="17"/>
  <c r="D5" i="17"/>
  <c r="AH19" i="17"/>
  <c r="C38" i="46"/>
  <c r="Z19" i="17"/>
  <c r="AC19" i="17"/>
  <c r="Z118" i="17"/>
  <c r="AC118" i="17"/>
  <c r="E38" i="46"/>
  <c r="F38" i="46"/>
  <c r="AH9" i="17"/>
  <c r="C28" i="46"/>
  <c r="Z9" i="17"/>
  <c r="AC9" i="17"/>
  <c r="Z108" i="17"/>
  <c r="AC108" i="17"/>
  <c r="E28" i="46"/>
  <c r="F28" i="46"/>
  <c r="AH10" i="17"/>
  <c r="C29" i="46"/>
  <c r="Z10" i="17"/>
  <c r="AC10" i="17"/>
  <c r="Z109" i="17"/>
  <c r="AC109" i="17"/>
  <c r="E29" i="46"/>
  <c r="F29" i="46"/>
  <c r="AH11" i="17"/>
  <c r="C30" i="46"/>
  <c r="Z11" i="17"/>
  <c r="AC11" i="17"/>
  <c r="Z110" i="17"/>
  <c r="AC110" i="17"/>
  <c r="E30" i="46"/>
  <c r="F30" i="46"/>
  <c r="AH12" i="17"/>
  <c r="C31" i="46"/>
  <c r="Z12" i="17"/>
  <c r="AC12" i="17"/>
  <c r="Z111" i="17"/>
  <c r="AB111" i="17"/>
  <c r="AC111" i="17"/>
  <c r="E31" i="46"/>
  <c r="F31" i="46"/>
  <c r="AH13" i="17"/>
  <c r="C32" i="46"/>
  <c r="Z13" i="17"/>
  <c r="AC13" i="17"/>
  <c r="Z112" i="17"/>
  <c r="AC112" i="17"/>
  <c r="E32" i="46"/>
  <c r="F32" i="46"/>
  <c r="AH14" i="17"/>
  <c r="C33" i="46"/>
  <c r="Z14" i="17"/>
  <c r="AC14" i="17"/>
  <c r="Z113" i="17"/>
  <c r="AC113" i="17"/>
  <c r="E33" i="46"/>
  <c r="F33" i="46"/>
  <c r="AH15" i="17"/>
  <c r="C34" i="46"/>
  <c r="Z15" i="17"/>
  <c r="AC15" i="17"/>
  <c r="Z114" i="17"/>
  <c r="AC114" i="17"/>
  <c r="E34" i="46"/>
  <c r="F34" i="46"/>
  <c r="AH16" i="17"/>
  <c r="C35" i="46"/>
  <c r="Z16" i="17"/>
  <c r="AC16" i="17"/>
  <c r="Z115" i="17"/>
  <c r="AC115" i="17"/>
  <c r="E35" i="46"/>
  <c r="F35" i="46"/>
  <c r="AH17" i="17"/>
  <c r="C36" i="46"/>
  <c r="Z17" i="17"/>
  <c r="AC17" i="17"/>
  <c r="Z116" i="17"/>
  <c r="AC116" i="17"/>
  <c r="E36" i="46"/>
  <c r="F36" i="46"/>
  <c r="AH18" i="17"/>
  <c r="C37" i="46"/>
  <c r="Z18" i="17"/>
  <c r="AC18" i="17"/>
  <c r="Z117" i="17"/>
  <c r="AC117" i="17"/>
  <c r="E37" i="46"/>
  <c r="F37" i="46"/>
  <c r="AH20" i="17"/>
  <c r="C39" i="46"/>
  <c r="Z20" i="17"/>
  <c r="AC20" i="17"/>
  <c r="Z119" i="17"/>
  <c r="AC119" i="17"/>
  <c r="E39" i="46"/>
  <c r="F39" i="46"/>
  <c r="AH21" i="17"/>
  <c r="C40" i="46"/>
  <c r="Z21" i="17"/>
  <c r="AC21" i="17"/>
  <c r="Z120" i="17"/>
  <c r="AC120" i="17"/>
  <c r="E40" i="46"/>
  <c r="F40" i="46"/>
  <c r="AC40" i="46"/>
  <c r="AH22" i="17"/>
  <c r="C41" i="46"/>
  <c r="Z22" i="17"/>
  <c r="AC22" i="17"/>
  <c r="Z121" i="17"/>
  <c r="AC121" i="17"/>
  <c r="E41" i="46"/>
  <c r="F41" i="46"/>
  <c r="AH23" i="17"/>
  <c r="C42" i="46"/>
  <c r="Z23" i="17"/>
  <c r="AC23" i="17"/>
  <c r="Z122" i="17"/>
  <c r="AC122" i="17"/>
  <c r="E42" i="46"/>
  <c r="F42" i="46"/>
  <c r="AC42" i="46"/>
  <c r="AH24" i="17"/>
  <c r="C43" i="46"/>
  <c r="Z24" i="17"/>
  <c r="AC24" i="17"/>
  <c r="Z123" i="17"/>
  <c r="AC123" i="17"/>
  <c r="E43" i="46"/>
  <c r="F43" i="46"/>
  <c r="AH25" i="17"/>
  <c r="C44" i="46"/>
  <c r="Z25" i="17"/>
  <c r="AC25" i="17"/>
  <c r="Z124" i="17"/>
  <c r="AC124" i="17"/>
  <c r="E44" i="46"/>
  <c r="F44" i="46"/>
  <c r="AE9" i="17"/>
  <c r="AJ9" i="17"/>
  <c r="AE10" i="17"/>
  <c r="AJ10" i="17"/>
  <c r="AE11" i="17"/>
  <c r="AJ11" i="17"/>
  <c r="AE12" i="17"/>
  <c r="AJ12" i="17"/>
  <c r="AE13" i="17"/>
  <c r="AJ13" i="17"/>
  <c r="AE14" i="17"/>
  <c r="AJ14" i="17"/>
  <c r="AE15" i="17"/>
  <c r="AJ15" i="17"/>
  <c r="AE16" i="17"/>
  <c r="AJ16" i="17"/>
  <c r="AE17" i="17"/>
  <c r="AJ17" i="17"/>
  <c r="AE18" i="17"/>
  <c r="AJ18" i="17"/>
  <c r="AE19" i="17"/>
  <c r="AJ19" i="17"/>
  <c r="AE20" i="17"/>
  <c r="AJ20" i="17"/>
  <c r="AE21" i="17"/>
  <c r="AJ21" i="17"/>
  <c r="AE22" i="17"/>
  <c r="AJ22" i="17"/>
  <c r="AE23" i="17"/>
  <c r="AJ23" i="17"/>
  <c r="AE24" i="17"/>
  <c r="AJ24" i="17"/>
  <c r="AE25" i="17"/>
  <c r="AJ25" i="17"/>
  <c r="W5" i="17"/>
  <c r="T11" i="46"/>
  <c r="T14" i="46"/>
  <c r="Z9" i="46"/>
  <c r="Z11" i="46"/>
  <c r="Z14" i="46"/>
  <c r="Z18" i="46"/>
  <c r="Z19" i="46"/>
  <c r="AI11" i="46"/>
  <c r="AI19" i="46"/>
  <c r="AI18" i="46"/>
  <c r="R40" i="46"/>
  <c r="R42" i="46"/>
  <c r="S40" i="46"/>
  <c r="S42" i="46"/>
  <c r="T40" i="46"/>
  <c r="T42" i="46"/>
  <c r="AG39" i="46"/>
  <c r="AA9" i="46"/>
  <c r="AA11" i="46"/>
  <c r="AA14" i="46"/>
  <c r="AA18" i="46"/>
  <c r="K29" i="46"/>
  <c r="Q29" i="46"/>
  <c r="K30" i="46"/>
  <c r="Q30" i="46"/>
  <c r="K31" i="46"/>
  <c r="Q31" i="46"/>
  <c r="K37" i="46"/>
  <c r="Q37" i="46"/>
  <c r="K39" i="46"/>
  <c r="Q39" i="46"/>
  <c r="K40" i="46"/>
  <c r="Q40" i="46"/>
  <c r="K42" i="46"/>
  <c r="Q42" i="46"/>
  <c r="K44" i="46"/>
  <c r="Q44" i="46"/>
  <c r="V29" i="46"/>
  <c r="V30" i="46"/>
  <c r="V31" i="46"/>
  <c r="V37" i="46"/>
  <c r="V39" i="46"/>
  <c r="V40" i="46"/>
  <c r="V42" i="46"/>
  <c r="V44" i="46"/>
  <c r="AG40" i="46"/>
  <c r="R11" i="46"/>
  <c r="R14" i="46"/>
  <c r="S11" i="46"/>
  <c r="S14" i="46"/>
  <c r="Z40" i="46"/>
  <c r="Z42" i="46"/>
  <c r="AA40" i="46"/>
  <c r="AA42" i="46"/>
  <c r="AG44" i="46"/>
  <c r="Y9" i="46"/>
  <c r="Y11" i="46"/>
  <c r="Y14" i="46"/>
  <c r="Y18" i="46"/>
  <c r="Y19" i="46"/>
  <c r="P29" i="46"/>
  <c r="P30" i="46"/>
  <c r="P31" i="46"/>
  <c r="P37" i="46"/>
  <c r="P39" i="46"/>
  <c r="P40" i="46"/>
  <c r="P42" i="46"/>
  <c r="P44" i="46"/>
  <c r="J29" i="46"/>
  <c r="J30" i="46"/>
  <c r="J31" i="46"/>
  <c r="J37" i="46"/>
  <c r="J39" i="46"/>
  <c r="J40" i="46"/>
  <c r="J42" i="46"/>
  <c r="J44" i="46"/>
  <c r="Y40" i="46"/>
  <c r="Y42" i="46"/>
  <c r="L29" i="46"/>
  <c r="L30" i="46"/>
  <c r="L31" i="46"/>
  <c r="L37" i="46"/>
  <c r="L39" i="46"/>
  <c r="L40" i="46"/>
  <c r="L42" i="46"/>
  <c r="L44" i="46"/>
  <c r="M29" i="46"/>
  <c r="M30" i="46"/>
  <c r="M31" i="46"/>
  <c r="M37" i="46"/>
  <c r="M39" i="46"/>
  <c r="M40" i="46"/>
  <c r="M42" i="46"/>
  <c r="M44" i="46"/>
  <c r="H29" i="46"/>
  <c r="H30" i="46"/>
  <c r="H31" i="46"/>
  <c r="H37" i="46"/>
  <c r="H39" i="46"/>
  <c r="H40" i="46"/>
  <c r="H42" i="46"/>
  <c r="H44" i="46"/>
  <c r="U29" i="46"/>
  <c r="U30" i="46"/>
  <c r="U31" i="46"/>
  <c r="U37" i="46"/>
  <c r="U39" i="46"/>
  <c r="U40" i="46"/>
  <c r="U42" i="46"/>
  <c r="U44" i="46"/>
  <c r="K6" i="46"/>
  <c r="Q6" i="46"/>
  <c r="K11" i="46"/>
  <c r="Q11" i="46"/>
  <c r="K12" i="46"/>
  <c r="Q12" i="46"/>
  <c r="K13" i="46"/>
  <c r="Q13" i="46"/>
  <c r="K14" i="46"/>
  <c r="Q14" i="46"/>
  <c r="K15" i="46"/>
  <c r="Q15" i="46"/>
  <c r="K17" i="46"/>
  <c r="Q17" i="46"/>
  <c r="K19" i="46"/>
  <c r="Q19" i="46"/>
  <c r="K20" i="46"/>
  <c r="Q20" i="46"/>
  <c r="K22" i="46"/>
  <c r="Q22" i="46"/>
  <c r="H6" i="46"/>
  <c r="H11" i="46"/>
  <c r="H12" i="46"/>
  <c r="H13" i="46"/>
  <c r="H14" i="46"/>
  <c r="H15" i="46"/>
  <c r="H17" i="46"/>
  <c r="H19" i="46"/>
  <c r="H20" i="46"/>
  <c r="H22" i="46"/>
  <c r="J6" i="46"/>
  <c r="J11" i="46"/>
  <c r="J12" i="46"/>
  <c r="J13" i="46"/>
  <c r="J14" i="46"/>
  <c r="J15" i="46"/>
  <c r="J17" i="46"/>
  <c r="J19" i="46"/>
  <c r="J20" i="46"/>
  <c r="J22" i="46"/>
  <c r="L6" i="46"/>
  <c r="L11" i="46"/>
  <c r="L12" i="46"/>
  <c r="L13" i="46"/>
  <c r="L14" i="46"/>
  <c r="L15" i="46"/>
  <c r="L17" i="46"/>
  <c r="L19" i="46"/>
  <c r="L20" i="46"/>
  <c r="L22" i="46"/>
  <c r="P6" i="46"/>
  <c r="P11" i="46"/>
  <c r="P12" i="46"/>
  <c r="P13" i="46"/>
  <c r="P14" i="46"/>
  <c r="P15" i="46"/>
  <c r="P17" i="46"/>
  <c r="P19" i="46"/>
  <c r="P20" i="46"/>
  <c r="P22" i="46"/>
  <c r="M6" i="46"/>
  <c r="M11" i="46"/>
  <c r="M12" i="46"/>
  <c r="M13" i="46"/>
  <c r="M14" i="46"/>
  <c r="M15" i="46"/>
  <c r="M17" i="46"/>
  <c r="M19" i="46"/>
  <c r="M20" i="46"/>
  <c r="M22" i="46"/>
  <c r="V6" i="46"/>
  <c r="V11" i="46"/>
  <c r="V12" i="46"/>
  <c r="V13" i="46"/>
  <c r="V14" i="46"/>
  <c r="V15" i="46"/>
  <c r="V17" i="46"/>
  <c r="V19" i="46"/>
  <c r="V20" i="46"/>
  <c r="V22" i="46"/>
  <c r="AG14" i="46"/>
  <c r="U6" i="46"/>
  <c r="U11" i="46"/>
  <c r="U12" i="46"/>
  <c r="U13" i="46"/>
  <c r="U14" i="46"/>
  <c r="U15" i="46"/>
  <c r="U17" i="46"/>
  <c r="U19" i="46"/>
  <c r="U20" i="46"/>
  <c r="U22" i="46"/>
  <c r="W4" i="33"/>
  <c r="W5" i="33"/>
  <c r="W6" i="33"/>
  <c r="W7" i="33"/>
  <c r="W8" i="33"/>
  <c r="W9" i="33"/>
  <c r="W10" i="33"/>
  <c r="W11" i="33"/>
  <c r="W12" i="33"/>
  <c r="W13" i="33"/>
  <c r="W14" i="33"/>
  <c r="W15" i="33"/>
  <c r="W16" i="33"/>
  <c r="W17" i="33"/>
  <c r="W18" i="33"/>
  <c r="W19" i="33"/>
  <c r="W20" i="33"/>
  <c r="W24" i="33"/>
  <c r="X4" i="33"/>
  <c r="X5" i="33"/>
  <c r="X6" i="33"/>
  <c r="X7" i="33"/>
  <c r="X8" i="33"/>
  <c r="X9" i="33"/>
  <c r="X10" i="33"/>
  <c r="X11" i="33"/>
  <c r="X12" i="33"/>
  <c r="X13" i="33"/>
  <c r="X14" i="33"/>
  <c r="X15" i="33"/>
  <c r="X16" i="33"/>
  <c r="X17" i="33"/>
  <c r="X18" i="33"/>
  <c r="X19" i="33"/>
  <c r="X20" i="33"/>
  <c r="X24" i="33"/>
  <c r="W33" i="33"/>
  <c r="X33" i="33"/>
  <c r="W34" i="33"/>
  <c r="X34" i="33"/>
  <c r="W35" i="33"/>
  <c r="X35" i="33"/>
  <c r="W36" i="33"/>
  <c r="X36" i="33"/>
  <c r="W37" i="33"/>
  <c r="X37" i="33"/>
  <c r="W38" i="33"/>
  <c r="X38" i="33"/>
  <c r="W39" i="33"/>
  <c r="X39" i="33"/>
  <c r="W40" i="33"/>
  <c r="X40" i="33"/>
  <c r="W41" i="33"/>
  <c r="X41" i="33"/>
  <c r="W42" i="33"/>
  <c r="X42" i="33"/>
  <c r="W43" i="33"/>
  <c r="X43" i="33"/>
  <c r="W44" i="33"/>
  <c r="X44" i="33"/>
  <c r="W45" i="33"/>
  <c r="X45" i="33"/>
  <c r="W46" i="33"/>
  <c r="X46" i="33"/>
  <c r="W47" i="33"/>
  <c r="X47" i="33"/>
  <c r="W48" i="33"/>
  <c r="X48" i="33"/>
  <c r="W49" i="33"/>
  <c r="X49" i="33"/>
  <c r="X53" i="33"/>
  <c r="AL6" i="46"/>
  <c r="AL7" i="46"/>
  <c r="AL8" i="46"/>
  <c r="AL9" i="46"/>
  <c r="AL10" i="46"/>
  <c r="AL11" i="46"/>
  <c r="AL12" i="46"/>
  <c r="AL13" i="46"/>
  <c r="AL14" i="46"/>
  <c r="AL15" i="46"/>
  <c r="AL16" i="46"/>
  <c r="AL17" i="46"/>
  <c r="AL18" i="46"/>
  <c r="AL19" i="46"/>
  <c r="AL20" i="46"/>
  <c r="AL21" i="46"/>
  <c r="AL22" i="46"/>
  <c r="AL26" i="46"/>
  <c r="G6" i="46"/>
  <c r="G7" i="46"/>
  <c r="G8" i="46"/>
  <c r="G9" i="46"/>
  <c r="G10" i="46"/>
  <c r="G11" i="46"/>
  <c r="G12" i="46"/>
  <c r="G13" i="46"/>
  <c r="G14" i="46"/>
  <c r="G15" i="46"/>
  <c r="G16" i="46"/>
  <c r="G17" i="46"/>
  <c r="G18" i="46"/>
  <c r="G19" i="46"/>
  <c r="G20" i="46"/>
  <c r="G21" i="46"/>
  <c r="G22" i="46"/>
  <c r="G26" i="46"/>
  <c r="W53" i="33"/>
  <c r="G28" i="46"/>
  <c r="G29" i="46"/>
  <c r="G30" i="46"/>
  <c r="G31" i="46"/>
  <c r="G32" i="46"/>
  <c r="G33" i="46"/>
  <c r="G34" i="46"/>
  <c r="G35" i="46"/>
  <c r="G36" i="46"/>
  <c r="G37" i="46"/>
  <c r="G38" i="46"/>
  <c r="G39" i="46"/>
  <c r="G40" i="46"/>
  <c r="G41" i="46"/>
  <c r="G42" i="46"/>
  <c r="G43" i="46"/>
  <c r="G44" i="46"/>
  <c r="G48" i="46"/>
  <c r="F26" i="46"/>
  <c r="F48" i="46"/>
  <c r="AL28" i="46"/>
  <c r="AL29" i="46"/>
  <c r="AL30" i="46"/>
  <c r="AL31" i="46"/>
  <c r="AL32" i="46"/>
  <c r="AL33" i="46"/>
  <c r="AL34" i="46"/>
  <c r="AL35" i="46"/>
  <c r="AL36" i="46"/>
  <c r="AL37" i="46"/>
  <c r="AL38" i="46"/>
  <c r="AL39" i="46"/>
  <c r="AL40" i="46"/>
  <c r="AL41" i="46"/>
  <c r="AL42" i="46"/>
  <c r="AL43" i="46"/>
  <c r="AL44" i="46"/>
  <c r="AL48" i="46"/>
  <c r="R9" i="17"/>
  <c r="AK10" i="17"/>
  <c r="AI14" i="46"/>
  <c r="E26" i="46"/>
  <c r="E48" i="46"/>
  <c r="AJ18" i="46"/>
  <c r="AB9" i="46"/>
  <c r="AB11" i="46"/>
  <c r="AB14" i="46"/>
  <c r="AB18" i="46"/>
  <c r="AB40" i="46"/>
  <c r="AB42" i="46"/>
  <c r="AJ40" i="46"/>
  <c r="AI40" i="46"/>
  <c r="M11" i="17"/>
  <c r="R11" i="17"/>
  <c r="M24" i="17"/>
  <c r="R24" i="17"/>
  <c r="M22" i="17"/>
  <c r="R22" i="17"/>
  <c r="M15" i="17"/>
  <c r="R15" i="17"/>
  <c r="M17" i="17"/>
  <c r="R17" i="17"/>
  <c r="M25" i="17"/>
  <c r="R25" i="17"/>
  <c r="M9" i="17"/>
  <c r="M21" i="17"/>
  <c r="R21" i="17"/>
  <c r="M10" i="17"/>
  <c r="R10" i="17"/>
  <c r="M20" i="17"/>
  <c r="R20" i="17"/>
  <c r="M14" i="17"/>
  <c r="R14" i="17"/>
  <c r="R23" i="17"/>
  <c r="M13" i="17"/>
  <c r="M12" i="17"/>
  <c r="M18" i="17"/>
  <c r="AF10" i="17"/>
  <c r="M19" i="17"/>
  <c r="AI9" i="46"/>
  <c r="AF19" i="17"/>
  <c r="AK19" i="17"/>
  <c r="AF11" i="17"/>
  <c r="AK11" i="17"/>
  <c r="AK18" i="17"/>
  <c r="AF18" i="17"/>
  <c r="AF14" i="17"/>
  <c r="AK14" i="17"/>
  <c r="AF25" i="17"/>
  <c r="R16" i="17"/>
  <c r="AF22" i="17"/>
  <c r="AF9" i="17"/>
  <c r="AF15" i="17"/>
  <c r="AF21" i="17"/>
  <c r="AG37" i="46"/>
  <c r="AG17" i="46"/>
  <c r="AG29" i="46"/>
  <c r="AJ14" i="46"/>
  <c r="AG15" i="46"/>
  <c r="AG19" i="46"/>
  <c r="AG6" i="46"/>
  <c r="AG22" i="46"/>
  <c r="AG12" i="46"/>
  <c r="AG20" i="46"/>
  <c r="AI42" i="46"/>
  <c r="AJ9" i="46"/>
  <c r="K20" i="17"/>
  <c r="K25" i="17"/>
  <c r="K17" i="17"/>
  <c r="K22" i="17"/>
  <c r="K10" i="17"/>
  <c r="K24" i="17"/>
  <c r="K21" i="17"/>
  <c r="K15" i="17"/>
  <c r="K14" i="17"/>
  <c r="K11" i="17"/>
  <c r="K16" i="17"/>
  <c r="M23" i="17"/>
  <c r="R12" i="17"/>
  <c r="R13" i="17"/>
  <c r="R19" i="17"/>
  <c r="R18" i="17"/>
  <c r="AD25" i="17"/>
  <c r="AD15" i="17"/>
  <c r="AF13" i="17"/>
  <c r="AF17" i="17"/>
  <c r="AF20" i="17"/>
  <c r="AD22" i="17"/>
  <c r="AD21" i="17"/>
  <c r="AD17" i="17"/>
  <c r="AF12" i="17"/>
  <c r="AK9" i="17"/>
  <c r="AD18" i="17"/>
  <c r="AK22" i="17"/>
  <c r="K12" i="17"/>
  <c r="K19" i="17"/>
  <c r="AI18" i="17"/>
  <c r="AI13" i="17"/>
  <c r="AI10" i="17"/>
  <c r="M16" i="17"/>
  <c r="K23" i="17"/>
  <c r="K9" i="17"/>
  <c r="K13" i="17"/>
  <c r="AI9" i="17"/>
  <c r="AI25" i="17"/>
  <c r="K18" i="17"/>
  <c r="AG13" i="46"/>
  <c r="AK25" i="17"/>
  <c r="AD9" i="17"/>
  <c r="AD13" i="17"/>
  <c r="AK17" i="17"/>
  <c r="AI12" i="17"/>
  <c r="AF24" i="17"/>
  <c r="AD24" i="17"/>
  <c r="AK23" i="17"/>
  <c r="AD19" i="17"/>
  <c r="AK15" i="17"/>
  <c r="AK21" i="17"/>
  <c r="AD10" i="17"/>
  <c r="AK16" i="17"/>
  <c r="AF16" i="17"/>
  <c r="AD23" i="17"/>
  <c r="AI16" i="17"/>
  <c r="AI19" i="17"/>
  <c r="AI17" i="17"/>
  <c r="AI24" i="17"/>
  <c r="AK24" i="17"/>
  <c r="AI22" i="17"/>
  <c r="AI20" i="17"/>
  <c r="AF23" i="17"/>
  <c r="AD14" i="17"/>
  <c r="AD16" i="17"/>
  <c r="AD12" i="17"/>
  <c r="AD20" i="17"/>
  <c r="AD11" i="17"/>
  <c r="AK12" i="17"/>
  <c r="AI14" i="17"/>
  <c r="AK20" i="17"/>
  <c r="AK13" i="17"/>
  <c r="AI11" i="17"/>
  <c r="AI15" i="17"/>
  <c r="AI23" i="17"/>
  <c r="AJ42" i="46"/>
  <c r="AJ11" i="46"/>
  <c r="AG42" i="46"/>
  <c r="K114" i="17"/>
  <c r="L114" i="17"/>
  <c r="M114" i="17"/>
  <c r="Q114" i="17"/>
  <c r="R114" i="17"/>
  <c r="L116" i="17"/>
  <c r="M116" i="17"/>
  <c r="Q116" i="17"/>
  <c r="R116" i="17"/>
  <c r="K116" i="17"/>
  <c r="K122" i="17"/>
  <c r="L122" i="17"/>
  <c r="Q122" i="17"/>
  <c r="R122" i="17"/>
  <c r="M122" i="17"/>
  <c r="K110" i="17"/>
  <c r="L110" i="17"/>
  <c r="Q110" i="17"/>
  <c r="R110" i="17"/>
  <c r="M110" i="17"/>
  <c r="K118" i="17"/>
  <c r="L118" i="17"/>
  <c r="Q118" i="17"/>
  <c r="R118" i="17"/>
  <c r="M118" i="17"/>
  <c r="K120" i="17"/>
  <c r="L120" i="17"/>
  <c r="Q120" i="17"/>
  <c r="R120" i="17"/>
  <c r="M120" i="17"/>
  <c r="K124" i="17"/>
  <c r="L124" i="17"/>
  <c r="M124" i="17"/>
  <c r="Q124" i="17"/>
  <c r="R124" i="17"/>
  <c r="AE108" i="17"/>
  <c r="AF108" i="17"/>
  <c r="AJ108" i="17"/>
  <c r="AK108" i="17"/>
  <c r="AD108" i="17"/>
  <c r="AE124" i="17"/>
  <c r="AF124" i="17"/>
  <c r="AJ124" i="17"/>
  <c r="AK124" i="17"/>
  <c r="AD124" i="17"/>
  <c r="AE112" i="17"/>
  <c r="AF112" i="17"/>
  <c r="AJ112" i="17"/>
  <c r="AK112" i="17"/>
  <c r="AD112" i="17"/>
  <c r="AE120" i="17"/>
  <c r="AF120" i="17"/>
  <c r="AJ120" i="17"/>
  <c r="AK120" i="17"/>
  <c r="AD120" i="17"/>
  <c r="AE116" i="17"/>
  <c r="AJ116" i="17"/>
  <c r="AK116" i="17"/>
  <c r="AD116" i="17"/>
  <c r="AF116" i="17"/>
  <c r="K112" i="17"/>
  <c r="L112" i="17"/>
  <c r="Q112" i="17"/>
  <c r="R112" i="17"/>
  <c r="M112" i="17"/>
  <c r="L108" i="17"/>
  <c r="Q108" i="17"/>
  <c r="R108" i="17"/>
  <c r="M108" i="17"/>
  <c r="K108" i="17"/>
  <c r="AE113" i="17"/>
  <c r="AJ113" i="17"/>
  <c r="AK113" i="17"/>
  <c r="AD113" i="17"/>
  <c r="AF113" i="17"/>
  <c r="AE117" i="17"/>
  <c r="AJ117" i="17"/>
  <c r="AK117" i="17"/>
  <c r="AF117" i="17"/>
  <c r="AD117" i="17"/>
  <c r="AE109" i="17"/>
  <c r="AJ109" i="17"/>
  <c r="AK109" i="17"/>
  <c r="AD109" i="17"/>
  <c r="AF109" i="17"/>
  <c r="L119" i="17"/>
  <c r="M119" i="17"/>
  <c r="K119" i="17"/>
  <c r="K123" i="17"/>
  <c r="L121" i="17"/>
  <c r="Q121" i="17"/>
  <c r="R121" i="17"/>
  <c r="K121" i="17"/>
  <c r="M121" i="17"/>
  <c r="P18" i="17"/>
  <c r="L115" i="17"/>
  <c r="M115" i="17"/>
  <c r="L123" i="17"/>
  <c r="Q123" i="17"/>
  <c r="R123" i="17"/>
  <c r="AI21" i="17"/>
  <c r="P25" i="17"/>
  <c r="P11" i="17"/>
  <c r="P14" i="17"/>
  <c r="P22" i="17"/>
  <c r="P19" i="17"/>
  <c r="P13" i="17"/>
  <c r="P15" i="17"/>
  <c r="P21" i="17"/>
  <c r="P20" i="17"/>
  <c r="P9" i="17"/>
  <c r="K115" i="17"/>
  <c r="K111" i="17"/>
  <c r="L111" i="17"/>
  <c r="M111" i="17"/>
  <c r="Q111" i="17"/>
  <c r="R111" i="17"/>
  <c r="M123" i="17"/>
  <c r="Q115" i="17"/>
  <c r="R115" i="17"/>
  <c r="L117" i="17"/>
  <c r="Q117" i="17"/>
  <c r="R117" i="17"/>
  <c r="P10" i="17"/>
  <c r="P12" i="17"/>
  <c r="P24" i="17"/>
  <c r="AG11" i="46"/>
  <c r="P17" i="17"/>
  <c r="P16" i="17"/>
  <c r="P23" i="17"/>
  <c r="AG30" i="46"/>
  <c r="AG31" i="46"/>
  <c r="Q119" i="17"/>
  <c r="R119" i="17"/>
  <c r="M117" i="17"/>
  <c r="L109" i="17"/>
  <c r="M109" i="17"/>
  <c r="Q109" i="17"/>
  <c r="R109" i="17"/>
  <c r="K109" i="17"/>
  <c r="K117" i="17"/>
  <c r="L113" i="17"/>
  <c r="Q113" i="17"/>
  <c r="R113" i="17"/>
  <c r="K113" i="17"/>
  <c r="M113" i="17"/>
  <c r="AD121" i="17"/>
  <c r="AE118" i="17"/>
  <c r="AJ118" i="17"/>
  <c r="AK118" i="17"/>
  <c r="AE122" i="17"/>
  <c r="AJ122" i="17"/>
  <c r="AK122" i="17"/>
  <c r="AE110" i="17"/>
  <c r="AF110" i="17"/>
  <c r="AE121" i="17"/>
  <c r="AJ121" i="17"/>
  <c r="AK121" i="17"/>
  <c r="AJ110" i="17"/>
  <c r="AK110" i="17"/>
  <c r="AF121" i="17"/>
  <c r="AD123" i="17"/>
  <c r="AE123" i="17"/>
  <c r="AJ123" i="17"/>
  <c r="AK123" i="17"/>
  <c r="AF123" i="17"/>
  <c r="AD110" i="17"/>
  <c r="AD119" i="17"/>
  <c r="AE119" i="17"/>
  <c r="AF119" i="17"/>
  <c r="AJ119" i="17"/>
  <c r="AK119" i="17"/>
  <c r="AD122" i="17"/>
  <c r="AD114" i="17"/>
  <c r="AD111" i="17"/>
  <c r="AE111" i="17"/>
  <c r="AJ111" i="17"/>
  <c r="AK111" i="17"/>
  <c r="AD115" i="17"/>
  <c r="AF111" i="17"/>
  <c r="AD118" i="17"/>
  <c r="AE115" i="17"/>
  <c r="AF115" i="17"/>
  <c r="AJ115" i="17"/>
  <c r="AK115" i="17"/>
  <c r="AF118" i="17"/>
  <c r="AE114" i="17"/>
  <c r="AF114" i="17"/>
  <c r="AJ114" i="17"/>
  <c r="AK114" i="17"/>
  <c r="AF122" i="17"/>
  <c r="N6" i="46"/>
  <c r="N7" i="46"/>
  <c r="N8" i="46"/>
  <c r="N9" i="46"/>
  <c r="N10" i="46"/>
  <c r="N11" i="46"/>
  <c r="N12" i="46"/>
  <c r="N13" i="46"/>
  <c r="N14" i="46"/>
  <c r="N15" i="46"/>
  <c r="N16" i="46"/>
  <c r="N17" i="46"/>
  <c r="N18" i="46"/>
  <c r="N19" i="46"/>
  <c r="N20" i="46"/>
  <c r="N21" i="46"/>
  <c r="N22" i="46"/>
  <c r="N26" i="46"/>
  <c r="N28" i="46"/>
  <c r="N29" i="46"/>
  <c r="N30" i="46"/>
  <c r="N31" i="46"/>
  <c r="N32" i="46"/>
  <c r="N33" i="46"/>
  <c r="N34" i="46"/>
  <c r="N35" i="46"/>
  <c r="N36" i="46"/>
  <c r="N37" i="46"/>
  <c r="N38" i="46"/>
  <c r="N39" i="46"/>
  <c r="N40" i="46"/>
  <c r="N41" i="46"/>
  <c r="N42" i="46"/>
  <c r="N43" i="46"/>
  <c r="N44" i="46"/>
  <c r="N48" i="46"/>
  <c r="C48" i="46"/>
  <c r="C26" i="46"/>
  <c r="O6" i="46"/>
  <c r="O22" i="46"/>
  <c r="O20" i="46"/>
  <c r="O19" i="46"/>
  <c r="O17" i="46"/>
  <c r="O15" i="46"/>
  <c r="O14" i="46"/>
  <c r="O13" i="46"/>
  <c r="O12" i="46"/>
  <c r="O11" i="46"/>
  <c r="O8" i="46"/>
  <c r="W104" i="17"/>
  <c r="D104" i="17"/>
  <c r="O44" i="46"/>
  <c r="O43" i="46"/>
  <c r="O42" i="46"/>
  <c r="O41" i="46"/>
  <c r="O40" i="46"/>
  <c r="O39" i="46"/>
  <c r="O37" i="46"/>
  <c r="O36" i="46"/>
  <c r="O33" i="46"/>
  <c r="O32" i="46"/>
  <c r="O31" i="46"/>
  <c r="O30" i="46"/>
  <c r="O29" i="46"/>
  <c r="R103" i="15"/>
  <c r="R119" i="15"/>
  <c r="T94" i="15"/>
  <c r="T102" i="15"/>
  <c r="T110" i="15"/>
  <c r="T118" i="15"/>
  <c r="B93" i="15"/>
  <c r="B109" i="15"/>
  <c r="R12" i="15"/>
  <c r="R28" i="15"/>
  <c r="T7" i="15"/>
  <c r="T15" i="15"/>
  <c r="T23" i="15"/>
  <c r="T31" i="15"/>
  <c r="T39" i="15"/>
  <c r="B30" i="15"/>
  <c r="J88" i="15"/>
  <c r="W90" i="15"/>
  <c r="M92" i="15"/>
  <c r="L94" i="15"/>
  <c r="K96" i="15"/>
  <c r="K100" i="15"/>
  <c r="S102" i="15"/>
  <c r="H15" i="15"/>
  <c r="G11" i="15"/>
  <c r="J9" i="15"/>
  <c r="L7" i="15"/>
  <c r="W5" i="15"/>
  <c r="C5" i="15"/>
  <c r="K3" i="15"/>
  <c r="H90" i="15"/>
  <c r="H100" i="15"/>
  <c r="AA7" i="15"/>
  <c r="J23" i="15"/>
  <c r="K21" i="15"/>
  <c r="M17" i="15"/>
  <c r="L15" i="15"/>
  <c r="R89" i="15"/>
  <c r="R93" i="15"/>
  <c r="R109" i="15"/>
  <c r="B99" i="15"/>
  <c r="B115" i="15"/>
  <c r="D94" i="15"/>
  <c r="D102" i="15"/>
  <c r="D110" i="15"/>
  <c r="D118" i="15"/>
  <c r="R18" i="15"/>
  <c r="R34" i="15"/>
  <c r="B14" i="15"/>
  <c r="B20" i="15"/>
  <c r="B36" i="15"/>
  <c r="D3" i="15"/>
  <c r="D11" i="15"/>
  <c r="D19" i="15"/>
  <c r="D27" i="15"/>
  <c r="D35" i="15"/>
  <c r="AA90" i="15"/>
  <c r="C94" i="15"/>
  <c r="C96" i="15"/>
  <c r="G100" i="15"/>
  <c r="X102" i="15"/>
  <c r="AC102" i="15"/>
  <c r="C15" i="15"/>
  <c r="C11" i="15"/>
  <c r="G9" i="15"/>
  <c r="G7" i="15"/>
  <c r="X3" i="15"/>
  <c r="J5" i="15"/>
  <c r="M3" i="15"/>
  <c r="K94" i="15"/>
  <c r="C90" i="15"/>
  <c r="S98" i="15"/>
  <c r="AB7" i="15"/>
  <c r="M23" i="15"/>
  <c r="G19" i="15"/>
  <c r="K17" i="15"/>
  <c r="H13" i="15"/>
  <c r="R99" i="15"/>
  <c r="R115" i="15"/>
  <c r="T96" i="15"/>
  <c r="T104" i="15"/>
  <c r="T112" i="15"/>
  <c r="B105" i="15"/>
  <c r="R8" i="15"/>
  <c r="R24" i="15"/>
  <c r="R40" i="15"/>
  <c r="T9" i="15"/>
  <c r="T17" i="15"/>
  <c r="T25" i="15"/>
  <c r="T33" i="15"/>
  <c r="T41" i="15"/>
  <c r="B4" i="15"/>
  <c r="B26" i="15"/>
  <c r="B42" i="15"/>
  <c r="X90" i="15"/>
  <c r="Z90" i="15"/>
  <c r="AB92" i="15"/>
  <c r="H92" i="15"/>
  <c r="C92" i="15"/>
  <c r="Z94" i="15"/>
  <c r="H96" i="15"/>
  <c r="X96" i="15"/>
  <c r="W98" i="15"/>
  <c r="W102" i="15"/>
  <c r="J15" i="15"/>
  <c r="J11" i="15"/>
  <c r="L9" i="15"/>
  <c r="AA5" i="15"/>
  <c r="W3" i="15"/>
  <c r="M5" i="15"/>
  <c r="G3" i="15"/>
  <c r="K90" i="15"/>
  <c r="M90" i="15"/>
  <c r="L100" i="15"/>
  <c r="Z98" i="15"/>
  <c r="Z7" i="15"/>
  <c r="G21" i="15"/>
  <c r="L19" i="15"/>
  <c r="C17" i="15"/>
  <c r="K13" i="15"/>
  <c r="R105" i="15"/>
  <c r="T88" i="15"/>
  <c r="B89" i="15"/>
  <c r="B95" i="15"/>
  <c r="B111" i="15"/>
  <c r="D88" i="15"/>
  <c r="D96" i="15"/>
  <c r="D104" i="15"/>
  <c r="D112" i="15"/>
  <c r="R14" i="15"/>
  <c r="R30" i="15"/>
  <c r="B6" i="15"/>
  <c r="B16" i="15"/>
  <c r="B32" i="15"/>
  <c r="D5" i="15"/>
  <c r="D13" i="15"/>
  <c r="D21" i="15"/>
  <c r="D29" i="15"/>
  <c r="D37" i="15"/>
  <c r="X88" i="15"/>
  <c r="Z88" i="15"/>
  <c r="K88" i="15"/>
  <c r="AC90" i="15"/>
  <c r="S92" i="15"/>
  <c r="AC94" i="15"/>
  <c r="M13" i="15"/>
  <c r="M11" i="15"/>
  <c r="J7" i="15"/>
  <c r="AC5" i="15"/>
  <c r="AC3" i="15"/>
  <c r="L5" i="15"/>
  <c r="L3" i="15"/>
  <c r="R95" i="15"/>
  <c r="R111" i="15"/>
  <c r="T90" i="15"/>
  <c r="T98" i="15"/>
  <c r="T106" i="15"/>
  <c r="T114" i="15"/>
  <c r="B101" i="15"/>
  <c r="B117" i="15"/>
  <c r="R4" i="15"/>
  <c r="R20" i="15"/>
  <c r="R36" i="15"/>
  <c r="T3" i="15"/>
  <c r="T11" i="15"/>
  <c r="T19" i="15"/>
  <c r="T27" i="15"/>
  <c r="T35" i="15"/>
  <c r="B22" i="15"/>
  <c r="B38" i="15"/>
  <c r="S88" i="15"/>
  <c r="M88" i="15"/>
  <c r="S90" i="15"/>
  <c r="W92" i="15"/>
  <c r="K92" i="15"/>
  <c r="L96" i="15"/>
  <c r="W7" i="15"/>
  <c r="J13" i="15"/>
  <c r="C9" i="15"/>
  <c r="K7" i="15"/>
  <c r="AB5" i="15"/>
  <c r="Z3" i="15"/>
  <c r="H5" i="15"/>
  <c r="AC104" i="15"/>
  <c r="R101" i="15"/>
  <c r="R117" i="15"/>
  <c r="B91" i="15"/>
  <c r="B107" i="15"/>
  <c r="D90" i="15"/>
  <c r="D98" i="15"/>
  <c r="D106" i="15"/>
  <c r="D114" i="15"/>
  <c r="R10" i="15"/>
  <c r="R26" i="15"/>
  <c r="R42" i="15"/>
  <c r="B8" i="15"/>
  <c r="B28" i="15"/>
  <c r="D7" i="15"/>
  <c r="D15" i="15"/>
  <c r="D23" i="15"/>
  <c r="D31" i="15"/>
  <c r="D39" i="15"/>
  <c r="AC88" i="15"/>
  <c r="G88" i="15"/>
  <c r="X92" i="15"/>
  <c r="AC92" i="15"/>
  <c r="J92" i="15"/>
  <c r="W96" i="15"/>
  <c r="G94" i="15"/>
  <c r="G96" i="15"/>
  <c r="AB96" i="15"/>
  <c r="G23" i="15"/>
  <c r="K11" i="15"/>
  <c r="M9" i="15"/>
  <c r="C7" i="15"/>
  <c r="S5" i="15"/>
  <c r="AB3" i="15"/>
  <c r="K5" i="15"/>
  <c r="X104" i="15"/>
  <c r="W104" i="15"/>
  <c r="X94" i="15"/>
  <c r="M96" i="15"/>
  <c r="X98" i="15"/>
  <c r="AB94" i="15"/>
  <c r="H23" i="15"/>
  <c r="C21" i="15"/>
  <c r="K19" i="15"/>
  <c r="G15" i="15"/>
  <c r="G13" i="15"/>
  <c r="R91" i="15"/>
  <c r="R107" i="15"/>
  <c r="T92" i="15"/>
  <c r="T100" i="15"/>
  <c r="T108" i="15"/>
  <c r="T116" i="15"/>
  <c r="B97" i="15"/>
  <c r="B113" i="15"/>
  <c r="R16" i="15"/>
  <c r="R32" i="15"/>
  <c r="T5" i="15"/>
  <c r="T13" i="15"/>
  <c r="T21" i="15"/>
  <c r="T29" i="15"/>
  <c r="T37" i="15"/>
  <c r="B10" i="15"/>
  <c r="B18" i="15"/>
  <c r="B34" i="15"/>
  <c r="H88" i="15"/>
  <c r="AB88" i="15"/>
  <c r="W88" i="15"/>
  <c r="L88" i="15"/>
  <c r="Z92" i="15"/>
  <c r="G92" i="15"/>
  <c r="J94" i="15"/>
  <c r="AC96" i="15"/>
  <c r="AB102" i="15"/>
  <c r="M19" i="15"/>
  <c r="L11" i="15"/>
  <c r="H9" i="15"/>
  <c r="M7" i="15"/>
  <c r="Z5" i="15"/>
  <c r="AA3" i="15"/>
  <c r="G5" i="15"/>
  <c r="S104" i="15"/>
  <c r="S94" i="15"/>
  <c r="G90" i="15"/>
  <c r="AA94" i="15"/>
  <c r="W94" i="15"/>
  <c r="S7" i="15"/>
  <c r="L23" i="15"/>
  <c r="J21" i="15"/>
  <c r="G17" i="15"/>
  <c r="M15" i="15"/>
  <c r="C3" i="15"/>
  <c r="R97" i="15"/>
  <c r="R113" i="15"/>
  <c r="B103" i="15"/>
  <c r="B119" i="15"/>
  <c r="D92" i="15"/>
  <c r="D100" i="15"/>
  <c r="D108" i="15"/>
  <c r="D116" i="15"/>
  <c r="B24" i="15"/>
  <c r="L92" i="15"/>
  <c r="K9" i="15"/>
  <c r="AB98" i="15"/>
  <c r="Z96" i="15"/>
  <c r="Z102" i="15"/>
  <c r="H21" i="15"/>
  <c r="C13" i="15"/>
  <c r="AA100" i="15"/>
  <c r="K98" i="15"/>
  <c r="AB9" i="15"/>
  <c r="L25" i="15"/>
  <c r="X106" i="15"/>
  <c r="M27" i="15"/>
  <c r="C31" i="15"/>
  <c r="C39" i="15"/>
  <c r="C108" i="15"/>
  <c r="C116" i="15"/>
  <c r="H33" i="15"/>
  <c r="L31" i="15"/>
  <c r="L39" i="15"/>
  <c r="J29" i="15"/>
  <c r="J37" i="15"/>
  <c r="S15" i="15"/>
  <c r="S23" i="15"/>
  <c r="S31" i="15"/>
  <c r="S39" i="15"/>
  <c r="X27" i="15"/>
  <c r="S112" i="15"/>
  <c r="B40" i="15"/>
  <c r="AA88" i="15"/>
  <c r="AA92" i="15"/>
  <c r="H7" i="15"/>
  <c r="H94" i="15"/>
  <c r="J96" i="15"/>
  <c r="S96" i="15"/>
  <c r="C19" i="15"/>
  <c r="H3" i="15"/>
  <c r="AC100" i="15"/>
  <c r="J98" i="15"/>
  <c r="Z9" i="15"/>
  <c r="C25" i="15"/>
  <c r="AA106" i="15"/>
  <c r="W11" i="15"/>
  <c r="K27" i="15"/>
  <c r="G29" i="15"/>
  <c r="H35" i="15"/>
  <c r="R6" i="15"/>
  <c r="D9" i="15"/>
  <c r="X5" i="15"/>
  <c r="X7" i="15"/>
  <c r="J19" i="15"/>
  <c r="Z100" i="15"/>
  <c r="M98" i="15"/>
  <c r="S9" i="15"/>
  <c r="Z106" i="15"/>
  <c r="W106" i="15"/>
  <c r="S11" i="15"/>
  <c r="J27" i="15"/>
  <c r="C33" i="15"/>
  <c r="C41" i="15"/>
  <c r="G31" i="15"/>
  <c r="C110" i="15"/>
  <c r="C118" i="15"/>
  <c r="H37" i="15"/>
  <c r="L33" i="15"/>
  <c r="L41" i="15"/>
  <c r="J31" i="15"/>
  <c r="J39" i="15"/>
  <c r="S17" i="15"/>
  <c r="S25" i="15"/>
  <c r="S33" i="15"/>
  <c r="S41" i="15"/>
  <c r="X15" i="15"/>
  <c r="X31" i="15"/>
  <c r="S114" i="15"/>
  <c r="X118" i="15"/>
  <c r="W27" i="15"/>
  <c r="W118" i="15"/>
  <c r="Z15" i="15"/>
  <c r="Z23" i="15"/>
  <c r="Z31" i="15"/>
  <c r="Z39" i="15"/>
  <c r="R22" i="15"/>
  <c r="D17" i="15"/>
  <c r="AB90" i="15"/>
  <c r="AA96" i="15"/>
  <c r="S3" i="15"/>
  <c r="Z104" i="15"/>
  <c r="J90" i="15"/>
  <c r="AC7" i="15"/>
  <c r="H17" i="15"/>
  <c r="X100" i="15"/>
  <c r="C98" i="15"/>
  <c r="G25" i="15"/>
  <c r="AB106" i="15"/>
  <c r="M102" i="15"/>
  <c r="AC11" i="15"/>
  <c r="C27" i="15"/>
  <c r="R38" i="15"/>
  <c r="D25" i="15"/>
  <c r="AA102" i="15"/>
  <c r="J3" i="15"/>
  <c r="AB104" i="15"/>
  <c r="C23" i="15"/>
  <c r="L17" i="15"/>
  <c r="X9" i="15"/>
  <c r="M25" i="15"/>
  <c r="C102" i="15"/>
  <c r="AB11" i="15"/>
  <c r="L27" i="15"/>
  <c r="C35" i="15"/>
  <c r="G35" i="15"/>
  <c r="C104" i="15"/>
  <c r="C112" i="15"/>
  <c r="H41" i="15"/>
  <c r="L35" i="15"/>
  <c r="J33" i="15"/>
  <c r="J41" i="15"/>
  <c r="S19" i="15"/>
  <c r="S27" i="15"/>
  <c r="S35" i="15"/>
  <c r="X19" i="15"/>
  <c r="X35" i="15"/>
  <c r="S108" i="15"/>
  <c r="S116" i="15"/>
  <c r="W15" i="15"/>
  <c r="W31" i="15"/>
  <c r="Z17" i="15"/>
  <c r="Z25" i="15"/>
  <c r="Z33" i="15"/>
  <c r="Z41" i="15"/>
  <c r="B12" i="15"/>
  <c r="D33" i="15"/>
  <c r="C88" i="15"/>
  <c r="M94" i="15"/>
  <c r="AA104" i="15"/>
  <c r="L90" i="15"/>
  <c r="AA98" i="15"/>
  <c r="K23" i="15"/>
  <c r="J17" i="15"/>
  <c r="S100" i="15"/>
  <c r="G98" i="15"/>
  <c r="AA9" i="15"/>
  <c r="K25" i="15"/>
  <c r="G102" i="15"/>
  <c r="X11" i="15"/>
  <c r="H27" i="15"/>
  <c r="G37" i="15"/>
  <c r="X21" i="15"/>
  <c r="X37" i="15"/>
  <c r="X108" i="15"/>
  <c r="W17" i="15"/>
  <c r="W33" i="15"/>
  <c r="W108" i="15"/>
  <c r="J100" i="15"/>
  <c r="K15" i="15"/>
  <c r="H25" i="15"/>
  <c r="Z11" i="15"/>
  <c r="H31" i="15"/>
  <c r="X25" i="15"/>
  <c r="S110" i="15"/>
  <c r="W23" i="15"/>
  <c r="M29" i="15"/>
  <c r="AA15" i="15"/>
  <c r="AC112" i="15"/>
  <c r="J108" i="15"/>
  <c r="J112" i="15"/>
  <c r="G112" i="15"/>
  <c r="G114" i="15"/>
  <c r="L116" i="15"/>
  <c r="AA27" i="15"/>
  <c r="AC35" i="15"/>
  <c r="N27" i="15"/>
  <c r="AC98" i="15"/>
  <c r="L13" i="15"/>
  <c r="J25" i="15"/>
  <c r="K102" i="15"/>
  <c r="G27" i="15"/>
  <c r="H39" i="15"/>
  <c r="S13" i="15"/>
  <c r="S29" i="15"/>
  <c r="X29" i="15"/>
  <c r="W25" i="15"/>
  <c r="W110" i="15"/>
  <c r="Z29" i="15"/>
  <c r="Z108" i="15"/>
  <c r="Z116" i="15"/>
  <c r="AB15" i="15"/>
  <c r="AB23" i="15"/>
  <c r="AB31" i="15"/>
  <c r="AB39" i="15"/>
  <c r="AB114" i="15"/>
  <c r="K104" i="15"/>
  <c r="AC108" i="15"/>
  <c r="K29" i="15"/>
  <c r="L106" i="15"/>
  <c r="M31" i="15"/>
  <c r="H108" i="15"/>
  <c r="H110" i="15"/>
  <c r="J102" i="15"/>
  <c r="C106" i="15"/>
  <c r="J35" i="15"/>
  <c r="X33" i="15"/>
  <c r="X110" i="15"/>
  <c r="W29" i="15"/>
  <c r="W112" i="15"/>
  <c r="Z19" i="15"/>
  <c r="J104" i="15"/>
  <c r="H106" i="15"/>
  <c r="K31" i="15"/>
  <c r="AA17" i="15"/>
  <c r="G110" i="15"/>
  <c r="K114" i="15"/>
  <c r="K39" i="15"/>
  <c r="M118" i="15"/>
  <c r="AC29" i="15"/>
  <c r="AC37" i="15"/>
  <c r="H19" i="15"/>
  <c r="AB100" i="15"/>
  <c r="S106" i="15"/>
  <c r="L37" i="15"/>
  <c r="X39" i="15"/>
  <c r="X112" i="15"/>
  <c r="W35" i="15"/>
  <c r="W114" i="15"/>
  <c r="Z110" i="15"/>
  <c r="Z118" i="15"/>
  <c r="D41" i="15"/>
  <c r="H11" i="15"/>
  <c r="W100" i="15"/>
  <c r="L98" i="15"/>
  <c r="AC106" i="15"/>
  <c r="C29" i="15"/>
  <c r="G33" i="15"/>
  <c r="X41" i="15"/>
  <c r="S118" i="15"/>
  <c r="X114" i="15"/>
  <c r="W37" i="15"/>
  <c r="W116" i="15"/>
  <c r="Z21" i="15"/>
  <c r="AA108" i="15"/>
  <c r="G106" i="15"/>
  <c r="AA110" i="15"/>
  <c r="AA112" i="15"/>
  <c r="K108" i="15"/>
  <c r="K33" i="15"/>
  <c r="AC114" i="15"/>
  <c r="K35" i="15"/>
  <c r="M112" i="15"/>
  <c r="K37" i="15"/>
  <c r="AC118" i="15"/>
  <c r="H114" i="15"/>
  <c r="AA23" i="15"/>
  <c r="M116" i="15"/>
  <c r="K41" i="15"/>
  <c r="H118" i="15"/>
  <c r="AA31" i="15"/>
  <c r="AC39" i="15"/>
  <c r="M100" i="15"/>
  <c r="C100" i="15"/>
  <c r="H98" i="15"/>
  <c r="G39" i="15"/>
  <c r="C114" i="15"/>
  <c r="S21" i="15"/>
  <c r="S37" i="15"/>
  <c r="X13" i="15"/>
  <c r="X116" i="15"/>
  <c r="W13" i="15"/>
  <c r="W39" i="15"/>
  <c r="Z35" i="15"/>
  <c r="Z112" i="15"/>
  <c r="AB19" i="15"/>
  <c r="AB27" i="15"/>
  <c r="AB35" i="15"/>
  <c r="AB110" i="15"/>
  <c r="AB118" i="15"/>
  <c r="G104" i="15"/>
  <c r="M33" i="15"/>
  <c r="AA114" i="15"/>
  <c r="L110" i="15"/>
  <c r="AC19" i="15"/>
  <c r="H112" i="15"/>
  <c r="AC116" i="15"/>
  <c r="AC21" i="15"/>
  <c r="AA118" i="15"/>
  <c r="AC23" i="15"/>
  <c r="M41" i="15"/>
  <c r="AA33" i="15"/>
  <c r="L29" i="15"/>
  <c r="X17" i="15"/>
  <c r="W21" i="15"/>
  <c r="AB13" i="15"/>
  <c r="H104" i="15"/>
  <c r="M35" i="15"/>
  <c r="H116" i="15"/>
  <c r="K118" i="15"/>
  <c r="N41" i="15"/>
  <c r="N23" i="15"/>
  <c r="N7" i="15"/>
  <c r="AA11" i="15"/>
  <c r="G41" i="15"/>
  <c r="X23" i="15"/>
  <c r="W41" i="15"/>
  <c r="AB17" i="15"/>
  <c r="AB37" i="15"/>
  <c r="AB112" i="15"/>
  <c r="AC15" i="15"/>
  <c r="G108" i="15"/>
  <c r="J110" i="15"/>
  <c r="AA19" i="15"/>
  <c r="K112" i="15"/>
  <c r="L114" i="15"/>
  <c r="AC27" i="15"/>
  <c r="AC41" i="15"/>
  <c r="N39" i="15"/>
  <c r="N21" i="15"/>
  <c r="N5" i="15"/>
  <c r="M21" i="15"/>
  <c r="AB41" i="15"/>
  <c r="AB116" i="15"/>
  <c r="L104" i="15"/>
  <c r="AA13" i="15"/>
  <c r="AC17" i="15"/>
  <c r="M110" i="15"/>
  <c r="M37" i="15"/>
  <c r="AA25" i="15"/>
  <c r="AA39" i="15"/>
  <c r="AA41" i="15"/>
  <c r="N37" i="15"/>
  <c r="N19" i="15"/>
  <c r="N3" i="15"/>
  <c r="L21" i="15"/>
  <c r="C37" i="15"/>
  <c r="Z13" i="15"/>
  <c r="AB21" i="15"/>
  <c r="AC13" i="15"/>
  <c r="AA21" i="15"/>
  <c r="AC25" i="15"/>
  <c r="AA37" i="15"/>
  <c r="N35" i="15"/>
  <c r="N17" i="15"/>
  <c r="H29" i="15"/>
  <c r="AB25" i="15"/>
  <c r="M104" i="15"/>
  <c r="M106" i="15"/>
  <c r="L108" i="15"/>
  <c r="J114" i="15"/>
  <c r="M39" i="15"/>
  <c r="J116" i="15"/>
  <c r="J118" i="15"/>
  <c r="AC33" i="15"/>
  <c r="N33" i="15"/>
  <c r="N15" i="15"/>
  <c r="AC9" i="15"/>
  <c r="L102" i="15"/>
  <c r="Z27" i="15"/>
  <c r="K106" i="15"/>
  <c r="M108" i="15"/>
  <c r="M114" i="15"/>
  <c r="L118" i="15"/>
  <c r="AA29" i="15"/>
  <c r="AC31" i="15"/>
  <c r="AA35" i="15"/>
  <c r="N31" i="15"/>
  <c r="N13" i="15"/>
  <c r="Z114" i="15"/>
  <c r="J106" i="15"/>
  <c r="K110" i="15"/>
  <c r="G116" i="15"/>
  <c r="N96" i="15"/>
  <c r="N104" i="15"/>
  <c r="W9" i="15"/>
  <c r="W19" i="15"/>
  <c r="G118" i="15"/>
  <c r="N29" i="15"/>
  <c r="N88" i="15"/>
  <c r="N106" i="15"/>
  <c r="AA116" i="15"/>
  <c r="N25" i="15"/>
  <c r="N90" i="15"/>
  <c r="N108" i="15"/>
  <c r="Z37" i="15"/>
  <c r="N11" i="15"/>
  <c r="N94" i="15"/>
  <c r="N112" i="15"/>
  <c r="H102" i="15"/>
  <c r="AB108" i="15"/>
  <c r="N9" i="15"/>
  <c r="N98" i="15"/>
  <c r="N116" i="15"/>
  <c r="L112" i="15"/>
  <c r="N100" i="15"/>
  <c r="AB33" i="15"/>
  <c r="K116" i="15"/>
  <c r="N102" i="15"/>
  <c r="N110" i="15"/>
  <c r="N118" i="15"/>
  <c r="N92" i="15"/>
  <c r="N114" i="15"/>
  <c r="AC110" i="15"/>
  <c r="AB29" i="15"/>
  <c r="O136" i="15" l="1"/>
  <c r="L163" i="15"/>
  <c r="K147" i="15"/>
  <c r="L145" i="15"/>
  <c r="K129" i="15"/>
  <c r="AB155" i="15"/>
  <c r="AB139" i="15"/>
  <c r="AB123" i="15"/>
  <c r="AB50" i="15"/>
  <c r="AC52" i="15"/>
  <c r="AB66" i="15"/>
  <c r="S157" i="15"/>
  <c r="S141" i="15"/>
  <c r="S125" i="15"/>
  <c r="J72" i="15"/>
  <c r="J56" i="15"/>
  <c r="L70" i="15"/>
  <c r="L54" i="15"/>
  <c r="C163" i="15"/>
  <c r="C147" i="15"/>
  <c r="C131" i="15"/>
  <c r="T125" i="15"/>
  <c r="AA76" i="15"/>
  <c r="AD150" i="15"/>
  <c r="AE150" i="15" s="1"/>
  <c r="AD124" i="15"/>
  <c r="AE124" i="15" s="1"/>
  <c r="AD144" i="15"/>
  <c r="AE144" i="15" s="1"/>
  <c r="M163" i="15"/>
  <c r="O71" i="15"/>
  <c r="J147" i="15"/>
  <c r="AA149" i="15"/>
  <c r="AC46" i="15"/>
  <c r="AC135" i="15"/>
  <c r="L129" i="15"/>
  <c r="K50" i="15"/>
  <c r="J125" i="15"/>
  <c r="M48" i="15"/>
  <c r="D66" i="15"/>
  <c r="T50" i="15"/>
  <c r="T141" i="15"/>
  <c r="D163" i="15"/>
  <c r="M161" i="15"/>
  <c r="AC139" i="15"/>
  <c r="L161" i="15"/>
  <c r="L157" i="15"/>
  <c r="O59" i="15"/>
  <c r="AD57" i="15"/>
  <c r="AE57" i="15" s="1"/>
  <c r="O47" i="15"/>
  <c r="AA151" i="15"/>
  <c r="K72" i="15"/>
  <c r="K70" i="15"/>
  <c r="K141" i="15"/>
  <c r="L139" i="15"/>
  <c r="AA139" i="15"/>
  <c r="AA44" i="15"/>
  <c r="M131" i="15"/>
  <c r="L123" i="15"/>
  <c r="AA125" i="15"/>
  <c r="AB151" i="15"/>
  <c r="AB135" i="15"/>
  <c r="AB62" i="15"/>
  <c r="AB46" i="15"/>
  <c r="Z155" i="15"/>
  <c r="Z139" i="15"/>
  <c r="Z123" i="15"/>
  <c r="Z66" i="15"/>
  <c r="Z50" i="15"/>
  <c r="S66" i="15"/>
  <c r="S50" i="15"/>
  <c r="L66" i="15"/>
  <c r="L50" i="15"/>
  <c r="C72" i="15"/>
  <c r="C64" i="15"/>
  <c r="C56" i="15"/>
  <c r="C48" i="15"/>
  <c r="T66" i="15"/>
  <c r="D161" i="15"/>
  <c r="D145" i="15"/>
  <c r="D129" i="15"/>
  <c r="T155" i="15"/>
  <c r="AD120" i="15"/>
  <c r="AE120" i="15" s="1"/>
  <c r="K161" i="15"/>
  <c r="AA68" i="15"/>
  <c r="K157" i="15"/>
  <c r="AC151" i="15"/>
  <c r="M70" i="15"/>
  <c r="K145" i="15"/>
  <c r="L141" i="15"/>
  <c r="AC50" i="15"/>
  <c r="AA141" i="15"/>
  <c r="K131" i="15"/>
  <c r="K123" i="15"/>
  <c r="AC125" i="15"/>
  <c r="AC123" i="15"/>
  <c r="D70" i="15"/>
  <c r="AD148" i="15"/>
  <c r="AE148" i="15" s="1"/>
  <c r="D147" i="15"/>
  <c r="D131" i="15"/>
  <c r="T157" i="15"/>
  <c r="M72" i="15"/>
  <c r="D54" i="15"/>
  <c r="O160" i="15"/>
  <c r="AC68" i="15"/>
  <c r="AA157" i="15"/>
  <c r="J141" i="15"/>
  <c r="M64" i="15"/>
  <c r="AC141" i="15"/>
  <c r="M56" i="15"/>
  <c r="K54" i="15"/>
  <c r="AA133" i="15"/>
  <c r="AB149" i="15"/>
  <c r="AB133" i="15"/>
  <c r="AB76" i="15"/>
  <c r="AB68" i="15"/>
  <c r="AB60" i="15"/>
  <c r="AB52" i="15"/>
  <c r="AB44" i="15"/>
  <c r="L72" i="15"/>
  <c r="L64" i="15"/>
  <c r="L56" i="15"/>
  <c r="L48" i="15"/>
  <c r="AD114" i="15"/>
  <c r="AD92" i="15"/>
  <c r="AD118" i="15"/>
  <c r="AD110" i="15"/>
  <c r="AD102" i="15"/>
  <c r="AD100" i="15"/>
  <c r="AD116" i="15"/>
  <c r="AD98" i="15"/>
  <c r="AD9" i="15"/>
  <c r="I102" i="15"/>
  <c r="AD112" i="15"/>
  <c r="AD94" i="15"/>
  <c r="AD11" i="15"/>
  <c r="AD108" i="15"/>
  <c r="AD90" i="15"/>
  <c r="AD25" i="15"/>
  <c r="AD106" i="15"/>
  <c r="AD88" i="15"/>
  <c r="AD29" i="15"/>
  <c r="AD104" i="15"/>
  <c r="AD96" i="15"/>
  <c r="AD13" i="15"/>
  <c r="AD31" i="15"/>
  <c r="AD15" i="15"/>
  <c r="AD33" i="15"/>
  <c r="AD17" i="15"/>
  <c r="AD35" i="15"/>
  <c r="AD3" i="15"/>
  <c r="AD19" i="15"/>
  <c r="AD37" i="15"/>
  <c r="AD5" i="15"/>
  <c r="AD21" i="15"/>
  <c r="AD39" i="15"/>
  <c r="Y23" i="15"/>
  <c r="AD7" i="15"/>
  <c r="AD23" i="15"/>
  <c r="AD41" i="15"/>
  <c r="I116" i="15"/>
  <c r="Y13" i="15"/>
  <c r="I98" i="15"/>
  <c r="I118" i="15"/>
  <c r="Y114" i="15"/>
  <c r="Y112" i="15"/>
  <c r="Y39" i="15"/>
  <c r="I19" i="15"/>
  <c r="Y110" i="15"/>
  <c r="Y33" i="15"/>
  <c r="Y29" i="15"/>
  <c r="AD27" i="15"/>
  <c r="Y25" i="15"/>
  <c r="I31" i="15"/>
  <c r="Y108" i="15"/>
  <c r="Y37" i="15"/>
  <c r="Y21" i="15"/>
  <c r="I27" i="15"/>
  <c r="Y11" i="15"/>
  <c r="K12" i="15"/>
  <c r="C12" i="15"/>
  <c r="D12" i="15"/>
  <c r="L12" i="15"/>
  <c r="M12" i="15"/>
  <c r="J12" i="15"/>
  <c r="Y35" i="15"/>
  <c r="I41" i="15"/>
  <c r="Y9" i="15"/>
  <c r="T38" i="15"/>
  <c r="Z38" i="15"/>
  <c r="AB38" i="15"/>
  <c r="AC38" i="15"/>
  <c r="AA38" i="15"/>
  <c r="S38" i="15"/>
  <c r="Y100" i="15"/>
  <c r="I17" i="15"/>
  <c r="Y15" i="15"/>
  <c r="Y7" i="15"/>
  <c r="AB6" i="15"/>
  <c r="Z6" i="15"/>
  <c r="S6" i="15"/>
  <c r="AC6" i="15"/>
  <c r="AA6" i="15"/>
  <c r="T6" i="15"/>
  <c r="I3" i="15"/>
  <c r="H79" i="15"/>
  <c r="D4" i="17" s="1"/>
  <c r="I94" i="15"/>
  <c r="D40" i="15"/>
  <c r="C40" i="15"/>
  <c r="K40" i="15"/>
  <c r="L40" i="15"/>
  <c r="J40" i="15"/>
  <c r="M40" i="15"/>
  <c r="Y106" i="15"/>
  <c r="D24" i="15"/>
  <c r="L24" i="15"/>
  <c r="K24" i="15"/>
  <c r="J24" i="15"/>
  <c r="M24" i="15"/>
  <c r="C24" i="15"/>
  <c r="D119" i="15"/>
  <c r="K119" i="15"/>
  <c r="L119" i="15"/>
  <c r="M119" i="15"/>
  <c r="J119" i="15"/>
  <c r="C119" i="15"/>
  <c r="D103" i="15"/>
  <c r="E102" i="15" s="1"/>
  <c r="M103" i="15"/>
  <c r="C103" i="15"/>
  <c r="J103" i="15"/>
  <c r="L103" i="15"/>
  <c r="K103" i="15"/>
  <c r="T113" i="15"/>
  <c r="AB113" i="15"/>
  <c r="AA113" i="15"/>
  <c r="S113" i="15"/>
  <c r="AC113" i="15"/>
  <c r="Z113" i="15"/>
  <c r="T97" i="15"/>
  <c r="U96" i="15" s="1"/>
  <c r="V96" i="15" s="1"/>
  <c r="Y96" i="15" s="1"/>
  <c r="AC97" i="15"/>
  <c r="AB97" i="15"/>
  <c r="S97" i="15"/>
  <c r="AA97" i="15"/>
  <c r="Z97" i="15"/>
  <c r="L164" i="15"/>
  <c r="W164" i="15"/>
  <c r="AB164" i="15"/>
  <c r="H164" i="15"/>
  <c r="D103" i="17" s="1"/>
  <c r="D34" i="15"/>
  <c r="E33" i="15" s="1"/>
  <c r="C34" i="15"/>
  <c r="J34" i="15"/>
  <c r="K34" i="15"/>
  <c r="L34" i="15"/>
  <c r="M34" i="15"/>
  <c r="D10" i="15"/>
  <c r="E9" i="15" s="1"/>
  <c r="L10" i="15"/>
  <c r="M10" i="15"/>
  <c r="K10" i="15"/>
  <c r="J10" i="15"/>
  <c r="C10" i="15"/>
  <c r="U37" i="15"/>
  <c r="U5" i="15"/>
  <c r="T32" i="15"/>
  <c r="AB32" i="15"/>
  <c r="S32" i="15"/>
  <c r="Z32" i="15"/>
  <c r="AC32" i="15"/>
  <c r="AA32" i="15"/>
  <c r="D113" i="15"/>
  <c r="C113" i="15"/>
  <c r="K113" i="15"/>
  <c r="J113" i="15"/>
  <c r="M113" i="15"/>
  <c r="L113" i="15"/>
  <c r="K97" i="15"/>
  <c r="C97" i="15"/>
  <c r="D97" i="15"/>
  <c r="M97" i="15"/>
  <c r="L97" i="15"/>
  <c r="J97" i="15"/>
  <c r="AC91" i="15"/>
  <c r="AA91" i="15"/>
  <c r="S91" i="15"/>
  <c r="Z91" i="15"/>
  <c r="T91" i="15"/>
  <c r="AB91" i="15"/>
  <c r="Y104" i="15"/>
  <c r="AB79" i="15"/>
  <c r="G164" i="15"/>
  <c r="E39" i="15"/>
  <c r="E23" i="15"/>
  <c r="K8" i="15"/>
  <c r="J8" i="15"/>
  <c r="D8" i="15"/>
  <c r="E7" i="15" s="1"/>
  <c r="C8" i="15"/>
  <c r="L8" i="15"/>
  <c r="M8" i="15"/>
  <c r="T42" i="15"/>
  <c r="U41" i="15" s="1"/>
  <c r="S42" i="15"/>
  <c r="Z42" i="15"/>
  <c r="AB42" i="15"/>
  <c r="AA42" i="15"/>
  <c r="AC42" i="15"/>
  <c r="T26" i="15"/>
  <c r="Z26" i="15"/>
  <c r="S26" i="15"/>
  <c r="AB26" i="15"/>
  <c r="AA26" i="15"/>
  <c r="AC26" i="15"/>
  <c r="D107" i="15"/>
  <c r="E106" i="15" s="1"/>
  <c r="C107" i="15"/>
  <c r="J107" i="15"/>
  <c r="K107" i="15"/>
  <c r="M107" i="15"/>
  <c r="L107" i="15"/>
  <c r="T117" i="15"/>
  <c r="U116" i="15" s="1"/>
  <c r="S117" i="15"/>
  <c r="AA117" i="15"/>
  <c r="Z117" i="15"/>
  <c r="AB117" i="15"/>
  <c r="AC117" i="15"/>
  <c r="I5" i="15"/>
  <c r="D38" i="15"/>
  <c r="E37" i="15" s="1"/>
  <c r="M38" i="15"/>
  <c r="L38" i="15"/>
  <c r="J38" i="15"/>
  <c r="C38" i="15"/>
  <c r="K38" i="15"/>
  <c r="L22" i="15"/>
  <c r="C22" i="15"/>
  <c r="M22" i="15"/>
  <c r="D22" i="15"/>
  <c r="E21" i="15" s="1"/>
  <c r="K22" i="15"/>
  <c r="J22" i="15"/>
  <c r="AW4" i="31"/>
  <c r="T36" i="15"/>
  <c r="U35" i="15" s="1"/>
  <c r="S36" i="15"/>
  <c r="AC36" i="15"/>
  <c r="AA36" i="15"/>
  <c r="AB36" i="15"/>
  <c r="Z36" i="15"/>
  <c r="T20" i="15"/>
  <c r="U19" i="15" s="1"/>
  <c r="S20" i="15"/>
  <c r="Z20" i="15"/>
  <c r="AB20" i="15"/>
  <c r="AC20" i="15"/>
  <c r="AA20" i="15"/>
  <c r="AW31" i="31"/>
  <c r="AW7" i="31"/>
  <c r="AW15" i="31"/>
  <c r="AW23" i="31"/>
  <c r="AB4" i="15"/>
  <c r="AW8" i="31"/>
  <c r="AW16" i="31"/>
  <c r="AA4" i="15"/>
  <c r="Z4" i="15"/>
  <c r="AW17" i="31"/>
  <c r="AC4" i="15"/>
  <c r="S4" i="15"/>
  <c r="AW29" i="31"/>
  <c r="AW25" i="31"/>
  <c r="AW10" i="31"/>
  <c r="AW11" i="31"/>
  <c r="AW19" i="31"/>
  <c r="T4" i="15"/>
  <c r="U3" i="15" s="1"/>
  <c r="AW12" i="31"/>
  <c r="AW20" i="31"/>
  <c r="AW5" i="31"/>
  <c r="AW21" i="31"/>
  <c r="AW30" i="31"/>
  <c r="AW22" i="31"/>
  <c r="AW26" i="31"/>
  <c r="AW28" i="31"/>
  <c r="AW6" i="31"/>
  <c r="AW14" i="31"/>
  <c r="D117" i="15"/>
  <c r="E116" i="15" s="1"/>
  <c r="C117" i="15"/>
  <c r="J117" i="15"/>
  <c r="L117" i="15"/>
  <c r="K117" i="15"/>
  <c r="M117" i="15"/>
  <c r="D101" i="15"/>
  <c r="E100" i="15" s="1"/>
  <c r="C101" i="15"/>
  <c r="J101" i="15"/>
  <c r="L101" i="15"/>
  <c r="M101" i="15"/>
  <c r="K101" i="15"/>
  <c r="U90" i="15"/>
  <c r="T111" i="15"/>
  <c r="AA111" i="15"/>
  <c r="S111" i="15"/>
  <c r="AC111" i="15"/>
  <c r="Z111" i="15"/>
  <c r="AB111" i="15"/>
  <c r="T95" i="15"/>
  <c r="AC95" i="15"/>
  <c r="AA95" i="15"/>
  <c r="S95" i="15"/>
  <c r="Z95" i="15"/>
  <c r="AB95" i="15"/>
  <c r="L79" i="15"/>
  <c r="Y88" i="15"/>
  <c r="X164" i="15"/>
  <c r="W103" i="17" s="1"/>
  <c r="E5" i="15"/>
  <c r="O5" i="15" s="1"/>
  <c r="D32" i="15"/>
  <c r="E31" i="15" s="1"/>
  <c r="C32" i="15"/>
  <c r="L32" i="15"/>
  <c r="J32" i="15"/>
  <c r="K32" i="15"/>
  <c r="M32" i="15"/>
  <c r="C16" i="15"/>
  <c r="J16" i="15"/>
  <c r="L16" i="15"/>
  <c r="D16" i="15"/>
  <c r="E15" i="15" s="1"/>
  <c r="K16" i="15"/>
  <c r="M16" i="15"/>
  <c r="C6" i="15"/>
  <c r="D6" i="15"/>
  <c r="L6" i="15"/>
  <c r="J6" i="15"/>
  <c r="K6" i="15"/>
  <c r="M6" i="15"/>
  <c r="T14" i="15"/>
  <c r="U13" i="15" s="1"/>
  <c r="Z14" i="15"/>
  <c r="AB14" i="15"/>
  <c r="AC14" i="15"/>
  <c r="AA14" i="15"/>
  <c r="S14" i="15"/>
  <c r="E112" i="15"/>
  <c r="O112" i="15" s="1"/>
  <c r="E96" i="15"/>
  <c r="O96" i="15" s="1"/>
  <c r="W46" i="31"/>
  <c r="D111" i="15"/>
  <c r="E110" i="15" s="1"/>
  <c r="M111" i="15"/>
  <c r="C111" i="15"/>
  <c r="J111" i="15"/>
  <c r="K111" i="15"/>
  <c r="L111" i="15"/>
  <c r="W48" i="31"/>
  <c r="W56" i="31"/>
  <c r="W60" i="31"/>
  <c r="W64" i="31"/>
  <c r="W68" i="31"/>
  <c r="W53" i="31"/>
  <c r="W57" i="31"/>
  <c r="W61" i="31"/>
  <c r="W65" i="31"/>
  <c r="D89" i="15"/>
  <c r="E88" i="15" s="1"/>
  <c r="W50" i="31"/>
  <c r="W54" i="31"/>
  <c r="W58" i="31"/>
  <c r="W62" i="31"/>
  <c r="W66" i="31"/>
  <c r="W47" i="31"/>
  <c r="W51" i="31"/>
  <c r="W63" i="31"/>
  <c r="M89" i="15"/>
  <c r="J89" i="15"/>
  <c r="W59" i="31"/>
  <c r="W67" i="31"/>
  <c r="C89" i="15"/>
  <c r="L89" i="15"/>
  <c r="K89" i="15"/>
  <c r="W55" i="31"/>
  <c r="AW46" i="31"/>
  <c r="T105" i="15"/>
  <c r="U104" i="15" s="1"/>
  <c r="AB105" i="15"/>
  <c r="Z105" i="15"/>
  <c r="S105" i="15"/>
  <c r="AA105" i="15"/>
  <c r="AC105" i="15"/>
  <c r="G79" i="15"/>
  <c r="W79" i="15"/>
  <c r="I96" i="15"/>
  <c r="I92" i="15"/>
  <c r="D42" i="15"/>
  <c r="E41" i="15" s="1"/>
  <c r="C42" i="15"/>
  <c r="J42" i="15"/>
  <c r="K42" i="15"/>
  <c r="L42" i="15"/>
  <c r="M42" i="15"/>
  <c r="D26" i="15"/>
  <c r="E25" i="15" s="1"/>
  <c r="J26" i="15"/>
  <c r="K26" i="15"/>
  <c r="L26" i="15"/>
  <c r="M26" i="15"/>
  <c r="C26" i="15"/>
  <c r="W30" i="31"/>
  <c r="W28" i="31"/>
  <c r="W26" i="31"/>
  <c r="W24" i="31"/>
  <c r="W31" i="31"/>
  <c r="W29" i="31"/>
  <c r="W27" i="31"/>
  <c r="W25" i="31"/>
  <c r="W7" i="31"/>
  <c r="W23" i="31"/>
  <c r="W8" i="31"/>
  <c r="W16" i="31"/>
  <c r="W9" i="31"/>
  <c r="W17" i="31"/>
  <c r="W10" i="31"/>
  <c r="W18" i="31"/>
  <c r="W11" i="31"/>
  <c r="W19" i="31"/>
  <c r="W12" i="31"/>
  <c r="W20" i="31"/>
  <c r="W6" i="31"/>
  <c r="W13" i="31"/>
  <c r="W14" i="31"/>
  <c r="W21" i="31"/>
  <c r="U25" i="15"/>
  <c r="T40" i="15"/>
  <c r="U39" i="15" s="1"/>
  <c r="V39" i="15" s="1"/>
  <c r="Z40" i="15"/>
  <c r="AB40" i="15"/>
  <c r="AC40" i="15"/>
  <c r="AA40" i="15"/>
  <c r="S40" i="15"/>
  <c r="T24" i="15"/>
  <c r="AB24" i="15"/>
  <c r="AC24" i="15"/>
  <c r="S24" i="15"/>
  <c r="Z24" i="15"/>
  <c r="AA24" i="15"/>
  <c r="T8" i="15"/>
  <c r="AC8" i="15"/>
  <c r="AB8" i="15"/>
  <c r="AA8" i="15"/>
  <c r="S8" i="15"/>
  <c r="Z8" i="15"/>
  <c r="D105" i="15"/>
  <c r="E104" i="15" s="1"/>
  <c r="C105" i="15"/>
  <c r="K105" i="15"/>
  <c r="M105" i="15"/>
  <c r="J105" i="15"/>
  <c r="L105" i="15"/>
  <c r="U112" i="15"/>
  <c r="V112" i="15" s="1"/>
  <c r="Z99" i="15"/>
  <c r="AA99" i="15"/>
  <c r="S99" i="15"/>
  <c r="AB99" i="15"/>
  <c r="T99" i="15"/>
  <c r="U98" i="15" s="1"/>
  <c r="AC99" i="15"/>
  <c r="X79" i="15"/>
  <c r="W4" i="17" s="1"/>
  <c r="E11" i="15"/>
  <c r="W4" i="31"/>
  <c r="D36" i="15"/>
  <c r="E35" i="15" s="1"/>
  <c r="C36" i="15"/>
  <c r="L36" i="15"/>
  <c r="J36" i="15"/>
  <c r="M36" i="15"/>
  <c r="K36" i="15"/>
  <c r="D20" i="15"/>
  <c r="E19" i="15" s="1"/>
  <c r="J20" i="15"/>
  <c r="C20" i="15"/>
  <c r="K20" i="15"/>
  <c r="L20" i="15"/>
  <c r="M20" i="15"/>
  <c r="M14" i="15"/>
  <c r="D14" i="15"/>
  <c r="E13" i="15" s="1"/>
  <c r="K14" i="15"/>
  <c r="J14" i="15"/>
  <c r="L14" i="15"/>
  <c r="C14" i="15"/>
  <c r="T18" i="15"/>
  <c r="U17" i="15" s="1"/>
  <c r="Z18" i="15"/>
  <c r="S18" i="15"/>
  <c r="AB18" i="15"/>
  <c r="AA18" i="15"/>
  <c r="AC18" i="15"/>
  <c r="E118" i="15"/>
  <c r="D115" i="15"/>
  <c r="E114" i="15" s="1"/>
  <c r="K115" i="15"/>
  <c r="J115" i="15"/>
  <c r="M115" i="15"/>
  <c r="L115" i="15"/>
  <c r="C115" i="15"/>
  <c r="D99" i="15"/>
  <c r="E98" i="15" s="1"/>
  <c r="C99" i="15"/>
  <c r="M99" i="15"/>
  <c r="J99" i="15"/>
  <c r="L99" i="15"/>
  <c r="K99" i="15"/>
  <c r="AC93" i="15"/>
  <c r="S93" i="15"/>
  <c r="AB93" i="15"/>
  <c r="Z93" i="15"/>
  <c r="T93" i="15"/>
  <c r="U92" i="15" s="1"/>
  <c r="AA93" i="15"/>
  <c r="AW48" i="31"/>
  <c r="AW52" i="31"/>
  <c r="AW64" i="31"/>
  <c r="AW68" i="31"/>
  <c r="AW49" i="31"/>
  <c r="AW53" i="31"/>
  <c r="AW57" i="31"/>
  <c r="AW61" i="31"/>
  <c r="AW65" i="31"/>
  <c r="AW50" i="31"/>
  <c r="AW54" i="31"/>
  <c r="AW58" i="31"/>
  <c r="AW51" i="31"/>
  <c r="AW55" i="31"/>
  <c r="AW59" i="31"/>
  <c r="AW63" i="31"/>
  <c r="AW67" i="31"/>
  <c r="I90" i="15"/>
  <c r="D30" i="15"/>
  <c r="E29" i="15" s="1"/>
  <c r="L30" i="15"/>
  <c r="J30" i="15"/>
  <c r="K30" i="15"/>
  <c r="C30" i="15"/>
  <c r="M30" i="15"/>
  <c r="U31" i="15"/>
  <c r="U23" i="15"/>
  <c r="U7" i="15"/>
  <c r="T28" i="15"/>
  <c r="U27" i="15" s="1"/>
  <c r="S28" i="15"/>
  <c r="Z28" i="15"/>
  <c r="AC28" i="15"/>
  <c r="AA28" i="15"/>
  <c r="AB28" i="15"/>
  <c r="T12" i="15"/>
  <c r="U11" i="15" s="1"/>
  <c r="V11" i="15" s="1"/>
  <c r="S12" i="15"/>
  <c r="AC12" i="15"/>
  <c r="AA12" i="15"/>
  <c r="Z12" i="15"/>
  <c r="AB12" i="15"/>
  <c r="D109" i="15"/>
  <c r="E108" i="15" s="1"/>
  <c r="C109" i="15"/>
  <c r="L109" i="15"/>
  <c r="K109" i="15"/>
  <c r="M109" i="15"/>
  <c r="J109" i="15"/>
  <c r="D93" i="15"/>
  <c r="E92" i="15" s="1"/>
  <c r="C93" i="15"/>
  <c r="M93" i="15"/>
  <c r="J93" i="15"/>
  <c r="K93" i="15"/>
  <c r="L93" i="15"/>
  <c r="U110" i="15"/>
  <c r="U94" i="15"/>
  <c r="T119" i="15"/>
  <c r="U118" i="15" s="1"/>
  <c r="V118" i="15" s="1"/>
  <c r="Y118" i="15" s="1"/>
  <c r="AA119" i="15"/>
  <c r="Z119" i="15"/>
  <c r="S119" i="15"/>
  <c r="AB119" i="15"/>
  <c r="AC119" i="15"/>
  <c r="T103" i="15"/>
  <c r="U102" i="15" s="1"/>
  <c r="Z103" i="15"/>
  <c r="S103" i="15"/>
  <c r="AC103" i="15"/>
  <c r="AA103" i="15"/>
  <c r="AB103" i="15"/>
  <c r="O130" i="15"/>
  <c r="AD130" i="15"/>
  <c r="AE130" i="15" s="1"/>
  <c r="O152" i="15"/>
  <c r="AD162" i="15"/>
  <c r="AE162" i="15" s="1"/>
  <c r="AD43" i="15"/>
  <c r="AE43" i="15" s="1"/>
  <c r="O67" i="15"/>
  <c r="L18" i="15"/>
  <c r="AC16" i="15"/>
  <c r="S101" i="15"/>
  <c r="S30" i="15"/>
  <c r="J95" i="15"/>
  <c r="J69" i="11"/>
  <c r="M18" i="15"/>
  <c r="AA16" i="15"/>
  <c r="AC101" i="15"/>
  <c r="Z30" i="15"/>
  <c r="K95" i="15"/>
  <c r="J4" i="15"/>
  <c r="AA109" i="15"/>
  <c r="AC89" i="15"/>
  <c r="T22" i="15"/>
  <c r="K18" i="15"/>
  <c r="T107" i="15"/>
  <c r="D28" i="15"/>
  <c r="T10" i="15"/>
  <c r="D91" i="15"/>
  <c r="Z101" i="15"/>
  <c r="AA30" i="15"/>
  <c r="J74" i="11"/>
  <c r="L95" i="15"/>
  <c r="T115" i="15"/>
  <c r="T34" i="15"/>
  <c r="Z109" i="15"/>
  <c r="AB22" i="15"/>
  <c r="Z107" i="15"/>
  <c r="C28" i="15"/>
  <c r="AC10" i="15"/>
  <c r="L91" i="15"/>
  <c r="AA101" i="15"/>
  <c r="J12" i="11"/>
  <c r="AC30" i="15"/>
  <c r="Z115" i="15"/>
  <c r="S34" i="15"/>
  <c r="AB109" i="15"/>
  <c r="Z89" i="15"/>
  <c r="AC22" i="15"/>
  <c r="T16" i="15"/>
  <c r="AB107" i="15"/>
  <c r="L28" i="15"/>
  <c r="Z10" i="15"/>
  <c r="K91" i="15"/>
  <c r="J66" i="11"/>
  <c r="C4" i="15"/>
  <c r="AB115" i="15"/>
  <c r="Z34" i="15"/>
  <c r="AB89" i="15"/>
  <c r="S89" i="15"/>
  <c r="Z22" i="15"/>
  <c r="D18" i="15"/>
  <c r="Z16" i="15"/>
  <c r="AC107" i="15"/>
  <c r="J29" i="11"/>
  <c r="K28" i="15"/>
  <c r="AB10" i="15"/>
  <c r="J91" i="15"/>
  <c r="M95" i="15"/>
  <c r="L4" i="15"/>
  <c r="K4" i="15"/>
  <c r="AA115" i="15"/>
  <c r="J15" i="11"/>
  <c r="AB34" i="15"/>
  <c r="AA89" i="15"/>
  <c r="S22" i="15"/>
  <c r="C18" i="15"/>
  <c r="AB16" i="15"/>
  <c r="AA107" i="15"/>
  <c r="M28" i="15"/>
  <c r="S10" i="15"/>
  <c r="M91" i="15"/>
  <c r="T101" i="15"/>
  <c r="T30" i="15"/>
  <c r="D95" i="15"/>
  <c r="D4" i="15"/>
  <c r="S115" i="15"/>
  <c r="AC34" i="15"/>
  <c r="J77" i="11"/>
  <c r="T109" i="15"/>
  <c r="T89" i="15"/>
  <c r="AA22" i="15"/>
  <c r="J18" i="15"/>
  <c r="S16" i="15"/>
  <c r="S107" i="15"/>
  <c r="J21" i="11"/>
  <c r="J28" i="15"/>
  <c r="AA10" i="15"/>
  <c r="C91" i="15"/>
  <c r="AB101" i="15"/>
  <c r="J28" i="11"/>
  <c r="AB30" i="15"/>
  <c r="C95" i="15"/>
  <c r="M4" i="15"/>
  <c r="AC115" i="15"/>
  <c r="AA34" i="15"/>
  <c r="J73" i="11"/>
  <c r="S109" i="15"/>
  <c r="AC109" i="15"/>
  <c r="J16" i="11"/>
  <c r="J30" i="11"/>
  <c r="J70" i="11"/>
  <c r="J19" i="11"/>
  <c r="J67" i="11"/>
  <c r="J13" i="11"/>
  <c r="J25" i="11"/>
  <c r="J27" i="11"/>
  <c r="J76" i="11"/>
  <c r="J64" i="11"/>
  <c r="J22" i="11"/>
  <c r="V102" i="15" l="1"/>
  <c r="Y102" i="15" s="1"/>
  <c r="V13" i="15"/>
  <c r="V35" i="15"/>
  <c r="V110" i="15"/>
  <c r="V23" i="15"/>
  <c r="U88" i="15"/>
  <c r="AW47" i="31"/>
  <c r="W168" i="17" s="1"/>
  <c r="AW62" i="31"/>
  <c r="U108" i="15"/>
  <c r="W5" i="31"/>
  <c r="E3" i="15"/>
  <c r="E94" i="15"/>
  <c r="W52" i="31"/>
  <c r="U29" i="15"/>
  <c r="F29" i="15" s="1"/>
  <c r="I29" i="15" s="1"/>
  <c r="AW24" i="31"/>
  <c r="AA61" i="17" s="1"/>
  <c r="U100" i="15"/>
  <c r="AW56" i="31"/>
  <c r="AA164" i="15"/>
  <c r="K79" i="15"/>
  <c r="L80" i="15"/>
  <c r="E17" i="15"/>
  <c r="W15" i="31"/>
  <c r="U188" i="15"/>
  <c r="U218" i="15"/>
  <c r="U203" i="15"/>
  <c r="U185" i="15"/>
  <c r="U179" i="15"/>
  <c r="U215" i="15"/>
  <c r="U200" i="15"/>
  <c r="U182" i="15"/>
  <c r="U197" i="15"/>
  <c r="U206" i="15"/>
  <c r="U194" i="15"/>
  <c r="U209" i="15"/>
  <c r="U173" i="15"/>
  <c r="U221" i="15"/>
  <c r="U176" i="15"/>
  <c r="U212" i="15"/>
  <c r="U191" i="15"/>
  <c r="AB165" i="15"/>
  <c r="E220" i="15"/>
  <c r="E217" i="15"/>
  <c r="E196" i="15"/>
  <c r="E211" i="15"/>
  <c r="E214" i="15"/>
  <c r="E202" i="15"/>
  <c r="E190" i="15"/>
  <c r="E199" i="15"/>
  <c r="E208" i="15"/>
  <c r="E193" i="15"/>
  <c r="E184" i="15"/>
  <c r="E187" i="15"/>
  <c r="E205" i="15"/>
  <c r="E175" i="15"/>
  <c r="E172" i="15"/>
  <c r="E181" i="15"/>
  <c r="E178" i="15"/>
  <c r="U15" i="15"/>
  <c r="AW13" i="31"/>
  <c r="Z164" i="15"/>
  <c r="AW27" i="31"/>
  <c r="U33" i="15"/>
  <c r="U114" i="15"/>
  <c r="F114" i="15" s="1"/>
  <c r="I114" i="15" s="1"/>
  <c r="AW66" i="31"/>
  <c r="W49" i="31"/>
  <c r="E90" i="15"/>
  <c r="AW9" i="31"/>
  <c r="U9" i="15"/>
  <c r="W22" i="31"/>
  <c r="E27" i="15"/>
  <c r="V27" i="15" s="1"/>
  <c r="Y27" i="15" s="1"/>
  <c r="U106" i="15"/>
  <c r="AE106" i="15" s="1"/>
  <c r="AW60" i="31"/>
  <c r="U21" i="15"/>
  <c r="AW18" i="31"/>
  <c r="J79" i="15"/>
  <c r="F25" i="15"/>
  <c r="I25" i="15" s="1"/>
  <c r="O25" i="15"/>
  <c r="J164" i="15"/>
  <c r="F92" i="15"/>
  <c r="O92" i="15"/>
  <c r="V92" i="15"/>
  <c r="Y92" i="15" s="1"/>
  <c r="O114" i="15"/>
  <c r="V98" i="15"/>
  <c r="Y98" i="15" s="1"/>
  <c r="AA79" i="15"/>
  <c r="F116" i="15"/>
  <c r="O116" i="15"/>
  <c r="F33" i="15"/>
  <c r="I33" i="15" s="1"/>
  <c r="O33" i="15"/>
  <c r="U172" i="15"/>
  <c r="F15" i="15"/>
  <c r="I15" i="15" s="1"/>
  <c r="O15" i="15"/>
  <c r="F35" i="15"/>
  <c r="I35" i="15" s="1"/>
  <c r="O35" i="15"/>
  <c r="F31" i="15"/>
  <c r="O31" i="15"/>
  <c r="F100" i="15"/>
  <c r="I100" i="15" s="1"/>
  <c r="O100" i="15"/>
  <c r="F9" i="15"/>
  <c r="I9" i="15" s="1"/>
  <c r="O9" i="15"/>
  <c r="E206" i="15"/>
  <c r="V3" i="15"/>
  <c r="Y3" i="15" s="1"/>
  <c r="O106" i="15"/>
  <c r="F7" i="15"/>
  <c r="I7" i="15" s="1"/>
  <c r="O7" i="15"/>
  <c r="V17" i="15"/>
  <c r="Y17" i="15" s="1"/>
  <c r="E164" i="15"/>
  <c r="O88" i="15"/>
  <c r="F98" i="15"/>
  <c r="O98" i="15"/>
  <c r="K164" i="15"/>
  <c r="O29" i="15"/>
  <c r="F19" i="15"/>
  <c r="O19" i="15"/>
  <c r="F104" i="15"/>
  <c r="I104" i="15" s="1"/>
  <c r="O104" i="15"/>
  <c r="F41" i="15"/>
  <c r="O41" i="15"/>
  <c r="Z79" i="15"/>
  <c r="F108" i="15"/>
  <c r="I108" i="15" s="1"/>
  <c r="O108" i="15"/>
  <c r="F13" i="15"/>
  <c r="I13" i="15" s="1"/>
  <c r="O13" i="15"/>
  <c r="F21" i="15"/>
  <c r="I21" i="15" s="1"/>
  <c r="O21" i="15"/>
  <c r="V116" i="15"/>
  <c r="Y116" i="15" s="1"/>
  <c r="F110" i="15"/>
  <c r="I110" i="15" s="1"/>
  <c r="G56" i="17"/>
  <c r="D71" i="17"/>
  <c r="G67" i="17"/>
  <c r="H64" i="17"/>
  <c r="G64" i="17"/>
  <c r="F62" i="17"/>
  <c r="F71" i="17"/>
  <c r="O56" i="17"/>
  <c r="G59" i="17"/>
  <c r="H55" i="17"/>
  <c r="W86" i="17"/>
  <c r="AB86" i="17"/>
  <c r="Z84" i="17"/>
  <c r="Z81" i="17"/>
  <c r="Z87" i="17"/>
  <c r="Z83" i="17"/>
  <c r="Z79" i="17"/>
  <c r="W87" i="17"/>
  <c r="AA93" i="17"/>
  <c r="AA94" i="17"/>
  <c r="AB90" i="17"/>
  <c r="AA161" i="17"/>
  <c r="AB157" i="17"/>
  <c r="W159" i="17"/>
  <c r="W163" i="17"/>
  <c r="AH154" i="17"/>
  <c r="AA164" i="17"/>
  <c r="D189" i="17"/>
  <c r="I192" i="17"/>
  <c r="G184" i="17"/>
  <c r="O186" i="17"/>
  <c r="I181" i="17"/>
  <c r="H189" i="17"/>
  <c r="F37" i="15"/>
  <c r="I37" i="15" s="1"/>
  <c r="F23" i="15"/>
  <c r="I23" i="15" s="1"/>
  <c r="U193" i="15"/>
  <c r="U175" i="15"/>
  <c r="E212" i="15"/>
  <c r="E218" i="15"/>
  <c r="AE41" i="15"/>
  <c r="AE21" i="15"/>
  <c r="AE3" i="15"/>
  <c r="AE11" i="15"/>
  <c r="AE98" i="15"/>
  <c r="O110" i="15"/>
  <c r="F118" i="15"/>
  <c r="U220" i="15"/>
  <c r="U205" i="15"/>
  <c r="E176" i="15"/>
  <c r="E182" i="15"/>
  <c r="AE23" i="15"/>
  <c r="AE104" i="15"/>
  <c r="AE94" i="15"/>
  <c r="AE110" i="15"/>
  <c r="V7" i="15"/>
  <c r="F11" i="15"/>
  <c r="I11" i="15" s="1"/>
  <c r="D163" i="17"/>
  <c r="G157" i="17"/>
  <c r="O159" i="17"/>
  <c r="F159" i="17"/>
  <c r="O161" i="17"/>
  <c r="H155" i="17"/>
  <c r="O163" i="17"/>
  <c r="H165" i="17"/>
  <c r="D158" i="17"/>
  <c r="F154" i="17"/>
  <c r="H170" i="17"/>
  <c r="O166" i="17"/>
  <c r="O164" i="17"/>
  <c r="O156" i="17"/>
  <c r="I168" i="17"/>
  <c r="F160" i="17"/>
  <c r="F155" i="17"/>
  <c r="I165" i="17"/>
  <c r="F158" i="17"/>
  <c r="G154" i="17"/>
  <c r="D170" i="17"/>
  <c r="F166" i="17"/>
  <c r="F164" i="17"/>
  <c r="I156" i="17"/>
  <c r="D168" i="17"/>
  <c r="G160" i="17"/>
  <c r="F169" i="17"/>
  <c r="G155" i="17"/>
  <c r="I157" i="17"/>
  <c r="G169" i="17"/>
  <c r="F165" i="17"/>
  <c r="H158" i="17"/>
  <c r="I170" i="17"/>
  <c r="G166" i="17"/>
  <c r="G164" i="17"/>
  <c r="F156" i="17"/>
  <c r="F168" i="17"/>
  <c r="O162" i="17"/>
  <c r="D160" i="17"/>
  <c r="D159" i="17"/>
  <c r="H159" i="17"/>
  <c r="O169" i="17"/>
  <c r="D155" i="17"/>
  <c r="H161" i="17"/>
  <c r="D165" i="17"/>
  <c r="I158" i="17"/>
  <c r="F170" i="17"/>
  <c r="H166" i="17"/>
  <c r="H164" i="17"/>
  <c r="G156" i="17"/>
  <c r="G168" i="17"/>
  <c r="G162" i="17"/>
  <c r="H160" i="17"/>
  <c r="I159" i="17"/>
  <c r="F157" i="17"/>
  <c r="O155" i="17"/>
  <c r="I163" i="17"/>
  <c r="H163" i="17"/>
  <c r="G163" i="17"/>
  <c r="O154" i="17"/>
  <c r="D166" i="17"/>
  <c r="D164" i="17"/>
  <c r="D156" i="17"/>
  <c r="H162" i="17"/>
  <c r="I160" i="17"/>
  <c r="I167" i="17"/>
  <c r="H157" i="17"/>
  <c r="G167" i="17"/>
  <c r="I169" i="17"/>
  <c r="F161" i="17"/>
  <c r="F163" i="17"/>
  <c r="D167" i="17"/>
  <c r="F167" i="17"/>
  <c r="D154" i="17"/>
  <c r="I166" i="17"/>
  <c r="I164" i="17"/>
  <c r="H156" i="17"/>
  <c r="D162" i="17"/>
  <c r="H168" i="17"/>
  <c r="H167" i="17"/>
  <c r="G159" i="17"/>
  <c r="D161" i="17"/>
  <c r="O167" i="17"/>
  <c r="O160" i="17"/>
  <c r="I155" i="17"/>
  <c r="O158" i="17"/>
  <c r="F162" i="17"/>
  <c r="G158" i="17"/>
  <c r="I162" i="17"/>
  <c r="I161" i="17"/>
  <c r="H154" i="17"/>
  <c r="O170" i="17"/>
  <c r="H169" i="17"/>
  <c r="O157" i="17"/>
  <c r="D169" i="17"/>
  <c r="D157" i="17"/>
  <c r="G165" i="17"/>
  <c r="O165" i="17"/>
  <c r="I154" i="17"/>
  <c r="O168" i="17"/>
  <c r="G170" i="17"/>
  <c r="G161" i="17"/>
  <c r="Y187" i="17"/>
  <c r="Y177" i="17"/>
  <c r="Y178" i="17"/>
  <c r="Y179" i="17"/>
  <c r="W181" i="17"/>
  <c r="AB181" i="17"/>
  <c r="W182" i="17"/>
  <c r="AB182" i="17"/>
  <c r="W183" i="17"/>
  <c r="Z187" i="17"/>
  <c r="Y180" i="17"/>
  <c r="AH187" i="17"/>
  <c r="Z177" i="17"/>
  <c r="AH177" i="17"/>
  <c r="Z178" i="17"/>
  <c r="AH178" i="17"/>
  <c r="Z179" i="17"/>
  <c r="AH179" i="17"/>
  <c r="Y181" i="17"/>
  <c r="Y182" i="17"/>
  <c r="Y183" i="17"/>
  <c r="Y184" i="17"/>
  <c r="Y185" i="17"/>
  <c r="AA177" i="17"/>
  <c r="AA178" i="17"/>
  <c r="AB180" i="17"/>
  <c r="Y186" i="17"/>
  <c r="Y188" i="17"/>
  <c r="W192" i="17"/>
  <c r="AB192" i="17"/>
  <c r="W193" i="17"/>
  <c r="AB193" i="17"/>
  <c r="AA189" i="17"/>
  <c r="AB187" i="17"/>
  <c r="AA179" i="17"/>
  <c r="Z181" i="17"/>
  <c r="Z183" i="17"/>
  <c r="Z184" i="17"/>
  <c r="Y190" i="17"/>
  <c r="AB177" i="17"/>
  <c r="AB178" i="17"/>
  <c r="AH180" i="17"/>
  <c r="AH182" i="17"/>
  <c r="Z185" i="17"/>
  <c r="AH185" i="17"/>
  <c r="Z186" i="17"/>
  <c r="AH186" i="17"/>
  <c r="Z188" i="17"/>
  <c r="AH188" i="17"/>
  <c r="Y192" i="17"/>
  <c r="Y193" i="17"/>
  <c r="AB179" i="17"/>
  <c r="W180" i="17"/>
  <c r="AA181" i="17"/>
  <c r="AA183" i="17"/>
  <c r="AA184" i="17"/>
  <c r="Z190" i="17"/>
  <c r="AH190" i="17"/>
  <c r="Z180" i="17"/>
  <c r="AA185" i="17"/>
  <c r="AA186" i="17"/>
  <c r="AA188" i="17"/>
  <c r="Z192" i="17"/>
  <c r="AH192" i="17"/>
  <c r="Z193" i="17"/>
  <c r="AH193" i="17"/>
  <c r="W187" i="17"/>
  <c r="Z182" i="17"/>
  <c r="AB183" i="17"/>
  <c r="AB184" i="17"/>
  <c r="AA190" i="17"/>
  <c r="AA180" i="17"/>
  <c r="W189" i="17"/>
  <c r="AA191" i="17"/>
  <c r="Y189" i="17"/>
  <c r="AB186" i="17"/>
  <c r="Y191" i="17"/>
  <c r="W177" i="17"/>
  <c r="W179" i="17"/>
  <c r="AH183" i="17"/>
  <c r="AB191" i="17"/>
  <c r="AB188" i="17"/>
  <c r="W186" i="17"/>
  <c r="W188" i="17"/>
  <c r="W191" i="17"/>
  <c r="Z189" i="17"/>
  <c r="AA182" i="17"/>
  <c r="W185" i="17"/>
  <c r="W190" i="17"/>
  <c r="AH189" i="17"/>
  <c r="AB189" i="17"/>
  <c r="AB185" i="17"/>
  <c r="AH191" i="17"/>
  <c r="W178" i="17"/>
  <c r="W184" i="17"/>
  <c r="AB190" i="17"/>
  <c r="AA192" i="17"/>
  <c r="AA193" i="17"/>
  <c r="AH184" i="17"/>
  <c r="AA187" i="17"/>
  <c r="AH181" i="17"/>
  <c r="Z191" i="17"/>
  <c r="V90" i="15"/>
  <c r="Y90" i="15" s="1"/>
  <c r="V19" i="15"/>
  <c r="Y19" i="15" s="1"/>
  <c r="F39" i="15"/>
  <c r="I39" i="15" s="1"/>
  <c r="V5" i="15"/>
  <c r="Y5" i="15" s="1"/>
  <c r="U199" i="15"/>
  <c r="U184" i="15"/>
  <c r="E185" i="15"/>
  <c r="E191" i="15"/>
  <c r="O23" i="15"/>
  <c r="AE5" i="15"/>
  <c r="AE35" i="15"/>
  <c r="AE15" i="15"/>
  <c r="AE25" i="15"/>
  <c r="O118" i="15"/>
  <c r="V25" i="15"/>
  <c r="L165" i="15"/>
  <c r="F96" i="15"/>
  <c r="U208" i="15"/>
  <c r="U202" i="15"/>
  <c r="E197" i="15"/>
  <c r="E203" i="15"/>
  <c r="AE116" i="15"/>
  <c r="AE118" i="15"/>
  <c r="V104" i="15"/>
  <c r="F5" i="15"/>
  <c r="U181" i="15"/>
  <c r="U214" i="15"/>
  <c r="E209" i="15"/>
  <c r="E215" i="15"/>
  <c r="AE7" i="15"/>
  <c r="O37" i="15"/>
  <c r="AE31" i="15"/>
  <c r="AE29" i="15"/>
  <c r="AE90" i="15"/>
  <c r="AE112" i="15"/>
  <c r="AE92" i="15"/>
  <c r="V41" i="15"/>
  <c r="Y41" i="15" s="1"/>
  <c r="F112" i="15"/>
  <c r="I112" i="15" s="1"/>
  <c r="U187" i="15"/>
  <c r="U211" i="15"/>
  <c r="E188" i="15"/>
  <c r="E221" i="15"/>
  <c r="E173" i="15"/>
  <c r="AE37" i="15"/>
  <c r="AE17" i="15"/>
  <c r="AE13" i="15"/>
  <c r="AE100" i="15"/>
  <c r="V31" i="15"/>
  <c r="Y31" i="15" s="1"/>
  <c r="V94" i="15"/>
  <c r="Y94" i="15" s="1"/>
  <c r="AB80" i="15"/>
  <c r="V37" i="15"/>
  <c r="U217" i="15"/>
  <c r="U190" i="15"/>
  <c r="E179" i="15"/>
  <c r="E194" i="15"/>
  <c r="AE27" i="15"/>
  <c r="O39" i="15"/>
  <c r="AE108" i="15"/>
  <c r="AE9" i="15"/>
  <c r="AE102" i="15"/>
  <c r="F102" i="15"/>
  <c r="AA57" i="17"/>
  <c r="W60" i="17"/>
  <c r="Y56" i="17"/>
  <c r="W55" i="17"/>
  <c r="AH65" i="17"/>
  <c r="Y62" i="17"/>
  <c r="AA68" i="17"/>
  <c r="W62" i="17"/>
  <c r="AH67" i="17"/>
  <c r="AB60" i="17"/>
  <c r="Y64" i="17"/>
  <c r="AB65" i="17"/>
  <c r="AA64" i="17"/>
  <c r="F81" i="17"/>
  <c r="D87" i="17"/>
  <c r="D78" i="17"/>
  <c r="D79" i="17"/>
  <c r="G81" i="17"/>
  <c r="G84" i="17"/>
  <c r="G85" i="17"/>
  <c r="O85" i="17"/>
  <c r="O87" i="17"/>
  <c r="O90" i="17"/>
  <c r="O92" i="17"/>
  <c r="O86" i="17"/>
  <c r="H81" i="17"/>
  <c r="H82" i="17"/>
  <c r="G93" i="17"/>
  <c r="D86" i="17"/>
  <c r="AH69" i="17"/>
  <c r="G78" i="17"/>
  <c r="I86" i="17"/>
  <c r="H84" i="17"/>
  <c r="U178" i="15"/>
  <c r="U196" i="15"/>
  <c r="E200" i="15"/>
  <c r="AE39" i="15"/>
  <c r="AE19" i="15"/>
  <c r="AE33" i="15"/>
  <c r="AE96" i="15"/>
  <c r="O11" i="15"/>
  <c r="O102" i="15"/>
  <c r="J62" i="11"/>
  <c r="J24" i="11"/>
  <c r="J26" i="11"/>
  <c r="J23" i="11"/>
  <c r="J75" i="11"/>
  <c r="J71" i="11"/>
  <c r="J68" i="11"/>
  <c r="J72" i="11"/>
  <c r="J20" i="11"/>
  <c r="J17" i="11"/>
  <c r="J63" i="11"/>
  <c r="J11" i="11"/>
  <c r="J65" i="11"/>
  <c r="J14" i="11"/>
  <c r="J18" i="11"/>
  <c r="G91" i="17" l="1"/>
  <c r="Y70" i="17"/>
  <c r="AC70" i="17" s="1"/>
  <c r="AE70" i="17" s="1"/>
  <c r="AJ70" i="17" s="1"/>
  <c r="F106" i="15"/>
  <c r="I106" i="15" s="1"/>
  <c r="I179" i="15" s="1"/>
  <c r="G57" i="17"/>
  <c r="I60" i="17"/>
  <c r="H58" i="17"/>
  <c r="F65" i="17"/>
  <c r="D65" i="17"/>
  <c r="O60" i="17"/>
  <c r="I64" i="17"/>
  <c r="I41" i="17" s="1"/>
  <c r="F60" i="17"/>
  <c r="J60" i="17" s="1"/>
  <c r="L60" i="17" s="1"/>
  <c r="Q60" i="17" s="1"/>
  <c r="D55" i="17"/>
  <c r="D59" i="17"/>
  <c r="O67" i="17"/>
  <c r="I70" i="17"/>
  <c r="W88" i="17"/>
  <c r="W81" i="17"/>
  <c r="AB83" i="17"/>
  <c r="AC83" i="17" s="1"/>
  <c r="AH88" i="17"/>
  <c r="AH42" i="17" s="1"/>
  <c r="U38" i="46" s="1"/>
  <c r="V38" i="46" s="1"/>
  <c r="W91" i="17"/>
  <c r="W93" i="17"/>
  <c r="AA84" i="17"/>
  <c r="AA38" i="17" s="1"/>
  <c r="Z89" i="17"/>
  <c r="Y86" i="17"/>
  <c r="AA89" i="17"/>
  <c r="Z78" i="17"/>
  <c r="AC78" i="17" s="1"/>
  <c r="AE78" i="17" s="1"/>
  <c r="AJ78" i="17" s="1"/>
  <c r="AB89" i="17"/>
  <c r="AC89" i="17" s="1"/>
  <c r="AE89" i="17" s="1"/>
  <c r="AJ89" i="17" s="1"/>
  <c r="S39" i="46" s="1"/>
  <c r="Y84" i="17"/>
  <c r="I56" i="17"/>
  <c r="F63" i="17"/>
  <c r="D58" i="17"/>
  <c r="O61" i="17"/>
  <c r="F64" i="17"/>
  <c r="D61" i="17"/>
  <c r="D38" i="17" s="1"/>
  <c r="D62" i="17"/>
  <c r="D39" i="17" s="1"/>
  <c r="G70" i="17"/>
  <c r="O62" i="17"/>
  <c r="G71" i="17"/>
  <c r="O71" i="17"/>
  <c r="F58" i="17"/>
  <c r="W78" i="17"/>
  <c r="AB81" i="17"/>
  <c r="AC81" i="17" s="1"/>
  <c r="AE81" i="17" s="1"/>
  <c r="AJ81" i="17" s="1"/>
  <c r="W84" i="17"/>
  <c r="Y81" i="17"/>
  <c r="AB91" i="17"/>
  <c r="AB93" i="17"/>
  <c r="Y91" i="17"/>
  <c r="AH89" i="17"/>
  <c r="AH86" i="17"/>
  <c r="Z93" i="17"/>
  <c r="Z80" i="17"/>
  <c r="AC80" i="17" s="1"/>
  <c r="AE80" i="17" s="1"/>
  <c r="AJ80" i="17" s="1"/>
  <c r="AH90" i="17"/>
  <c r="AB92" i="17"/>
  <c r="F56" i="17"/>
  <c r="H57" i="17"/>
  <c r="O63" i="17"/>
  <c r="D64" i="17"/>
  <c r="H66" i="17"/>
  <c r="H43" i="17" s="1"/>
  <c r="I65" i="17"/>
  <c r="I42" i="17" s="1"/>
  <c r="I58" i="17"/>
  <c r="I68" i="17"/>
  <c r="O58" i="17"/>
  <c r="G63" i="17"/>
  <c r="H71" i="17"/>
  <c r="I61" i="17"/>
  <c r="O68" i="17"/>
  <c r="O45" i="17" s="1"/>
  <c r="AB78" i="17"/>
  <c r="Y78" i="17"/>
  <c r="AB84" i="17"/>
  <c r="AA88" i="17"/>
  <c r="AA78" i="17"/>
  <c r="W94" i="17"/>
  <c r="AH78" i="17"/>
  <c r="Y93" i="17"/>
  <c r="AC93" i="17" s="1"/>
  <c r="AE93" i="17" s="1"/>
  <c r="AJ93" i="17" s="1"/>
  <c r="Z91" i="17"/>
  <c r="AH93" i="17"/>
  <c r="AA83" i="17"/>
  <c r="Z90" i="17"/>
  <c r="AA92" i="17"/>
  <c r="D70" i="17"/>
  <c r="I57" i="17"/>
  <c r="I59" i="17"/>
  <c r="D66" i="17"/>
  <c r="O57" i="17"/>
  <c r="F55" i="17"/>
  <c r="O69" i="17"/>
  <c r="F68" i="17"/>
  <c r="I69" i="17"/>
  <c r="H67" i="17"/>
  <c r="G65" i="17"/>
  <c r="J65" i="17" s="1"/>
  <c r="L65" i="17" s="1"/>
  <c r="Q65" i="17" s="1"/>
  <c r="H70" i="17"/>
  <c r="J70" i="17" s="1"/>
  <c r="L70" i="17" s="1"/>
  <c r="Q70" i="17" s="1"/>
  <c r="F69" i="17"/>
  <c r="W79" i="17"/>
  <c r="Y79" i="17"/>
  <c r="W85" i="17"/>
  <c r="AH81" i="17"/>
  <c r="AA79" i="17"/>
  <c r="AB94" i="17"/>
  <c r="AC94" i="17" s="1"/>
  <c r="AE94" i="17" s="1"/>
  <c r="AJ94" i="17" s="1"/>
  <c r="S44" i="46" s="1"/>
  <c r="AH79" i="17"/>
  <c r="Y94" i="17"/>
  <c r="AH91" i="17"/>
  <c r="Z94" i="17"/>
  <c r="Z86" i="17"/>
  <c r="Y82" i="17"/>
  <c r="W89" i="17"/>
  <c r="D57" i="17"/>
  <c r="D34" i="17" s="1"/>
  <c r="D68" i="17"/>
  <c r="D45" i="17" s="1"/>
  <c r="O59" i="17"/>
  <c r="G55" i="17"/>
  <c r="H65" i="17"/>
  <c r="H60" i="17"/>
  <c r="G58" i="17"/>
  <c r="I66" i="17"/>
  <c r="H68" i="17"/>
  <c r="H61" i="17"/>
  <c r="H38" i="17" s="1"/>
  <c r="I63" i="17"/>
  <c r="H63" i="17"/>
  <c r="H62" i="17"/>
  <c r="AB79" i="17"/>
  <c r="Y80" i="17"/>
  <c r="AB85" i="17"/>
  <c r="Z82" i="17"/>
  <c r="AA80" i="17"/>
  <c r="AA34" i="17" s="1"/>
  <c r="W92" i="17"/>
  <c r="AH80" i="17"/>
  <c r="Y92" i="17"/>
  <c r="AA81" i="17"/>
  <c r="AH94" i="17"/>
  <c r="AA91" i="17"/>
  <c r="Z85" i="17"/>
  <c r="AA90" i="17"/>
  <c r="H56" i="17"/>
  <c r="D69" i="17"/>
  <c r="D67" i="17"/>
  <c r="F70" i="17"/>
  <c r="H59" i="17"/>
  <c r="G60" i="17"/>
  <c r="F61" i="17"/>
  <c r="F38" i="17" s="1"/>
  <c r="O65" i="17"/>
  <c r="O42" i="17" s="1"/>
  <c r="U16" i="46" s="1"/>
  <c r="V16" i="46" s="1"/>
  <c r="I62" i="17"/>
  <c r="F67" i="17"/>
  <c r="D60" i="17"/>
  <c r="F59" i="17"/>
  <c r="G66" i="17"/>
  <c r="Y88" i="17"/>
  <c r="W83" i="17"/>
  <c r="W37" i="17" s="1"/>
  <c r="Z88" i="17"/>
  <c r="AC88" i="17" s="1"/>
  <c r="AE88" i="17" s="1"/>
  <c r="AJ88" i="17" s="1"/>
  <c r="S38" i="46" s="1"/>
  <c r="AA86" i="17"/>
  <c r="Y89" i="17"/>
  <c r="Y83" i="17"/>
  <c r="AH87" i="17"/>
  <c r="AH85" i="17"/>
  <c r="AA87" i="17"/>
  <c r="Y90" i="17"/>
  <c r="AC90" i="17" s="1"/>
  <c r="AE90" i="17" s="1"/>
  <c r="AJ90" i="17" s="1"/>
  <c r="AB87" i="17"/>
  <c r="AC87" i="17" s="1"/>
  <c r="AE87" i="17" s="1"/>
  <c r="AJ87" i="17" s="1"/>
  <c r="W90" i="17"/>
  <c r="F88" i="15"/>
  <c r="I88" i="15" s="1"/>
  <c r="AE88" i="15"/>
  <c r="G89" i="17"/>
  <c r="J89" i="17" s="1"/>
  <c r="L89" i="17" s="1"/>
  <c r="Q89" i="17" s="1"/>
  <c r="D94" i="17"/>
  <c r="D48" i="17" s="1"/>
  <c r="AH64" i="17"/>
  <c r="AH41" i="17" s="1"/>
  <c r="AH162" i="17"/>
  <c r="G87" i="17"/>
  <c r="O83" i="17"/>
  <c r="O94" i="17"/>
  <c r="H91" i="17"/>
  <c r="F93" i="17"/>
  <c r="F47" i="17" s="1"/>
  <c r="I91" i="17"/>
  <c r="I45" i="17" s="1"/>
  <c r="D85" i="17"/>
  <c r="W58" i="17"/>
  <c r="Y68" i="17"/>
  <c r="I182" i="17"/>
  <c r="D178" i="17"/>
  <c r="F189" i="17"/>
  <c r="F180" i="17"/>
  <c r="F134" i="17" s="1"/>
  <c r="J134" i="17" s="1"/>
  <c r="Z162" i="17"/>
  <c r="Z139" i="17" s="1"/>
  <c r="W160" i="17"/>
  <c r="Y169" i="17"/>
  <c r="AH92" i="17"/>
  <c r="AA82" i="17"/>
  <c r="AB82" i="17"/>
  <c r="G68" i="17"/>
  <c r="F66" i="17"/>
  <c r="J66" i="17" s="1"/>
  <c r="I67" i="17"/>
  <c r="I44" i="17" s="1"/>
  <c r="AB57" i="17"/>
  <c r="Z57" i="17"/>
  <c r="AH57" i="17"/>
  <c r="AH34" i="17" s="1"/>
  <c r="Y61" i="17"/>
  <c r="AH71" i="17"/>
  <c r="AH48" i="17" s="1"/>
  <c r="AA55" i="17"/>
  <c r="AA32" i="17" s="1"/>
  <c r="AB61" i="17"/>
  <c r="AB38" i="17" s="1"/>
  <c r="AH59" i="17"/>
  <c r="AB64" i="17"/>
  <c r="AH58" i="17"/>
  <c r="AH35" i="17" s="1"/>
  <c r="Y59" i="17"/>
  <c r="I78" i="17"/>
  <c r="AA60" i="17"/>
  <c r="AA37" i="17" s="1"/>
  <c r="I88" i="17"/>
  <c r="J88" i="17" s="1"/>
  <c r="L88" i="17" s="1"/>
  <c r="Q88" i="17" s="1"/>
  <c r="I92" i="17"/>
  <c r="F85" i="17"/>
  <c r="F88" i="17"/>
  <c r="F78" i="17"/>
  <c r="H79" i="17"/>
  <c r="H88" i="17"/>
  <c r="O89" i="17"/>
  <c r="I83" i="17"/>
  <c r="W63" i="17"/>
  <c r="Z56" i="17"/>
  <c r="Z33" i="17" s="1"/>
  <c r="Y65" i="17"/>
  <c r="Z62" i="17"/>
  <c r="Z61" i="17"/>
  <c r="Z38" i="17" s="1"/>
  <c r="AB67" i="17"/>
  <c r="AB44" i="17" s="1"/>
  <c r="AA62" i="17"/>
  <c r="AA39" i="17" s="1"/>
  <c r="AB55" i="17"/>
  <c r="AB32" i="17" s="1"/>
  <c r="Z67" i="17"/>
  <c r="Z44" i="17" s="1"/>
  <c r="AH68" i="17"/>
  <c r="AH45" i="17" s="1"/>
  <c r="Z59" i="17"/>
  <c r="D84" i="17"/>
  <c r="I79" i="17"/>
  <c r="D89" i="17"/>
  <c r="D93" i="17"/>
  <c r="G80" i="17"/>
  <c r="G34" i="17" s="1"/>
  <c r="F89" i="17"/>
  <c r="O78" i="17"/>
  <c r="D80" i="17"/>
  <c r="H89" i="17"/>
  <c r="W59" i="17"/>
  <c r="AA56" i="17"/>
  <c r="AA33" i="17" s="1"/>
  <c r="Z68" i="17"/>
  <c r="AA58" i="17"/>
  <c r="AA35" i="17" s="1"/>
  <c r="AA65" i="17"/>
  <c r="AA42" i="17" s="1"/>
  <c r="AH60" i="17"/>
  <c r="AB63" i="17"/>
  <c r="AB40" i="17" s="1"/>
  <c r="W71" i="17"/>
  <c r="Z55" i="17"/>
  <c r="AA69" i="17"/>
  <c r="AA46" i="17" s="1"/>
  <c r="AH61" i="17"/>
  <c r="AH38" i="17" s="1"/>
  <c r="I84" i="17"/>
  <c r="I38" i="17" s="1"/>
  <c r="F80" i="17"/>
  <c r="I89" i="17"/>
  <c r="I93" i="17"/>
  <c r="O80" i="17"/>
  <c r="F90" i="17"/>
  <c r="F79" i="17"/>
  <c r="I80" i="17"/>
  <c r="I34" i="17" s="1"/>
  <c r="H90" i="17"/>
  <c r="H44" i="17" s="1"/>
  <c r="O91" i="17"/>
  <c r="Z60" i="17"/>
  <c r="Z37" i="17" s="1"/>
  <c r="W57" i="17"/>
  <c r="AH55" i="17"/>
  <c r="AH32" i="17" s="1"/>
  <c r="AB68" i="17"/>
  <c r="AB45" i="17" s="1"/>
  <c r="Y71" i="17"/>
  <c r="W70" i="17"/>
  <c r="W56" i="17"/>
  <c r="AA70" i="17"/>
  <c r="AA47" i="17" s="1"/>
  <c r="Y58" i="17"/>
  <c r="Y67" i="17"/>
  <c r="AH56" i="17"/>
  <c r="AA67" i="17"/>
  <c r="AA63" i="17"/>
  <c r="AA40" i="17" s="1"/>
  <c r="Z63" i="17"/>
  <c r="Z40" i="17" s="1"/>
  <c r="Z70" i="17"/>
  <c r="Z47" i="17" s="1"/>
  <c r="AH63" i="17"/>
  <c r="AH40" i="17" s="1"/>
  <c r="AH62" i="17"/>
  <c r="AH39" i="17" s="1"/>
  <c r="I85" i="17"/>
  <c r="F82" i="17"/>
  <c r="I90" i="17"/>
  <c r="I94" i="17"/>
  <c r="O81" i="17"/>
  <c r="O35" i="17" s="1"/>
  <c r="U9" i="46" s="1"/>
  <c r="V9" i="46" s="1"/>
  <c r="F92" i="17"/>
  <c r="F46" i="17" s="1"/>
  <c r="O84" i="17"/>
  <c r="I81" i="17"/>
  <c r="H92" i="17"/>
  <c r="O93" i="17"/>
  <c r="F83" i="17"/>
  <c r="G79" i="17"/>
  <c r="AB56" i="17"/>
  <c r="AB33" i="17" s="1"/>
  <c r="Y57" i="17"/>
  <c r="AC57" i="17" s="1"/>
  <c r="AE57" i="17" s="1"/>
  <c r="AJ57" i="17" s="1"/>
  <c r="AA59" i="17"/>
  <c r="AA36" i="17" s="1"/>
  <c r="AB69" i="17"/>
  <c r="AB46" i="17" s="1"/>
  <c r="AB71" i="17"/>
  <c r="AB66" i="17"/>
  <c r="AB59" i="17"/>
  <c r="AB36" i="17" s="1"/>
  <c r="Z69" i="17"/>
  <c r="AB58" i="17"/>
  <c r="AB35" i="17" s="1"/>
  <c r="AH70" i="17"/>
  <c r="AH47" i="17" s="1"/>
  <c r="Z66" i="17"/>
  <c r="Z43" i="17" s="1"/>
  <c r="Z64" i="17"/>
  <c r="Z41" i="17" s="1"/>
  <c r="Y55" i="17"/>
  <c r="D88" i="17"/>
  <c r="D92" i="17"/>
  <c r="F84" i="17"/>
  <c r="F87" i="17"/>
  <c r="F41" i="17" s="1"/>
  <c r="Z71" i="17"/>
  <c r="Z48" i="17" s="1"/>
  <c r="H78" i="17"/>
  <c r="H87" i="17"/>
  <c r="O88" i="17"/>
  <c r="D83" i="17"/>
  <c r="H80" i="17"/>
  <c r="H86" i="17"/>
  <c r="G94" i="17"/>
  <c r="AE114" i="15"/>
  <c r="AE164" i="15" s="1"/>
  <c r="H93" i="17"/>
  <c r="Y60" i="17"/>
  <c r="I180" i="17"/>
  <c r="I188" i="17"/>
  <c r="AB170" i="17"/>
  <c r="G92" i="17"/>
  <c r="H83" i="17"/>
  <c r="H37" i="17" s="1"/>
  <c r="G83" i="17"/>
  <c r="G37" i="17" s="1"/>
  <c r="F86" i="17"/>
  <c r="I82" i="17"/>
  <c r="F91" i="17"/>
  <c r="D91" i="17"/>
  <c r="Y63" i="17"/>
  <c r="W65" i="17"/>
  <c r="Z65" i="17"/>
  <c r="Y69" i="17"/>
  <c r="AC69" i="17" s="1"/>
  <c r="AE69" i="17" s="1"/>
  <c r="AJ69" i="17" s="1"/>
  <c r="D182" i="17"/>
  <c r="O177" i="17"/>
  <c r="F188" i="17"/>
  <c r="F179" i="17"/>
  <c r="AB163" i="17"/>
  <c r="Z168" i="17"/>
  <c r="AB156" i="17"/>
  <c r="AC156" i="17" s="1"/>
  <c r="AE156" i="17" s="1"/>
  <c r="AJ156" i="17" s="1"/>
  <c r="Z92" i="17"/>
  <c r="AC92" i="17" s="1"/>
  <c r="AE92" i="17" s="1"/>
  <c r="AJ92" i="17" s="1"/>
  <c r="AB88" i="17"/>
  <c r="AB42" i="17" s="1"/>
  <c r="W82" i="17"/>
  <c r="O64" i="17"/>
  <c r="I55" i="17"/>
  <c r="D63" i="17"/>
  <c r="AH44" i="17"/>
  <c r="O147" i="17"/>
  <c r="G139" i="17"/>
  <c r="AA41" i="17"/>
  <c r="Y66" i="17"/>
  <c r="G88" i="17"/>
  <c r="G90" i="17"/>
  <c r="AA66" i="17"/>
  <c r="AA43" i="17" s="1"/>
  <c r="H94" i="17"/>
  <c r="D82" i="17"/>
  <c r="D36" i="17" s="1"/>
  <c r="O82" i="17"/>
  <c r="O36" i="17" s="1"/>
  <c r="U10" i="46" s="1"/>
  <c r="V10" i="46" s="1"/>
  <c r="D90" i="17"/>
  <c r="AA71" i="17"/>
  <c r="AA48" i="17" s="1"/>
  <c r="AB62" i="17"/>
  <c r="AB39" i="17" s="1"/>
  <c r="W67" i="17"/>
  <c r="W61" i="17"/>
  <c r="O182" i="17"/>
  <c r="G191" i="17"/>
  <c r="O179" i="17"/>
  <c r="AA162" i="17"/>
  <c r="Y158" i="17"/>
  <c r="Z156" i="17"/>
  <c r="AH84" i="17"/>
  <c r="Y87" i="17"/>
  <c r="AB80" i="17"/>
  <c r="G61" i="17"/>
  <c r="O66" i="17"/>
  <c r="O43" i="17" s="1"/>
  <c r="O55" i="17"/>
  <c r="AH46" i="17"/>
  <c r="O131" i="17"/>
  <c r="AA45" i="17"/>
  <c r="AB168" i="17"/>
  <c r="AC168" i="17" s="1"/>
  <c r="AE168" i="17" s="1"/>
  <c r="AJ168" i="17" s="1"/>
  <c r="AA157" i="17"/>
  <c r="Z161" i="17"/>
  <c r="AA160" i="17"/>
  <c r="AA167" i="17"/>
  <c r="AB159" i="17"/>
  <c r="AA158" i="17"/>
  <c r="AA166" i="17"/>
  <c r="Y166" i="17"/>
  <c r="AC166" i="17" s="1"/>
  <c r="AE166" i="17" s="1"/>
  <c r="AJ166" i="17" s="1"/>
  <c r="W166" i="17"/>
  <c r="AA159" i="17"/>
  <c r="AH160" i="17"/>
  <c r="Z159" i="17"/>
  <c r="D186" i="17"/>
  <c r="D190" i="17"/>
  <c r="G177" i="17"/>
  <c r="G131" i="17" s="1"/>
  <c r="O180" i="17"/>
  <c r="O134" i="17" s="1"/>
  <c r="F191" i="17"/>
  <c r="AH164" i="17"/>
  <c r="G188" i="17"/>
  <c r="G192" i="17"/>
  <c r="I183" i="17"/>
  <c r="H184" i="17"/>
  <c r="H138" i="17" s="1"/>
  <c r="H192" i="17"/>
  <c r="J192" i="17" s="1"/>
  <c r="L192" i="17" s="1"/>
  <c r="Q192" i="17" s="1"/>
  <c r="H193" i="17"/>
  <c r="H147" i="17" s="1"/>
  <c r="F182" i="17"/>
  <c r="Y160" i="17"/>
  <c r="Z164" i="17"/>
  <c r="AB165" i="17"/>
  <c r="AH161" i="17"/>
  <c r="AB169" i="17"/>
  <c r="AH163" i="17"/>
  <c r="AH140" i="17" s="1"/>
  <c r="W162" i="17"/>
  <c r="AA170" i="17"/>
  <c r="Z170" i="17"/>
  <c r="AH156" i="17"/>
  <c r="AA154" i="17"/>
  <c r="W158" i="17"/>
  <c r="H177" i="17"/>
  <c r="I186" i="17"/>
  <c r="I140" i="17" s="1"/>
  <c r="I190" i="17"/>
  <c r="I144" i="17" s="1"/>
  <c r="F178" i="17"/>
  <c r="G181" i="17"/>
  <c r="F192" i="17"/>
  <c r="H179" i="17"/>
  <c r="O188" i="17"/>
  <c r="O192" i="17"/>
  <c r="D184" i="17"/>
  <c r="AH157" i="17"/>
  <c r="F185" i="17"/>
  <c r="D180" i="17"/>
  <c r="O185" i="17"/>
  <c r="AA168" i="17"/>
  <c r="W161" i="17"/>
  <c r="Y157" i="17"/>
  <c r="W156" i="17"/>
  <c r="Z169" i="17"/>
  <c r="Z146" i="17" s="1"/>
  <c r="AB158" i="17"/>
  <c r="Z166" i="17"/>
  <c r="Z157" i="17"/>
  <c r="W167" i="17"/>
  <c r="Y159" i="17"/>
  <c r="AB161" i="17"/>
  <c r="Z158" i="17"/>
  <c r="AC158" i="17" s="1"/>
  <c r="AE158" i="17" s="1"/>
  <c r="AJ158" i="17" s="1"/>
  <c r="H178" i="17"/>
  <c r="H132" i="17" s="1"/>
  <c r="D187" i="17"/>
  <c r="D191" i="17"/>
  <c r="F183" i="17"/>
  <c r="O181" i="17"/>
  <c r="F193" i="17"/>
  <c r="H180" i="17"/>
  <c r="G189" i="17"/>
  <c r="G143" i="17" s="1"/>
  <c r="G193" i="17"/>
  <c r="J193" i="17" s="1"/>
  <c r="I184" i="17"/>
  <c r="H186" i="17"/>
  <c r="H185" i="17"/>
  <c r="H182" i="17"/>
  <c r="AA169" i="17"/>
  <c r="Y168" i="17"/>
  <c r="Y167" i="17"/>
  <c r="AC167" i="17" s="1"/>
  <c r="AE167" i="17" s="1"/>
  <c r="AJ167" i="17" s="1"/>
  <c r="AH169" i="17"/>
  <c r="AH146" i="17" s="1"/>
  <c r="U43" i="46" s="1"/>
  <c r="V43" i="46" s="1"/>
  <c r="Y164" i="17"/>
  <c r="AB162" i="17"/>
  <c r="Y170" i="17"/>
  <c r="AB167" i="17"/>
  <c r="AH159" i="17"/>
  <c r="Y155" i="17"/>
  <c r="AA155" i="17"/>
  <c r="AA132" i="17" s="1"/>
  <c r="AB160" i="17"/>
  <c r="AB137" i="17" s="1"/>
  <c r="D177" i="17"/>
  <c r="I187" i="17"/>
  <c r="I141" i="17" s="1"/>
  <c r="I191" i="17"/>
  <c r="F184" i="17"/>
  <c r="F186" i="17"/>
  <c r="G178" i="17"/>
  <c r="G132" i="17" s="1"/>
  <c r="H181" i="17"/>
  <c r="H135" i="17" s="1"/>
  <c r="O189" i="17"/>
  <c r="O143" i="17" s="1"/>
  <c r="O193" i="17"/>
  <c r="I178" i="17"/>
  <c r="H187" i="17"/>
  <c r="G182" i="17"/>
  <c r="D185" i="17"/>
  <c r="Z167" i="17"/>
  <c r="AH165" i="17"/>
  <c r="Y165" i="17"/>
  <c r="AC165" i="17" s="1"/>
  <c r="AE165" i="17" s="1"/>
  <c r="AJ165" i="17" s="1"/>
  <c r="W157" i="17"/>
  <c r="W169" i="17"/>
  <c r="AH166" i="17"/>
  <c r="AH155" i="17"/>
  <c r="W155" i="17"/>
  <c r="AB155" i="17"/>
  <c r="Y163" i="17"/>
  <c r="Y140" i="17" s="1"/>
  <c r="AC140" i="17" s="1"/>
  <c r="AH170" i="17"/>
  <c r="AH147" i="17" s="1"/>
  <c r="Z165" i="17"/>
  <c r="I177" i="17"/>
  <c r="D188" i="17"/>
  <c r="D192" i="17"/>
  <c r="D146" i="17" s="1"/>
  <c r="O178" i="17"/>
  <c r="F187" i="17"/>
  <c r="G183" i="17"/>
  <c r="G137" i="17" s="1"/>
  <c r="G186" i="17"/>
  <c r="G140" i="17" s="1"/>
  <c r="G190" i="17"/>
  <c r="G144" i="17" s="1"/>
  <c r="F177" i="17"/>
  <c r="I179" i="17"/>
  <c r="H188" i="17"/>
  <c r="J188" i="17" s="1"/>
  <c r="L188" i="17" s="1"/>
  <c r="Q188" i="17" s="1"/>
  <c r="G185" i="17"/>
  <c r="D181" i="17"/>
  <c r="W165" i="17"/>
  <c r="W142" i="17" s="1"/>
  <c r="AA165" i="17"/>
  <c r="AH167" i="17"/>
  <c r="W164" i="17"/>
  <c r="Z160" i="17"/>
  <c r="AB164" i="17"/>
  <c r="Z163" i="17"/>
  <c r="Z154" i="17"/>
  <c r="Y154" i="17"/>
  <c r="Y131" i="17" s="1"/>
  <c r="AB154" i="17"/>
  <c r="AB131" i="17" s="1"/>
  <c r="AB166" i="17"/>
  <c r="W170" i="17"/>
  <c r="W154" i="17"/>
  <c r="F181" i="17"/>
  <c r="F135" i="17" s="1"/>
  <c r="J135" i="17" s="1"/>
  <c r="I189" i="17"/>
  <c r="I193" i="17"/>
  <c r="G180" i="17"/>
  <c r="G134" i="17" s="1"/>
  <c r="F190" i="17"/>
  <c r="J190" i="17" s="1"/>
  <c r="L190" i="17" s="1"/>
  <c r="Q190" i="17" s="1"/>
  <c r="O184" i="17"/>
  <c r="O138" i="17" s="1"/>
  <c r="O187" i="17"/>
  <c r="O191" i="17"/>
  <c r="O145" i="17" s="1"/>
  <c r="D183" i="17"/>
  <c r="H183" i="17"/>
  <c r="H137" i="17" s="1"/>
  <c r="H191" i="17"/>
  <c r="I185" i="17"/>
  <c r="I139" i="17" s="1"/>
  <c r="AH168" i="17"/>
  <c r="G86" i="17"/>
  <c r="F94" i="17"/>
  <c r="W68" i="17"/>
  <c r="O183" i="17"/>
  <c r="O137" i="17" s="1"/>
  <c r="Y156" i="17"/>
  <c r="O79" i="17"/>
  <c r="H85" i="17"/>
  <c r="H39" i="17" s="1"/>
  <c r="AH66" i="17"/>
  <c r="AH43" i="17" s="1"/>
  <c r="W64" i="17"/>
  <c r="D81" i="17"/>
  <c r="G82" i="17"/>
  <c r="I87" i="17"/>
  <c r="W66" i="17"/>
  <c r="Z58" i="17"/>
  <c r="Z35" i="17" s="1"/>
  <c r="W69" i="17"/>
  <c r="W46" i="17" s="1"/>
  <c r="AB70" i="17"/>
  <c r="AB47" i="17" s="1"/>
  <c r="D179" i="17"/>
  <c r="O190" i="17"/>
  <c r="G179" i="17"/>
  <c r="Y162" i="17"/>
  <c r="Y139" i="17" s="1"/>
  <c r="AA163" i="17"/>
  <c r="Y161" i="17"/>
  <c r="AH82" i="17"/>
  <c r="AH83" i="17"/>
  <c r="W80" i="17"/>
  <c r="G62" i="17"/>
  <c r="G69" i="17"/>
  <c r="D56" i="17"/>
  <c r="L56" i="17" s="1"/>
  <c r="Q56" i="17" s="1"/>
  <c r="I132" i="17"/>
  <c r="H133" i="17"/>
  <c r="I146" i="17"/>
  <c r="I134" i="17"/>
  <c r="O141" i="17"/>
  <c r="H190" i="17"/>
  <c r="G187" i="17"/>
  <c r="G141" i="17" s="1"/>
  <c r="D193" i="17"/>
  <c r="D147" i="17" s="1"/>
  <c r="Z155" i="17"/>
  <c r="AH158" i="17"/>
  <c r="AA156" i="17"/>
  <c r="Y85" i="17"/>
  <c r="Y39" i="17" s="1"/>
  <c r="AA85" i="17"/>
  <c r="O70" i="17"/>
  <c r="I71" i="17"/>
  <c r="I48" i="17" s="1"/>
  <c r="H69" i="17"/>
  <c r="J69" i="17" s="1"/>
  <c r="L69" i="17" s="1"/>
  <c r="Q69" i="17" s="1"/>
  <c r="R20" i="46" s="1"/>
  <c r="F57" i="17"/>
  <c r="G138" i="17"/>
  <c r="O135" i="17"/>
  <c r="I135" i="17"/>
  <c r="O139" i="17"/>
  <c r="G146" i="17"/>
  <c r="O133" i="17"/>
  <c r="I131" i="17"/>
  <c r="H131" i="17"/>
  <c r="O144" i="17"/>
  <c r="I143" i="17"/>
  <c r="H134" i="17"/>
  <c r="G145" i="17"/>
  <c r="O142" i="17"/>
  <c r="I138" i="17"/>
  <c r="H140" i="17"/>
  <c r="G133" i="17"/>
  <c r="O146" i="17"/>
  <c r="I142" i="17"/>
  <c r="G142" i="17"/>
  <c r="G136" i="17"/>
  <c r="I137" i="17"/>
  <c r="H141" i="17"/>
  <c r="H136" i="17"/>
  <c r="I147" i="17"/>
  <c r="G135" i="17"/>
  <c r="H144" i="17"/>
  <c r="H139" i="17"/>
  <c r="O132" i="17"/>
  <c r="H143" i="17"/>
  <c r="I133" i="17"/>
  <c r="H142" i="17"/>
  <c r="H145" i="17"/>
  <c r="I145" i="17"/>
  <c r="O140" i="17"/>
  <c r="H200" i="15"/>
  <c r="M200" i="15"/>
  <c r="J200" i="15"/>
  <c r="K200" i="15"/>
  <c r="F200" i="15"/>
  <c r="I200" i="15"/>
  <c r="D200" i="15"/>
  <c r="L200" i="15"/>
  <c r="N117" i="17"/>
  <c r="G200" i="15"/>
  <c r="J79" i="17"/>
  <c r="W48" i="17"/>
  <c r="W36" i="17"/>
  <c r="Y190" i="15"/>
  <c r="X190" i="15"/>
  <c r="W190" i="15"/>
  <c r="T190" i="15"/>
  <c r="U192" i="15"/>
  <c r="AB190" i="15"/>
  <c r="AC190" i="15"/>
  <c r="AA190" i="15"/>
  <c r="Z190" i="15"/>
  <c r="I215" i="15"/>
  <c r="K215" i="15"/>
  <c r="D215" i="15"/>
  <c r="H215" i="15"/>
  <c r="N122" i="17"/>
  <c r="F215" i="15"/>
  <c r="J215" i="15"/>
  <c r="L215" i="15"/>
  <c r="G215" i="15"/>
  <c r="M215" i="15"/>
  <c r="G203" i="15"/>
  <c r="J203" i="15"/>
  <c r="M203" i="15"/>
  <c r="D203" i="15"/>
  <c r="L203" i="15"/>
  <c r="H203" i="15"/>
  <c r="N118" i="17" s="1"/>
  <c r="K203" i="15"/>
  <c r="AA199" i="15"/>
  <c r="Z199" i="15"/>
  <c r="X199" i="15"/>
  <c r="U201" i="15"/>
  <c r="I37" i="46" s="1"/>
  <c r="AB199" i="15"/>
  <c r="V199" i="15"/>
  <c r="T199" i="15"/>
  <c r="W199" i="15"/>
  <c r="Y199" i="15"/>
  <c r="AC199" i="15"/>
  <c r="AG18" i="17"/>
  <c r="AC189" i="17"/>
  <c r="AC193" i="17"/>
  <c r="AC186" i="17"/>
  <c r="AE186" i="17" s="1"/>
  <c r="AJ186" i="17" s="1"/>
  <c r="AC181" i="17"/>
  <c r="AE181" i="17" s="1"/>
  <c r="AJ181" i="17" s="1"/>
  <c r="AC180" i="17"/>
  <c r="AC178" i="17"/>
  <c r="J167" i="17"/>
  <c r="D145" i="17"/>
  <c r="J155" i="17"/>
  <c r="F132" i="17"/>
  <c r="D135" i="17"/>
  <c r="D140" i="17"/>
  <c r="M176" i="15"/>
  <c r="G176" i="15"/>
  <c r="D176" i="15"/>
  <c r="J176" i="15"/>
  <c r="K176" i="15"/>
  <c r="L176" i="15"/>
  <c r="H176" i="15"/>
  <c r="N109" i="17" s="1"/>
  <c r="AE79" i="15"/>
  <c r="AB138" i="17"/>
  <c r="AC159" i="17"/>
  <c r="Y136" i="17"/>
  <c r="W144" i="17"/>
  <c r="Z134" i="17"/>
  <c r="Z143" i="17"/>
  <c r="AB135" i="17"/>
  <c r="W133" i="17"/>
  <c r="AC157" i="17"/>
  <c r="AE157" i="17" s="1"/>
  <c r="AJ157" i="17" s="1"/>
  <c r="Y134" i="17"/>
  <c r="W138" i="17"/>
  <c r="AA145" i="17"/>
  <c r="H48" i="17"/>
  <c r="G40" i="17"/>
  <c r="I35" i="17"/>
  <c r="D41" i="17"/>
  <c r="O40" i="17"/>
  <c r="H34" i="17"/>
  <c r="J56" i="17"/>
  <c r="F33" i="17"/>
  <c r="M205" i="15"/>
  <c r="F205" i="15"/>
  <c r="D205" i="15"/>
  <c r="N20" i="17"/>
  <c r="K205" i="15"/>
  <c r="L205" i="15"/>
  <c r="H205" i="15"/>
  <c r="J205" i="15"/>
  <c r="G205" i="15"/>
  <c r="E207" i="15"/>
  <c r="I17" i="46" s="1"/>
  <c r="I205" i="15"/>
  <c r="M214" i="15"/>
  <c r="M216" i="15" s="1"/>
  <c r="L214" i="15"/>
  <c r="L216" i="15" s="1"/>
  <c r="N23" i="17"/>
  <c r="K214" i="15"/>
  <c r="D214" i="15"/>
  <c r="D216" i="15" s="1"/>
  <c r="J214" i="15"/>
  <c r="J216" i="15" s="1"/>
  <c r="G214" i="15"/>
  <c r="E216" i="15"/>
  <c r="I20" i="46" s="1"/>
  <c r="H214" i="15"/>
  <c r="H216" i="15" s="1"/>
  <c r="F214" i="15"/>
  <c r="F216" i="15" s="1"/>
  <c r="I214" i="15"/>
  <c r="T176" i="15"/>
  <c r="AC176" i="15"/>
  <c r="V176" i="15"/>
  <c r="X176" i="15"/>
  <c r="AA176" i="15"/>
  <c r="Z176" i="15"/>
  <c r="AG109" i="17"/>
  <c r="AB176" i="15"/>
  <c r="Y176" i="15"/>
  <c r="W176" i="15"/>
  <c r="AA200" i="15"/>
  <c r="T200" i="15"/>
  <c r="Y200" i="15"/>
  <c r="AB200" i="15"/>
  <c r="Z200" i="15"/>
  <c r="X200" i="15"/>
  <c r="W200" i="15"/>
  <c r="AC200" i="15"/>
  <c r="AG117" i="17"/>
  <c r="V200" i="15"/>
  <c r="F17" i="15"/>
  <c r="O17" i="15"/>
  <c r="J86" i="17"/>
  <c r="L86" i="17" s="1"/>
  <c r="Q86" i="17" s="1"/>
  <c r="Y42" i="17"/>
  <c r="W40" i="17"/>
  <c r="Z217" i="15"/>
  <c r="W217" i="15"/>
  <c r="X217" i="15"/>
  <c r="AB217" i="15"/>
  <c r="T217" i="15"/>
  <c r="V217" i="15"/>
  <c r="U219" i="15"/>
  <c r="AC217" i="15"/>
  <c r="AG24" i="17"/>
  <c r="AA217" i="15"/>
  <c r="Y217" i="15"/>
  <c r="L209" i="15"/>
  <c r="G209" i="15"/>
  <c r="D209" i="15"/>
  <c r="J209" i="15"/>
  <c r="F209" i="15"/>
  <c r="K209" i="15"/>
  <c r="H209" i="15"/>
  <c r="N120" i="17" s="1"/>
  <c r="M209" i="15"/>
  <c r="D197" i="15"/>
  <c r="I197" i="15"/>
  <c r="L197" i="15"/>
  <c r="J197" i="15"/>
  <c r="N116" i="17"/>
  <c r="G197" i="15"/>
  <c r="K197" i="15"/>
  <c r="M197" i="15"/>
  <c r="F197" i="15"/>
  <c r="H197" i="15"/>
  <c r="AC192" i="17"/>
  <c r="AE192" i="17" s="1"/>
  <c r="AJ192" i="17" s="1"/>
  <c r="AC177" i="17"/>
  <c r="D134" i="17"/>
  <c r="L167" i="17"/>
  <c r="Q167" i="17" s="1"/>
  <c r="D144" i="17"/>
  <c r="D136" i="17"/>
  <c r="J160" i="17"/>
  <c r="F137" i="17"/>
  <c r="AB205" i="15"/>
  <c r="T205" i="15"/>
  <c r="X205" i="15"/>
  <c r="Y205" i="15"/>
  <c r="V205" i="15"/>
  <c r="AG20" i="17"/>
  <c r="W205" i="15"/>
  <c r="U207" i="15"/>
  <c r="I39" i="46" s="1"/>
  <c r="Z205" i="15"/>
  <c r="AA205" i="15"/>
  <c r="AC205" i="15"/>
  <c r="J185" i="17"/>
  <c r="L185" i="17" s="1"/>
  <c r="Q185" i="17" s="1"/>
  <c r="AH134" i="17"/>
  <c r="W135" i="17"/>
  <c r="AA131" i="17"/>
  <c r="AH133" i="17"/>
  <c r="Z147" i="17"/>
  <c r="AA147" i="17"/>
  <c r="W139" i="17"/>
  <c r="AB146" i="17"/>
  <c r="AH138" i="17"/>
  <c r="AB142" i="17"/>
  <c r="Z141" i="17"/>
  <c r="Y137" i="17"/>
  <c r="AC91" i="17"/>
  <c r="AE91" i="17" s="1"/>
  <c r="AJ91" i="17" s="1"/>
  <c r="J58" i="17"/>
  <c r="L58" i="17" s="1"/>
  <c r="Q58" i="17" s="1"/>
  <c r="F35" i="17"/>
  <c r="O48" i="17"/>
  <c r="G48" i="17"/>
  <c r="O39" i="17"/>
  <c r="G47" i="17"/>
  <c r="J64" i="17"/>
  <c r="L64" i="17" s="1"/>
  <c r="Q64" i="17" s="1"/>
  <c r="O38" i="17"/>
  <c r="D35" i="17"/>
  <c r="J63" i="17"/>
  <c r="L63" i="17" s="1"/>
  <c r="Q63" i="17" s="1"/>
  <c r="F40" i="17"/>
  <c r="I33" i="17"/>
  <c r="V9" i="15"/>
  <c r="I187" i="15"/>
  <c r="D187" i="15"/>
  <c r="N14" i="17"/>
  <c r="M187" i="15"/>
  <c r="K187" i="15"/>
  <c r="J187" i="15"/>
  <c r="L187" i="15"/>
  <c r="G187" i="15"/>
  <c r="F187" i="15"/>
  <c r="H187" i="15"/>
  <c r="E189" i="15"/>
  <c r="I11" i="46" s="1"/>
  <c r="G211" i="15"/>
  <c r="K211" i="15"/>
  <c r="I211" i="15"/>
  <c r="L211" i="15"/>
  <c r="J211" i="15"/>
  <c r="M211" i="15"/>
  <c r="F211" i="15"/>
  <c r="D211" i="15"/>
  <c r="N22" i="17"/>
  <c r="H211" i="15"/>
  <c r="E213" i="15"/>
  <c r="I19" i="46" s="1"/>
  <c r="X221" i="15"/>
  <c r="V221" i="15"/>
  <c r="AA221" i="15"/>
  <c r="AC221" i="15"/>
  <c r="AG124" i="17"/>
  <c r="Z221" i="15"/>
  <c r="T221" i="15"/>
  <c r="AB221" i="15"/>
  <c r="Y221" i="15"/>
  <c r="W221" i="15"/>
  <c r="AC215" i="15"/>
  <c r="W215" i="15"/>
  <c r="Y215" i="15"/>
  <c r="T215" i="15"/>
  <c r="AB215" i="15"/>
  <c r="Z215" i="15"/>
  <c r="V215" i="15"/>
  <c r="AG122" i="17"/>
  <c r="X215" i="15"/>
  <c r="AA215" i="15"/>
  <c r="F94" i="15"/>
  <c r="F176" i="15" s="1"/>
  <c r="O94" i="15"/>
  <c r="O164" i="15" s="1"/>
  <c r="AG11" i="17"/>
  <c r="AC178" i="15"/>
  <c r="V178" i="15"/>
  <c r="W178" i="15"/>
  <c r="Y178" i="15"/>
  <c r="X178" i="15"/>
  <c r="AB178" i="15"/>
  <c r="Z178" i="15"/>
  <c r="U180" i="15"/>
  <c r="I30" i="46" s="1"/>
  <c r="T178" i="15"/>
  <c r="AA178" i="15"/>
  <c r="J78" i="17"/>
  <c r="AC59" i="17"/>
  <c r="AE59" i="17" s="1"/>
  <c r="AJ59" i="17" s="1"/>
  <c r="Y36" i="17"/>
  <c r="AC61" i="17"/>
  <c r="AE61" i="17" s="1"/>
  <c r="AJ61" i="17" s="1"/>
  <c r="Y38" i="17"/>
  <c r="H173" i="15"/>
  <c r="G173" i="15"/>
  <c r="I173" i="15"/>
  <c r="J173" i="15"/>
  <c r="L173" i="15"/>
  <c r="N108" i="17"/>
  <c r="K173" i="15"/>
  <c r="D173" i="15"/>
  <c r="M173" i="15"/>
  <c r="F173" i="15"/>
  <c r="U216" i="15"/>
  <c r="I42" i="46" s="1"/>
  <c r="X214" i="15"/>
  <c r="AB214" i="15"/>
  <c r="Z214" i="15"/>
  <c r="Z216" i="15" s="1"/>
  <c r="W214" i="15"/>
  <c r="W216" i="15" s="1"/>
  <c r="Y214" i="15"/>
  <c r="AA214" i="15"/>
  <c r="AG23" i="17"/>
  <c r="AC214" i="15"/>
  <c r="AC216" i="15" s="1"/>
  <c r="T214" i="15"/>
  <c r="V214" i="15"/>
  <c r="V216" i="15" s="1"/>
  <c r="U204" i="15"/>
  <c r="Z202" i="15"/>
  <c r="Y202" i="15"/>
  <c r="T202" i="15"/>
  <c r="W202" i="15"/>
  <c r="X202" i="15"/>
  <c r="AC202" i="15"/>
  <c r="AA202" i="15"/>
  <c r="AB202" i="15"/>
  <c r="AE189" i="17"/>
  <c r="AJ189" i="17" s="1"/>
  <c r="AC187" i="17"/>
  <c r="AE187" i="17" s="1"/>
  <c r="AJ187" i="17" s="1"/>
  <c r="J162" i="17"/>
  <c r="F139" i="17"/>
  <c r="J163" i="17"/>
  <c r="L163" i="17" s="1"/>
  <c r="Q163" i="17" s="1"/>
  <c r="F140" i="17"/>
  <c r="D133" i="17"/>
  <c r="J157" i="17"/>
  <c r="L157" i="17" s="1"/>
  <c r="Q157" i="17" s="1"/>
  <c r="J170" i="17"/>
  <c r="F147" i="17"/>
  <c r="L160" i="17"/>
  <c r="Q160" i="17" s="1"/>
  <c r="J165" i="17"/>
  <c r="F142" i="17"/>
  <c r="J142" i="17" s="1"/>
  <c r="J164" i="17"/>
  <c r="L164" i="17" s="1"/>
  <c r="Q164" i="17" s="1"/>
  <c r="F141" i="17"/>
  <c r="AC220" i="15"/>
  <c r="W220" i="15"/>
  <c r="W222" i="15" s="1"/>
  <c r="AB220" i="15"/>
  <c r="AB222" i="15" s="1"/>
  <c r="V220" i="15"/>
  <c r="V222" i="15" s="1"/>
  <c r="T220" i="15"/>
  <c r="AA220" i="15"/>
  <c r="AA222" i="15" s="1"/>
  <c r="U222" i="15"/>
  <c r="I44" i="46" s="1"/>
  <c r="X220" i="15"/>
  <c r="X222" i="15" s="1"/>
  <c r="AG25" i="17"/>
  <c r="Z220" i="15"/>
  <c r="Y220" i="15"/>
  <c r="Y222" i="15" s="1"/>
  <c r="J182" i="17"/>
  <c r="AH141" i="17"/>
  <c r="J191" i="17"/>
  <c r="L191" i="17" s="1"/>
  <c r="Q191" i="17" s="1"/>
  <c r="Z136" i="17"/>
  <c r="AH137" i="17"/>
  <c r="AA136" i="17"/>
  <c r="W143" i="17"/>
  <c r="AA143" i="17"/>
  <c r="AA135" i="17"/>
  <c r="AB136" i="17"/>
  <c r="AA144" i="17"/>
  <c r="AA137" i="17"/>
  <c r="Z138" i="17"/>
  <c r="AA134" i="17"/>
  <c r="AC86" i="17"/>
  <c r="I47" i="17"/>
  <c r="O44" i="17"/>
  <c r="D32" i="17"/>
  <c r="F37" i="17"/>
  <c r="O37" i="17"/>
  <c r="D42" i="17"/>
  <c r="F42" i="17"/>
  <c r="H35" i="17"/>
  <c r="I37" i="17"/>
  <c r="K184" i="15"/>
  <c r="I184" i="15"/>
  <c r="M184" i="15"/>
  <c r="H184" i="15"/>
  <c r="E186" i="15"/>
  <c r="L184" i="15"/>
  <c r="J184" i="15"/>
  <c r="D184" i="15"/>
  <c r="G184" i="15"/>
  <c r="F184" i="15"/>
  <c r="F196" i="15"/>
  <c r="F198" i="15" s="1"/>
  <c r="M196" i="15"/>
  <c r="J196" i="15"/>
  <c r="J198" i="15" s="1"/>
  <c r="G196" i="15"/>
  <c r="G198" i="15" s="1"/>
  <c r="H196" i="15"/>
  <c r="H198" i="15" s="1"/>
  <c r="N17" i="17"/>
  <c r="L196" i="15"/>
  <c r="I196" i="15"/>
  <c r="I198" i="15" s="1"/>
  <c r="K196" i="15"/>
  <c r="D196" i="15"/>
  <c r="D198" i="15" s="1"/>
  <c r="E198" i="15"/>
  <c r="I14" i="46" s="1"/>
  <c r="T173" i="15"/>
  <c r="Z173" i="15"/>
  <c r="W173" i="15"/>
  <c r="X173" i="15"/>
  <c r="AG108" i="17" s="1"/>
  <c r="Y173" i="15"/>
  <c r="AB173" i="15"/>
  <c r="AA173" i="15"/>
  <c r="AC173" i="15"/>
  <c r="AG110" i="17"/>
  <c r="V179" i="15"/>
  <c r="W179" i="15"/>
  <c r="AB179" i="15"/>
  <c r="AA179" i="15"/>
  <c r="Y179" i="15"/>
  <c r="X179" i="15"/>
  <c r="AC179" i="15"/>
  <c r="T179" i="15"/>
  <c r="Z179" i="15"/>
  <c r="F3" i="15"/>
  <c r="E79" i="15"/>
  <c r="O3" i="15"/>
  <c r="W196" i="15"/>
  <c r="T196" i="15"/>
  <c r="AA196" i="15"/>
  <c r="AC196" i="15"/>
  <c r="X196" i="15"/>
  <c r="U198" i="15"/>
  <c r="AB196" i="15"/>
  <c r="Z196" i="15"/>
  <c r="Y196" i="15"/>
  <c r="AC55" i="17"/>
  <c r="Y32" i="17"/>
  <c r="D221" i="15"/>
  <c r="N124" i="17"/>
  <c r="F221" i="15"/>
  <c r="G221" i="15"/>
  <c r="I221" i="15"/>
  <c r="K221" i="15"/>
  <c r="H221" i="15"/>
  <c r="J221" i="15"/>
  <c r="L221" i="15"/>
  <c r="M221" i="15"/>
  <c r="Z181" i="15"/>
  <c r="AB181" i="15"/>
  <c r="U183" i="15"/>
  <c r="I31" i="46" s="1"/>
  <c r="Y181" i="15"/>
  <c r="W181" i="15"/>
  <c r="V181" i="15"/>
  <c r="AC181" i="15"/>
  <c r="AG12" i="17"/>
  <c r="X181" i="15"/>
  <c r="AA181" i="15"/>
  <c r="T181" i="15"/>
  <c r="Y208" i="15"/>
  <c r="X208" i="15"/>
  <c r="AC208" i="15"/>
  <c r="AB208" i="15"/>
  <c r="AG21" i="17"/>
  <c r="W208" i="15"/>
  <c r="U210" i="15"/>
  <c r="I40" i="46" s="1"/>
  <c r="AA208" i="15"/>
  <c r="Z208" i="15"/>
  <c r="V208" i="15"/>
  <c r="T208" i="15"/>
  <c r="L162" i="17"/>
  <c r="Q162" i="17" s="1"/>
  <c r="D139" i="17"/>
  <c r="J161" i="17"/>
  <c r="L161" i="17" s="1"/>
  <c r="Q161" i="17" s="1"/>
  <c r="F138" i="17"/>
  <c r="D141" i="17"/>
  <c r="I136" i="17"/>
  <c r="J166" i="17"/>
  <c r="L166" i="17" s="1"/>
  <c r="Q166" i="17" s="1"/>
  <c r="F143" i="17"/>
  <c r="H218" i="15"/>
  <c r="G218" i="15"/>
  <c r="N123" i="17"/>
  <c r="D218" i="15"/>
  <c r="F218" i="15"/>
  <c r="L218" i="15"/>
  <c r="M218" i="15"/>
  <c r="K218" i="15"/>
  <c r="J218" i="15"/>
  <c r="AH145" i="17"/>
  <c r="W131" i="17"/>
  <c r="W147" i="17"/>
  <c r="AB143" i="17"/>
  <c r="AC154" i="17"/>
  <c r="AE154" i="17" s="1"/>
  <c r="AJ154" i="17" s="1"/>
  <c r="Z131" i="17"/>
  <c r="Z140" i="17"/>
  <c r="AB141" i="17"/>
  <c r="Z137" i="17"/>
  <c r="W141" i="17"/>
  <c r="AH144" i="17"/>
  <c r="U41" i="46" s="1"/>
  <c r="V41" i="46" s="1"/>
  <c r="AA142" i="17"/>
  <c r="G43" i="17"/>
  <c r="J59" i="17"/>
  <c r="L59" i="17" s="1"/>
  <c r="Q59" i="17" s="1"/>
  <c r="F36" i="17"/>
  <c r="D37" i="17"/>
  <c r="F44" i="17"/>
  <c r="I39" i="17"/>
  <c r="J61" i="17"/>
  <c r="L61" i="17" s="1"/>
  <c r="Q61" i="17" s="1"/>
  <c r="R12" i="46" s="1"/>
  <c r="H36" i="17"/>
  <c r="D44" i="17"/>
  <c r="D46" i="17"/>
  <c r="H33" i="17"/>
  <c r="X172" i="15"/>
  <c r="X174" i="15" s="1"/>
  <c r="K28" i="46" s="1"/>
  <c r="W172" i="15"/>
  <c r="Y172" i="15"/>
  <c r="Y174" i="15" s="1"/>
  <c r="P28" i="46" s="1"/>
  <c r="AB172" i="15"/>
  <c r="T172" i="15"/>
  <c r="Z172" i="15"/>
  <c r="U174" i="15"/>
  <c r="AG9" i="17"/>
  <c r="AC172" i="15"/>
  <c r="AC174" i="15" s="1"/>
  <c r="AA172" i="15"/>
  <c r="AA174" i="15" s="1"/>
  <c r="F90" i="15"/>
  <c r="O90" i="15"/>
  <c r="V15" i="15"/>
  <c r="D193" i="15"/>
  <c r="G193" i="15"/>
  <c r="K193" i="15"/>
  <c r="N16" i="17"/>
  <c r="M193" i="15"/>
  <c r="E195" i="15"/>
  <c r="I13" i="46" s="1"/>
  <c r="J193" i="15"/>
  <c r="L193" i="15"/>
  <c r="H193" i="15"/>
  <c r="I193" i="15"/>
  <c r="F193" i="15"/>
  <c r="M217" i="15"/>
  <c r="M219" i="15" s="1"/>
  <c r="H217" i="15"/>
  <c r="H219" i="15" s="1"/>
  <c r="K21" i="46" s="1"/>
  <c r="G217" i="15"/>
  <c r="L217" i="15"/>
  <c r="I217" i="15"/>
  <c r="F217" i="15"/>
  <c r="K217" i="15"/>
  <c r="K219" i="15" s="1"/>
  <c r="D217" i="15"/>
  <c r="D219" i="15" s="1"/>
  <c r="H21" i="46" s="1"/>
  <c r="J217" i="15"/>
  <c r="E219" i="15"/>
  <c r="X209" i="15"/>
  <c r="AB209" i="15"/>
  <c r="AA209" i="15"/>
  <c r="Z209" i="15"/>
  <c r="T209" i="15"/>
  <c r="Y209" i="15"/>
  <c r="AC209" i="15"/>
  <c r="AG120" i="17"/>
  <c r="V209" i="15"/>
  <c r="W209" i="15"/>
  <c r="Z185" i="15"/>
  <c r="W185" i="15"/>
  <c r="AA185" i="15"/>
  <c r="X185" i="15"/>
  <c r="AG112" i="17" s="1"/>
  <c r="AB185" i="15"/>
  <c r="AC185" i="15"/>
  <c r="Y185" i="15"/>
  <c r="T185" i="15"/>
  <c r="L79" i="17"/>
  <c r="Q79" i="17" s="1"/>
  <c r="AC63" i="17"/>
  <c r="AE63" i="17" s="1"/>
  <c r="AJ63" i="17" s="1"/>
  <c r="Y40" i="17"/>
  <c r="AC40" i="17" s="1"/>
  <c r="AC66" i="17"/>
  <c r="Y43" i="17"/>
  <c r="W39" i="17"/>
  <c r="Y45" i="17"/>
  <c r="W32" i="17"/>
  <c r="AE55" i="17"/>
  <c r="AJ55" i="17" s="1"/>
  <c r="Y33" i="17"/>
  <c r="H188" i="15"/>
  <c r="G188" i="15"/>
  <c r="L188" i="15"/>
  <c r="M188" i="15"/>
  <c r="J188" i="15"/>
  <c r="F188" i="15"/>
  <c r="D188" i="15"/>
  <c r="I188" i="15"/>
  <c r="N113" i="17"/>
  <c r="K188" i="15"/>
  <c r="AC190" i="17"/>
  <c r="AE190" i="17" s="1"/>
  <c r="AJ190" i="17" s="1"/>
  <c r="AE193" i="17"/>
  <c r="AJ193" i="17" s="1"/>
  <c r="AC185" i="17"/>
  <c r="AE185" i="17" s="1"/>
  <c r="AJ185" i="17" s="1"/>
  <c r="D143" i="17"/>
  <c r="L165" i="17"/>
  <c r="Q165" i="17" s="1"/>
  <c r="D142" i="17"/>
  <c r="J168" i="17"/>
  <c r="L168" i="17" s="1"/>
  <c r="Q168" i="17" s="1"/>
  <c r="F145" i="17"/>
  <c r="L170" i="17"/>
  <c r="Q170" i="17" s="1"/>
  <c r="D212" i="15"/>
  <c r="G212" i="15"/>
  <c r="I212" i="15"/>
  <c r="J212" i="15"/>
  <c r="M212" i="15"/>
  <c r="N121" i="17"/>
  <c r="H212" i="15"/>
  <c r="K212" i="15"/>
  <c r="L212" i="15"/>
  <c r="F212" i="15"/>
  <c r="J180" i="17"/>
  <c r="L180" i="17" s="1"/>
  <c r="Q180" i="17" s="1"/>
  <c r="AA139" i="17"/>
  <c r="Z132" i="17"/>
  <c r="AH131" i="17"/>
  <c r="Y135" i="17"/>
  <c r="AH135" i="17"/>
  <c r="AE159" i="17"/>
  <c r="AJ159" i="17" s="1"/>
  <c r="W136" i="17"/>
  <c r="W137" i="17"/>
  <c r="Z133" i="17"/>
  <c r="AA133" i="17"/>
  <c r="AA138" i="17"/>
  <c r="Y146" i="17"/>
  <c r="W145" i="17"/>
  <c r="O47" i="17"/>
  <c r="G36" i="17"/>
  <c r="G45" i="17"/>
  <c r="G38" i="17"/>
  <c r="J62" i="17"/>
  <c r="F39" i="17"/>
  <c r="G44" i="17"/>
  <c r="O32" i="17"/>
  <c r="J57" i="17"/>
  <c r="F34" i="17"/>
  <c r="V21" i="15"/>
  <c r="M178" i="15"/>
  <c r="J178" i="15"/>
  <c r="G178" i="15"/>
  <c r="F178" i="15"/>
  <c r="K178" i="15"/>
  <c r="I178" i="15"/>
  <c r="L178" i="15"/>
  <c r="E180" i="15"/>
  <c r="D178" i="15"/>
  <c r="H178" i="15"/>
  <c r="K208" i="15"/>
  <c r="K210" i="15" s="1"/>
  <c r="J208" i="15"/>
  <c r="H208" i="15"/>
  <c r="D208" i="15"/>
  <c r="D210" i="15" s="1"/>
  <c r="H18" i="46" s="1"/>
  <c r="G208" i="15"/>
  <c r="G210" i="15" s="1"/>
  <c r="J18" i="46" s="1"/>
  <c r="L208" i="15"/>
  <c r="L210" i="15" s="1"/>
  <c r="M18" i="46" s="1"/>
  <c r="M208" i="15"/>
  <c r="M210" i="15" s="1"/>
  <c r="F208" i="15"/>
  <c r="F210" i="15" s="1"/>
  <c r="I208" i="15"/>
  <c r="E210" i="15"/>
  <c r="I18" i="46" s="1"/>
  <c r="M220" i="15"/>
  <c r="M222" i="15" s="1"/>
  <c r="D220" i="15"/>
  <c r="D222" i="15" s="1"/>
  <c r="K220" i="15"/>
  <c r="K222" i="15" s="1"/>
  <c r="N25" i="17"/>
  <c r="F220" i="15"/>
  <c r="G220" i="15"/>
  <c r="J220" i="15"/>
  <c r="J222" i="15" s="1"/>
  <c r="L220" i="15"/>
  <c r="L222" i="15" s="1"/>
  <c r="H220" i="15"/>
  <c r="H222" i="15" s="1"/>
  <c r="I220" i="15"/>
  <c r="I222" i="15" s="1"/>
  <c r="E222" i="15"/>
  <c r="I22" i="46" s="1"/>
  <c r="W194" i="15"/>
  <c r="Z194" i="15"/>
  <c r="AC194" i="15"/>
  <c r="AA194" i="15"/>
  <c r="T194" i="15"/>
  <c r="X194" i="15"/>
  <c r="AG115" i="17" s="1"/>
  <c r="AB194" i="15"/>
  <c r="Y194" i="15"/>
  <c r="AC203" i="15"/>
  <c r="X203" i="15"/>
  <c r="AG118" i="17" s="1"/>
  <c r="AA203" i="15"/>
  <c r="Y203" i="15"/>
  <c r="AB203" i="15"/>
  <c r="T203" i="15"/>
  <c r="Z203" i="15"/>
  <c r="W203" i="15"/>
  <c r="V108" i="15"/>
  <c r="W41" i="17"/>
  <c r="J93" i="17"/>
  <c r="L93" i="17" s="1"/>
  <c r="Q93" i="17" s="1"/>
  <c r="L78" i="17"/>
  <c r="Q78" i="17" s="1"/>
  <c r="Y47" i="17"/>
  <c r="AC64" i="17"/>
  <c r="AE64" i="17" s="1"/>
  <c r="AJ64" i="17" s="1"/>
  <c r="Y41" i="17"/>
  <c r="W35" i="17"/>
  <c r="AC62" i="17"/>
  <c r="AE62" i="17" s="1"/>
  <c r="AJ62" i="17" s="1"/>
  <c r="R35" i="46" s="1"/>
  <c r="W45" i="17"/>
  <c r="W211" i="15"/>
  <c r="U213" i="15"/>
  <c r="AA211" i="15"/>
  <c r="Y211" i="15"/>
  <c r="Z211" i="15"/>
  <c r="AB211" i="15"/>
  <c r="AC211" i="15"/>
  <c r="X211" i="15"/>
  <c r="T211" i="15"/>
  <c r="H191" i="15"/>
  <c r="K191" i="15"/>
  <c r="J191" i="15"/>
  <c r="G191" i="15"/>
  <c r="L191" i="15"/>
  <c r="M191" i="15"/>
  <c r="F191" i="15"/>
  <c r="N114" i="17"/>
  <c r="I191" i="15"/>
  <c r="D191" i="15"/>
  <c r="AE178" i="17"/>
  <c r="AJ178" i="17" s="1"/>
  <c r="AE177" i="17"/>
  <c r="AJ177" i="17" s="1"/>
  <c r="AC184" i="17"/>
  <c r="AE184" i="17" s="1"/>
  <c r="AJ184" i="17" s="1"/>
  <c r="J156" i="17"/>
  <c r="L156" i="17" s="1"/>
  <c r="Q156" i="17" s="1"/>
  <c r="F133" i="17"/>
  <c r="J159" i="17"/>
  <c r="L159" i="17" s="1"/>
  <c r="Q159" i="17" s="1"/>
  <c r="F136" i="17"/>
  <c r="J136" i="17" s="1"/>
  <c r="U177" i="15"/>
  <c r="I29" i="46" s="1"/>
  <c r="W175" i="15"/>
  <c r="W177" i="15" s="1"/>
  <c r="Y175" i="15"/>
  <c r="Y177" i="15" s="1"/>
  <c r="AG10" i="17"/>
  <c r="T175" i="15"/>
  <c r="T177" i="15" s="1"/>
  <c r="V175" i="15"/>
  <c r="AB175" i="15"/>
  <c r="AB177" i="15" s="1"/>
  <c r="Z175" i="15"/>
  <c r="Z177" i="15" s="1"/>
  <c r="AA175" i="15"/>
  <c r="AA177" i="15" s="1"/>
  <c r="X175" i="15"/>
  <c r="X177" i="15" s="1"/>
  <c r="AC175" i="15"/>
  <c r="AC177" i="15" s="1"/>
  <c r="L182" i="17"/>
  <c r="Q182" i="17" s="1"/>
  <c r="J179" i="17"/>
  <c r="L179" i="17" s="1"/>
  <c r="Q179" i="17" s="1"/>
  <c r="AC162" i="17"/>
  <c r="AE162" i="17" s="1"/>
  <c r="AJ162" i="17" s="1"/>
  <c r="AA141" i="17"/>
  <c r="AH139" i="17"/>
  <c r="AB140" i="17"/>
  <c r="AA140" i="17"/>
  <c r="W140" i="17"/>
  <c r="AB147" i="17"/>
  <c r="Z145" i="17"/>
  <c r="AC161" i="17"/>
  <c r="AE161" i="17" s="1"/>
  <c r="AJ161" i="17" s="1"/>
  <c r="Y138" i="17"/>
  <c r="AB134" i="17"/>
  <c r="Y133" i="17"/>
  <c r="AE86" i="17"/>
  <c r="AJ86" i="17" s="1"/>
  <c r="H32" i="17"/>
  <c r="O33" i="17"/>
  <c r="O41" i="17"/>
  <c r="G39" i="17"/>
  <c r="F48" i="17"/>
  <c r="G41" i="17"/>
  <c r="I32" i="17"/>
  <c r="G46" i="17"/>
  <c r="H41" i="17"/>
  <c r="D40" i="17"/>
  <c r="G33" i="17"/>
  <c r="U79" i="15"/>
  <c r="H181" i="15"/>
  <c r="M181" i="15"/>
  <c r="F181" i="15"/>
  <c r="L181" i="15"/>
  <c r="G181" i="15"/>
  <c r="K181" i="15"/>
  <c r="D181" i="15"/>
  <c r="J181" i="15"/>
  <c r="I181" i="15"/>
  <c r="E183" i="15"/>
  <c r="K199" i="15"/>
  <c r="K201" i="15" s="1"/>
  <c r="D199" i="15"/>
  <c r="D201" i="15" s="1"/>
  <c r="I199" i="15"/>
  <c r="I201" i="15" s="1"/>
  <c r="F199" i="15"/>
  <c r="J199" i="15"/>
  <c r="J201" i="15" s="1"/>
  <c r="M199" i="15"/>
  <c r="M201" i="15" s="1"/>
  <c r="H199" i="15"/>
  <c r="N18" i="17"/>
  <c r="L199" i="15"/>
  <c r="E201" i="15"/>
  <c r="I15" i="46" s="1"/>
  <c r="G199" i="15"/>
  <c r="G201" i="15" s="1"/>
  <c r="T206" i="15"/>
  <c r="AC206" i="15"/>
  <c r="AB206" i="15"/>
  <c r="X206" i="15"/>
  <c r="Z206" i="15"/>
  <c r="W206" i="15"/>
  <c r="Y206" i="15"/>
  <c r="AA206" i="15"/>
  <c r="AG119" i="17"/>
  <c r="V206" i="15"/>
  <c r="Y218" i="15"/>
  <c r="W218" i="15"/>
  <c r="Z218" i="15"/>
  <c r="AB218" i="15"/>
  <c r="AA218" i="15"/>
  <c r="X218" i="15"/>
  <c r="AG123" i="17" s="1"/>
  <c r="T218" i="15"/>
  <c r="AC218" i="15"/>
  <c r="V100" i="15"/>
  <c r="J82" i="17"/>
  <c r="U35" i="46"/>
  <c r="V35" i="46" s="1"/>
  <c r="U36" i="46"/>
  <c r="V36" i="46" s="1"/>
  <c r="AC67" i="17"/>
  <c r="Y35" i="17"/>
  <c r="W47" i="17"/>
  <c r="L194" i="15"/>
  <c r="D194" i="15"/>
  <c r="I194" i="15"/>
  <c r="N115" i="17"/>
  <c r="K194" i="15"/>
  <c r="H194" i="15"/>
  <c r="F194" i="15"/>
  <c r="M194" i="15"/>
  <c r="G194" i="15"/>
  <c r="J194" i="15"/>
  <c r="U189" i="15"/>
  <c r="AB187" i="15"/>
  <c r="V187" i="15"/>
  <c r="AA187" i="15"/>
  <c r="W187" i="15"/>
  <c r="Z187" i="15"/>
  <c r="X187" i="15"/>
  <c r="T187" i="15"/>
  <c r="Y187" i="15"/>
  <c r="AC187" i="15"/>
  <c r="AG14" i="17"/>
  <c r="I185" i="15"/>
  <c r="L185" i="15"/>
  <c r="N112" i="17"/>
  <c r="H185" i="15"/>
  <c r="F185" i="15"/>
  <c r="M185" i="15"/>
  <c r="K185" i="15"/>
  <c r="J185" i="15"/>
  <c r="G185" i="15"/>
  <c r="D185" i="15"/>
  <c r="AC191" i="17"/>
  <c r="AE191" i="17" s="1"/>
  <c r="AJ191" i="17" s="1"/>
  <c r="AE180" i="17"/>
  <c r="AJ180" i="17" s="1"/>
  <c r="AC183" i="17"/>
  <c r="AE183" i="17" s="1"/>
  <c r="AJ183" i="17" s="1"/>
  <c r="L155" i="17"/>
  <c r="Q155" i="17" s="1"/>
  <c r="D132" i="17"/>
  <c r="J169" i="17"/>
  <c r="L169" i="17" s="1"/>
  <c r="Q169" i="17" s="1"/>
  <c r="F146" i="17"/>
  <c r="J158" i="17"/>
  <c r="L158" i="17" s="1"/>
  <c r="Q158" i="17" s="1"/>
  <c r="O136" i="17"/>
  <c r="W193" i="15"/>
  <c r="W195" i="15" s="1"/>
  <c r="J35" i="46" s="1"/>
  <c r="U195" i="15"/>
  <c r="AB193" i="15"/>
  <c r="AA193" i="15"/>
  <c r="AA195" i="15" s="1"/>
  <c r="AG16" i="17"/>
  <c r="Z193" i="15"/>
  <c r="AC193" i="15"/>
  <c r="X193" i="15"/>
  <c r="X195" i="15" s="1"/>
  <c r="K35" i="46" s="1"/>
  <c r="T193" i="15"/>
  <c r="T195" i="15" s="1"/>
  <c r="H35" i="46" s="1"/>
  <c r="Y193" i="15"/>
  <c r="Y195" i="15" s="1"/>
  <c r="P35" i="46" s="1"/>
  <c r="J187" i="17"/>
  <c r="L187" i="17" s="1"/>
  <c r="Q187" i="17" s="1"/>
  <c r="Z142" i="17"/>
  <c r="AB132" i="17"/>
  <c r="W132" i="17"/>
  <c r="AH132" i="17"/>
  <c r="AH143" i="17"/>
  <c r="W146" i="17"/>
  <c r="W134" i="17"/>
  <c r="AH142" i="17"/>
  <c r="Z144" i="17"/>
  <c r="H40" i="17"/>
  <c r="I40" i="17"/>
  <c r="H45" i="17"/>
  <c r="I43" i="17"/>
  <c r="G35" i="17"/>
  <c r="H42" i="17"/>
  <c r="G32" i="17"/>
  <c r="L57" i="17"/>
  <c r="Q57" i="17" s="1"/>
  <c r="V106" i="15"/>
  <c r="V114" i="15"/>
  <c r="L172" i="15"/>
  <c r="L174" i="15" s="1"/>
  <c r="G172" i="15"/>
  <c r="G174" i="15" s="1"/>
  <c r="D172" i="15"/>
  <c r="D174" i="15" s="1"/>
  <c r="J172" i="15"/>
  <c r="J174" i="15" s="1"/>
  <c r="I172" i="15"/>
  <c r="I174" i="15" s="1"/>
  <c r="H172" i="15"/>
  <c r="H174" i="15" s="1"/>
  <c r="K172" i="15"/>
  <c r="N9" i="17"/>
  <c r="F172" i="15"/>
  <c r="F174" i="15" s="1"/>
  <c r="M172" i="15"/>
  <c r="M174" i="15" s="1"/>
  <c r="E174" i="15"/>
  <c r="I6" i="46" s="1"/>
  <c r="D190" i="15"/>
  <c r="D192" i="15" s="1"/>
  <c r="M190" i="15"/>
  <c r="M192" i="15" s="1"/>
  <c r="F190" i="15"/>
  <c r="F192" i="15" s="1"/>
  <c r="I190" i="15"/>
  <c r="H190" i="15"/>
  <c r="N15" i="17"/>
  <c r="L190" i="15"/>
  <c r="J190" i="15"/>
  <c r="J192" i="15" s="1"/>
  <c r="G190" i="15"/>
  <c r="G192" i="15" s="1"/>
  <c r="K190" i="15"/>
  <c r="K192" i="15" s="1"/>
  <c r="E192" i="15"/>
  <c r="I12" i="46" s="1"/>
  <c r="T191" i="15"/>
  <c r="AB191" i="15"/>
  <c r="X191" i="15"/>
  <c r="AG114" i="17" s="1"/>
  <c r="AC191" i="15"/>
  <c r="W191" i="15"/>
  <c r="Y191" i="15"/>
  <c r="Z191" i="15"/>
  <c r="AA191" i="15"/>
  <c r="AG116" i="17"/>
  <c r="AC197" i="15"/>
  <c r="Z197" i="15"/>
  <c r="AA197" i="15"/>
  <c r="X197" i="15"/>
  <c r="W197" i="15"/>
  <c r="Y197" i="15"/>
  <c r="T197" i="15"/>
  <c r="V197" i="15"/>
  <c r="AB197" i="15"/>
  <c r="AC188" i="15"/>
  <c r="Z188" i="15"/>
  <c r="AB188" i="15"/>
  <c r="Y188" i="15"/>
  <c r="W188" i="15"/>
  <c r="T188" i="15"/>
  <c r="X188" i="15"/>
  <c r="AG113" i="17" s="1"/>
  <c r="AA188" i="15"/>
  <c r="J81" i="17"/>
  <c r="L81" i="17" s="1"/>
  <c r="Q81" i="17" s="1"/>
  <c r="W43" i="17"/>
  <c r="AE66" i="17"/>
  <c r="W42" i="17"/>
  <c r="Y37" i="17"/>
  <c r="AE67" i="17"/>
  <c r="AJ67" i="17" s="1"/>
  <c r="W44" i="17"/>
  <c r="Y48" i="17"/>
  <c r="U28" i="46"/>
  <c r="W34" i="17"/>
  <c r="F179" i="15"/>
  <c r="H179" i="15"/>
  <c r="N110" i="17" s="1"/>
  <c r="D179" i="15"/>
  <c r="M179" i="15"/>
  <c r="G179" i="15"/>
  <c r="K179" i="15"/>
  <c r="J179" i="15"/>
  <c r="L179" i="15"/>
  <c r="Y184" i="15"/>
  <c r="AA184" i="15"/>
  <c r="U186" i="15"/>
  <c r="AB184" i="15"/>
  <c r="AB186" i="15" s="1"/>
  <c r="M32" i="46" s="1"/>
  <c r="T184" i="15"/>
  <c r="T186" i="15" s="1"/>
  <c r="H32" i="46" s="1"/>
  <c r="Z184" i="15"/>
  <c r="Z186" i="15" s="1"/>
  <c r="L32" i="46" s="1"/>
  <c r="AC184" i="15"/>
  <c r="AC186" i="15" s="1"/>
  <c r="W184" i="15"/>
  <c r="W186" i="15" s="1"/>
  <c r="J32" i="46" s="1"/>
  <c r="X184" i="15"/>
  <c r="X186" i="15" s="1"/>
  <c r="K32" i="46" s="1"/>
  <c r="Q32" i="46" s="1"/>
  <c r="AE188" i="17"/>
  <c r="AJ188" i="17" s="1"/>
  <c r="AC188" i="17"/>
  <c r="AC182" i="17"/>
  <c r="AE182" i="17" s="1"/>
  <c r="AJ182" i="17" s="1"/>
  <c r="AC179" i="17"/>
  <c r="AE179" i="17" s="1"/>
  <c r="AJ179" i="17" s="1"/>
  <c r="D138" i="17"/>
  <c r="D131" i="17"/>
  <c r="J154" i="17"/>
  <c r="L154" i="17" s="1"/>
  <c r="Q154" i="17" s="1"/>
  <c r="F131" i="17"/>
  <c r="G182" i="15"/>
  <c r="J182" i="15"/>
  <c r="M182" i="15"/>
  <c r="H182" i="15"/>
  <c r="N111" i="17" s="1"/>
  <c r="D182" i="15"/>
  <c r="L182" i="15"/>
  <c r="K182" i="15"/>
  <c r="F182" i="15"/>
  <c r="J184" i="17"/>
  <c r="L184" i="17" s="1"/>
  <c r="Q184" i="17" s="1"/>
  <c r="Y132" i="17"/>
  <c r="AH136" i="17"/>
  <c r="AB144" i="17"/>
  <c r="AC170" i="17"/>
  <c r="AE170" i="17" s="1"/>
  <c r="Y147" i="17"/>
  <c r="AC147" i="17" s="1"/>
  <c r="AB139" i="17"/>
  <c r="AC164" i="17"/>
  <c r="AE164" i="17" s="1"/>
  <c r="AJ164" i="17" s="1"/>
  <c r="Y141" i="17"/>
  <c r="Y145" i="17"/>
  <c r="AA146" i="17"/>
  <c r="AC79" i="17"/>
  <c r="AE79" i="17" s="1"/>
  <c r="H47" i="17"/>
  <c r="G42" i="17"/>
  <c r="I46" i="17"/>
  <c r="J68" i="17"/>
  <c r="F45" i="17"/>
  <c r="O46" i="17"/>
  <c r="J55" i="17"/>
  <c r="L55" i="17" s="1"/>
  <c r="Q55" i="17" s="1"/>
  <c r="R6" i="46" s="1"/>
  <c r="F32" i="17"/>
  <c r="J32" i="17" s="1"/>
  <c r="O34" i="17"/>
  <c r="I36" i="17"/>
  <c r="D47" i="17"/>
  <c r="F206" i="15"/>
  <c r="G206" i="15"/>
  <c r="L206" i="15"/>
  <c r="K206" i="15"/>
  <c r="I206" i="15"/>
  <c r="H206" i="15"/>
  <c r="J206" i="15"/>
  <c r="N119" i="17"/>
  <c r="M206" i="15"/>
  <c r="D206" i="15"/>
  <c r="F27" i="15"/>
  <c r="F202" i="15" s="1"/>
  <c r="O27" i="15"/>
  <c r="V33" i="15"/>
  <c r="L175" i="15"/>
  <c r="L177" i="15" s="1"/>
  <c r="M7" i="46" s="1"/>
  <c r="J175" i="15"/>
  <c r="G175" i="15"/>
  <c r="G177" i="15" s="1"/>
  <c r="J7" i="46" s="1"/>
  <c r="D175" i="15"/>
  <c r="D177" i="15" s="1"/>
  <c r="H7" i="46" s="1"/>
  <c r="F175" i="15"/>
  <c r="K175" i="15"/>
  <c r="H175" i="15"/>
  <c r="H177" i="15" s="1"/>
  <c r="K7" i="46" s="1"/>
  <c r="M175" i="15"/>
  <c r="M177" i="15" s="1"/>
  <c r="I175" i="15"/>
  <c r="E177" i="15"/>
  <c r="D202" i="15"/>
  <c r="D204" i="15" s="1"/>
  <c r="H16" i="46" s="1"/>
  <c r="G202" i="15"/>
  <c r="G204" i="15" s="1"/>
  <c r="J16" i="46" s="1"/>
  <c r="H202" i="15"/>
  <c r="L202" i="15"/>
  <c r="I202" i="15"/>
  <c r="J202" i="15"/>
  <c r="J204" i="15" s="1"/>
  <c r="L16" i="46" s="1"/>
  <c r="K202" i="15"/>
  <c r="K204" i="15" s="1"/>
  <c r="E204" i="15"/>
  <c r="M202" i="15"/>
  <c r="M204" i="15" s="1"/>
  <c r="V212" i="15"/>
  <c r="Z212" i="15"/>
  <c r="AA212" i="15"/>
  <c r="AB212" i="15"/>
  <c r="X212" i="15"/>
  <c r="AG121" i="17" s="1"/>
  <c r="W212" i="15"/>
  <c r="T212" i="15"/>
  <c r="Y212" i="15"/>
  <c r="AC212" i="15"/>
  <c r="AB182" i="15"/>
  <c r="AC182" i="15"/>
  <c r="W182" i="15"/>
  <c r="Z182" i="15"/>
  <c r="V182" i="15"/>
  <c r="Y182" i="15"/>
  <c r="AG111" i="17"/>
  <c r="AA182" i="15"/>
  <c r="T182" i="15"/>
  <c r="X182" i="15"/>
  <c r="V29" i="15"/>
  <c r="V193" i="15" s="1"/>
  <c r="V88" i="15"/>
  <c r="V194" i="15" s="1"/>
  <c r="U164" i="15"/>
  <c r="L66" i="17" l="1"/>
  <c r="Q66" i="17" s="1"/>
  <c r="R17" i="46" s="1"/>
  <c r="AC39" i="17"/>
  <c r="Y35" i="46" s="1"/>
  <c r="Z35" i="46" s="1"/>
  <c r="H46" i="17"/>
  <c r="AC169" i="17"/>
  <c r="AE169" i="17" s="1"/>
  <c r="AJ169" i="17" s="1"/>
  <c r="Z174" i="15"/>
  <c r="L28" i="46" s="1"/>
  <c r="Z42" i="17"/>
  <c r="AC42" i="17" s="1"/>
  <c r="Z45" i="17"/>
  <c r="J177" i="15"/>
  <c r="L7" i="46" s="1"/>
  <c r="Y144" i="17"/>
  <c r="AC144" i="17" s="1"/>
  <c r="Y41" i="46" s="1"/>
  <c r="Z41" i="46" s="1"/>
  <c r="J186" i="17"/>
  <c r="L186" i="17" s="1"/>
  <c r="Q186" i="17" s="1"/>
  <c r="AC37" i="17"/>
  <c r="Y142" i="17"/>
  <c r="AC142" i="17" s="1"/>
  <c r="AB195" i="15"/>
  <c r="M35" i="46" s="1"/>
  <c r="W33" i="17"/>
  <c r="AE33" i="17" s="1"/>
  <c r="AJ33" i="17" s="1"/>
  <c r="T29" i="46" s="1"/>
  <c r="AC29" i="46" s="1"/>
  <c r="L82" i="17"/>
  <c r="Q82" i="17" s="1"/>
  <c r="S10" i="46" s="1"/>
  <c r="L201" i="15"/>
  <c r="J48" i="17"/>
  <c r="L48" i="17" s="1"/>
  <c r="AB133" i="17"/>
  <c r="AC133" i="17" s="1"/>
  <c r="AE133" i="17" s="1"/>
  <c r="AJ133" i="17" s="1"/>
  <c r="V177" i="15"/>
  <c r="J133" i="17"/>
  <c r="L133" i="17" s="1"/>
  <c r="Q133" i="17" s="1"/>
  <c r="F222" i="15"/>
  <c r="AC135" i="17"/>
  <c r="AE135" i="17" s="1"/>
  <c r="AJ135" i="17" s="1"/>
  <c r="L193" i="17"/>
  <c r="Q193" i="17" s="1"/>
  <c r="V202" i="15"/>
  <c r="T174" i="15"/>
  <c r="H28" i="46" s="1"/>
  <c r="L139" i="17"/>
  <c r="Q139" i="17" s="1"/>
  <c r="J84" i="17"/>
  <c r="L84" i="17" s="1"/>
  <c r="Q84" i="17" s="1"/>
  <c r="AB145" i="17"/>
  <c r="AC145" i="17" s="1"/>
  <c r="AE145" i="17" s="1"/>
  <c r="AJ145" i="17" s="1"/>
  <c r="Y143" i="17"/>
  <c r="AC143" i="17" s="1"/>
  <c r="AE143" i="17" s="1"/>
  <c r="AJ143" i="17" s="1"/>
  <c r="T222" i="15"/>
  <c r="J140" i="17"/>
  <c r="AB216" i="15"/>
  <c r="R32" i="46"/>
  <c r="AC160" i="17"/>
  <c r="AE160" i="17" s="1"/>
  <c r="AJ160" i="17" s="1"/>
  <c r="R34" i="46" s="1"/>
  <c r="I209" i="15"/>
  <c r="I210" i="15" s="1"/>
  <c r="P18" i="46" s="1"/>
  <c r="Q18" i="46" s="1"/>
  <c r="Z135" i="17"/>
  <c r="H146" i="17"/>
  <c r="J146" i="17" s="1"/>
  <c r="L146" i="17" s="1"/>
  <c r="Q146" i="17" s="1"/>
  <c r="Z46" i="17"/>
  <c r="S9" i="46"/>
  <c r="J45" i="17"/>
  <c r="AJ79" i="17"/>
  <c r="S29" i="46" s="1"/>
  <c r="AC60" i="17"/>
  <c r="AE60" i="17" s="1"/>
  <c r="AJ60" i="17" s="1"/>
  <c r="R33" i="46" s="1"/>
  <c r="L94" i="17"/>
  <c r="Q94" i="17" s="1"/>
  <c r="S22" i="46" s="1"/>
  <c r="L192" i="15"/>
  <c r="J92" i="17"/>
  <c r="L92" i="17" s="1"/>
  <c r="Q92" i="17" s="1"/>
  <c r="S20" i="46" s="1"/>
  <c r="J71" i="17"/>
  <c r="L71" i="17" s="1"/>
  <c r="Q71" i="17" s="1"/>
  <c r="R22" i="46" s="1"/>
  <c r="V172" i="15"/>
  <c r="F43" i="17"/>
  <c r="J43" i="17" s="1"/>
  <c r="U21" i="46"/>
  <c r="V21" i="46" s="1"/>
  <c r="J189" i="17"/>
  <c r="L189" i="17" s="1"/>
  <c r="Q189" i="17" s="1"/>
  <c r="L142" i="17"/>
  <c r="Q142" i="17" s="1"/>
  <c r="AC45" i="17"/>
  <c r="L219" i="15"/>
  <c r="M21" i="46" s="1"/>
  <c r="AB174" i="15"/>
  <c r="M28" i="46" s="1"/>
  <c r="AE83" i="17"/>
  <c r="AJ83" i="17" s="1"/>
  <c r="J143" i="17"/>
  <c r="L143" i="17" s="1"/>
  <c r="Q143" i="17" s="1"/>
  <c r="J87" i="17"/>
  <c r="L87" i="17" s="1"/>
  <c r="Q87" i="17" s="1"/>
  <c r="M198" i="15"/>
  <c r="D137" i="17"/>
  <c r="X216" i="15"/>
  <c r="J85" i="17"/>
  <c r="L85" i="17" s="1"/>
  <c r="Q85" i="17" s="1"/>
  <c r="G216" i="15"/>
  <c r="J183" i="17"/>
  <c r="L183" i="17" s="1"/>
  <c r="Q183" i="17" s="1"/>
  <c r="G147" i="17"/>
  <c r="J147" i="17" s="1"/>
  <c r="L147" i="17" s="1"/>
  <c r="Q147" i="17" s="1"/>
  <c r="AA44" i="17"/>
  <c r="Z32" i="17"/>
  <c r="AB37" i="17"/>
  <c r="AC82" i="17"/>
  <c r="AE82" i="17" s="1"/>
  <c r="AJ82" i="17" s="1"/>
  <c r="AB43" i="17"/>
  <c r="AH33" i="17"/>
  <c r="Z39" i="17"/>
  <c r="Z34" i="17"/>
  <c r="D33" i="17"/>
  <c r="S21" i="46"/>
  <c r="J138" i="17"/>
  <c r="AJ170" i="17"/>
  <c r="L138" i="17"/>
  <c r="Q138" i="17" s="1"/>
  <c r="J145" i="17"/>
  <c r="J132" i="17"/>
  <c r="L132" i="17" s="1"/>
  <c r="Q132" i="17" s="1"/>
  <c r="I182" i="15"/>
  <c r="J91" i="17"/>
  <c r="L91" i="17" s="1"/>
  <c r="Q91" i="17" s="1"/>
  <c r="S19" i="46" s="1"/>
  <c r="H201" i="15"/>
  <c r="AC47" i="17"/>
  <c r="AE47" i="17" s="1"/>
  <c r="AC33" i="17"/>
  <c r="AC68" i="17"/>
  <c r="AE68" i="17" s="1"/>
  <c r="AJ68" i="17" s="1"/>
  <c r="G219" i="15"/>
  <c r="J21" i="46" s="1"/>
  <c r="F203" i="15"/>
  <c r="K198" i="15"/>
  <c r="I176" i="15"/>
  <c r="I177" i="15" s="1"/>
  <c r="P7" i="46" s="1"/>
  <c r="Q7" i="46" s="1"/>
  <c r="F144" i="17"/>
  <c r="J144" i="17" s="1"/>
  <c r="L144" i="17" s="1"/>
  <c r="Q144" i="17" s="1"/>
  <c r="J80" i="17"/>
  <c r="L80" i="17" s="1"/>
  <c r="Q80" i="17" s="1"/>
  <c r="S8" i="46" s="1"/>
  <c r="D43" i="17"/>
  <c r="AC141" i="17"/>
  <c r="AC155" i="17"/>
  <c r="AE155" i="17" s="1"/>
  <c r="AJ155" i="17" s="1"/>
  <c r="H192" i="15"/>
  <c r="AC163" i="17"/>
  <c r="AE163" i="17" s="1"/>
  <c r="AJ163" i="17" s="1"/>
  <c r="R37" i="46" s="1"/>
  <c r="AC58" i="17"/>
  <c r="AE58" i="17" s="1"/>
  <c r="AJ58" i="17" s="1"/>
  <c r="R31" i="46" s="1"/>
  <c r="Y46" i="17"/>
  <c r="AC46" i="17" s="1"/>
  <c r="AC85" i="17"/>
  <c r="AE85" i="17" s="1"/>
  <c r="AJ85" i="17" s="1"/>
  <c r="AC56" i="17"/>
  <c r="AE56" i="17" s="1"/>
  <c r="AJ56" i="17" s="1"/>
  <c r="R29" i="46" s="1"/>
  <c r="I21" i="46"/>
  <c r="W174" i="15"/>
  <c r="J28" i="46" s="1"/>
  <c r="J181" i="17"/>
  <c r="L181" i="17" s="1"/>
  <c r="Q181" i="17" s="1"/>
  <c r="I218" i="15"/>
  <c r="I219" i="15" s="1"/>
  <c r="P21" i="46" s="1"/>
  <c r="Y34" i="17"/>
  <c r="Z222" i="15"/>
  <c r="V190" i="15"/>
  <c r="J137" i="17"/>
  <c r="AC65" i="17"/>
  <c r="AE65" i="17" s="1"/>
  <c r="AJ65" i="17" s="1"/>
  <c r="J90" i="17"/>
  <c r="L90" i="17" s="1"/>
  <c r="Q90" i="17" s="1"/>
  <c r="S18" i="46" s="1"/>
  <c r="AB48" i="17"/>
  <c r="AC48" i="17" s="1"/>
  <c r="Z36" i="17"/>
  <c r="AC36" i="17" s="1"/>
  <c r="AB41" i="17"/>
  <c r="AC41" i="17" s="1"/>
  <c r="AB34" i="17"/>
  <c r="L68" i="17"/>
  <c r="Q68" i="17" s="1"/>
  <c r="R19" i="46" s="1"/>
  <c r="AC132" i="17"/>
  <c r="Y29" i="46" s="1"/>
  <c r="Z29" i="46" s="1"/>
  <c r="AC35" i="17"/>
  <c r="AE35" i="17" s="1"/>
  <c r="J83" i="17"/>
  <c r="L83" i="17" s="1"/>
  <c r="Q83" i="17" s="1"/>
  <c r="J67" i="17"/>
  <c r="L67" i="17" s="1"/>
  <c r="Q67" i="17" s="1"/>
  <c r="U18" i="46"/>
  <c r="V18" i="46" s="1"/>
  <c r="J139" i="17"/>
  <c r="L204" i="15"/>
  <c r="M16" i="46" s="1"/>
  <c r="K177" i="15"/>
  <c r="F204" i="15"/>
  <c r="J131" i="17"/>
  <c r="Y6" i="46" s="1"/>
  <c r="Z6" i="46" s="1"/>
  <c r="AA186" i="15"/>
  <c r="AC71" i="17"/>
  <c r="AE71" i="17" s="1"/>
  <c r="AJ71" i="17" s="1"/>
  <c r="AJ66" i="17"/>
  <c r="I192" i="15"/>
  <c r="K174" i="15"/>
  <c r="AC195" i="15"/>
  <c r="Y44" i="17"/>
  <c r="U7" i="46"/>
  <c r="V7" i="46" s="1"/>
  <c r="AC138" i="17"/>
  <c r="H210" i="15"/>
  <c r="K18" i="46" s="1"/>
  <c r="L62" i="17"/>
  <c r="Q62" i="17" s="1"/>
  <c r="R13" i="46" s="1"/>
  <c r="W38" i="17"/>
  <c r="AC43" i="17"/>
  <c r="J219" i="15"/>
  <c r="L21" i="46" s="1"/>
  <c r="L141" i="17"/>
  <c r="Q141" i="17" s="1"/>
  <c r="L198" i="15"/>
  <c r="AC222" i="15"/>
  <c r="AA216" i="15"/>
  <c r="J178" i="17"/>
  <c r="L178" i="17" s="1"/>
  <c r="Q178" i="17" s="1"/>
  <c r="K216" i="15"/>
  <c r="I203" i="15"/>
  <c r="I204" i="15" s="1"/>
  <c r="P16" i="46" s="1"/>
  <c r="Q16" i="46" s="1"/>
  <c r="J94" i="17"/>
  <c r="J177" i="17"/>
  <c r="L177" i="17" s="1"/>
  <c r="Q177" i="17" s="1"/>
  <c r="S6" i="46" s="1"/>
  <c r="AH37" i="17"/>
  <c r="U33" i="46" s="1"/>
  <c r="V33" i="46" s="1"/>
  <c r="AH36" i="17"/>
  <c r="U32" i="46" s="1"/>
  <c r="G222" i="15"/>
  <c r="H204" i="15"/>
  <c r="K16" i="46" s="1"/>
  <c r="U8" i="46"/>
  <c r="V8" i="46" s="1"/>
  <c r="Y186" i="15"/>
  <c r="P32" i="46" s="1"/>
  <c r="AE43" i="17"/>
  <c r="AA39" i="46" s="1"/>
  <c r="AB39" i="46" s="1"/>
  <c r="Z195" i="15"/>
  <c r="L35" i="46" s="1"/>
  <c r="X189" i="15"/>
  <c r="K33" i="46" s="1"/>
  <c r="Q33" i="46" s="1"/>
  <c r="F201" i="15"/>
  <c r="J210" i="15"/>
  <c r="L18" i="46" s="1"/>
  <c r="AC32" i="17"/>
  <c r="AE32" i="17" s="1"/>
  <c r="U34" i="46"/>
  <c r="V34" i="46" s="1"/>
  <c r="J141" i="17"/>
  <c r="AC38" i="17"/>
  <c r="I216" i="15"/>
  <c r="AC84" i="17"/>
  <c r="AE84" i="17" s="1"/>
  <c r="AJ84" i="17" s="1"/>
  <c r="S34" i="46" s="1"/>
  <c r="R36" i="46"/>
  <c r="R15" i="46"/>
  <c r="R9" i="46"/>
  <c r="V195" i="15"/>
  <c r="S30" i="46"/>
  <c r="R44" i="46"/>
  <c r="S17" i="46"/>
  <c r="R10" i="46"/>
  <c r="I16" i="46"/>
  <c r="N10" i="17"/>
  <c r="R21" i="46"/>
  <c r="R39" i="46"/>
  <c r="L45" i="17"/>
  <c r="W19" i="46"/>
  <c r="X19" i="46" s="1"/>
  <c r="O35" i="46"/>
  <c r="Q35" i="46"/>
  <c r="AC189" i="15"/>
  <c r="AB189" i="15"/>
  <c r="M33" i="46" s="1"/>
  <c r="L183" i="15"/>
  <c r="M9" i="46" s="1"/>
  <c r="R7" i="46"/>
  <c r="S32" i="46"/>
  <c r="AC139" i="17"/>
  <c r="Y36" i="46" s="1"/>
  <c r="Z36" i="46" s="1"/>
  <c r="Z213" i="15"/>
  <c r="L41" i="46" s="1"/>
  <c r="L180" i="15"/>
  <c r="M8" i="46" s="1"/>
  <c r="L195" i="15"/>
  <c r="AE142" i="17"/>
  <c r="AJ142" i="17" s="1"/>
  <c r="S16" i="46"/>
  <c r="O79" i="15"/>
  <c r="H186" i="15"/>
  <c r="K10" i="46" s="1"/>
  <c r="J42" i="17"/>
  <c r="L32" i="17"/>
  <c r="S41" i="46"/>
  <c r="AB204" i="15"/>
  <c r="M38" i="46" s="1"/>
  <c r="Y204" i="15"/>
  <c r="P38" i="46" s="1"/>
  <c r="Y216" i="15"/>
  <c r="AA180" i="15"/>
  <c r="V180" i="15"/>
  <c r="L213" i="15"/>
  <c r="L189" i="15"/>
  <c r="J35" i="17"/>
  <c r="L35" i="17" s="1"/>
  <c r="Q35" i="17" s="1"/>
  <c r="L136" i="17"/>
  <c r="Q136" i="17" s="1"/>
  <c r="L207" i="15"/>
  <c r="L140" i="17"/>
  <c r="Q140" i="17" s="1"/>
  <c r="AB201" i="15"/>
  <c r="W192" i="15"/>
  <c r="J34" i="46" s="1"/>
  <c r="S35" i="46"/>
  <c r="Y189" i="15"/>
  <c r="P33" i="46" s="1"/>
  <c r="F183" i="15"/>
  <c r="S36" i="46"/>
  <c r="Y213" i="15"/>
  <c r="P41" i="46" s="1"/>
  <c r="N21" i="17"/>
  <c r="I180" i="15"/>
  <c r="P8" i="46" s="1"/>
  <c r="J34" i="17"/>
  <c r="Y8" i="46" s="1"/>
  <c r="Z8" i="46" s="1"/>
  <c r="R28" i="46"/>
  <c r="Y39" i="46"/>
  <c r="Z39" i="46" s="1"/>
  <c r="J195" i="15"/>
  <c r="AB210" i="15"/>
  <c r="AC183" i="15"/>
  <c r="X198" i="15"/>
  <c r="K36" i="46" s="1"/>
  <c r="Q36" i="46" s="1"/>
  <c r="M186" i="15"/>
  <c r="S43" i="46"/>
  <c r="AA204" i="15"/>
  <c r="Z204" i="15"/>
  <c r="L38" i="46" s="1"/>
  <c r="T180" i="15"/>
  <c r="AC180" i="15"/>
  <c r="I213" i="15"/>
  <c r="J189" i="15"/>
  <c r="J40" i="17"/>
  <c r="L40" i="17" s="1"/>
  <c r="Q40" i="17" s="1"/>
  <c r="V207" i="15"/>
  <c r="K207" i="15"/>
  <c r="AE138" i="17"/>
  <c r="AJ138" i="17" s="1"/>
  <c r="X192" i="15"/>
  <c r="K34" i="46" s="1"/>
  <c r="O7" i="46"/>
  <c r="V184" i="15"/>
  <c r="S13" i="46"/>
  <c r="AE132" i="17"/>
  <c r="AJ132" i="17" s="1"/>
  <c r="T189" i="15"/>
  <c r="H33" i="46" s="1"/>
  <c r="H48" i="46" s="1"/>
  <c r="I48" i="46" s="1"/>
  <c r="I183" i="15"/>
  <c r="P9" i="46" s="1"/>
  <c r="M183" i="15"/>
  <c r="AE140" i="17"/>
  <c r="AJ140" i="17" s="1"/>
  <c r="T213" i="15"/>
  <c r="H41" i="46" s="1"/>
  <c r="AA213" i="15"/>
  <c r="V203" i="15"/>
  <c r="V204" i="15" s="1"/>
  <c r="O18" i="46"/>
  <c r="K180" i="15"/>
  <c r="J39" i="17"/>
  <c r="W28" i="46"/>
  <c r="N24" i="17"/>
  <c r="R18" i="46"/>
  <c r="AC131" i="17"/>
  <c r="AE131" i="17" s="1"/>
  <c r="AJ131" i="17" s="1"/>
  <c r="T210" i="15"/>
  <c r="AC210" i="15"/>
  <c r="V183" i="15"/>
  <c r="AG17" i="17"/>
  <c r="F186" i="15"/>
  <c r="N13" i="17"/>
  <c r="AC204" i="15"/>
  <c r="H213" i="15"/>
  <c r="K213" i="15"/>
  <c r="K189" i="15"/>
  <c r="S28" i="46"/>
  <c r="Y207" i="15"/>
  <c r="T219" i="15"/>
  <c r="H43" i="46" s="1"/>
  <c r="I43" i="46" s="1"/>
  <c r="L135" i="17"/>
  <c r="Q135" i="17" s="1"/>
  <c r="X201" i="15"/>
  <c r="Z192" i="15"/>
  <c r="L34" i="46" s="1"/>
  <c r="AG15" i="17"/>
  <c r="V188" i="15"/>
  <c r="J183" i="15"/>
  <c r="L9" i="46" s="1"/>
  <c r="H183" i="15"/>
  <c r="K9" i="46" s="1"/>
  <c r="V211" i="15"/>
  <c r="V213" i="15" s="1"/>
  <c r="I41" i="46"/>
  <c r="S15" i="46"/>
  <c r="F180" i="15"/>
  <c r="S37" i="46"/>
  <c r="AE46" i="17"/>
  <c r="AJ46" i="17" s="1"/>
  <c r="Q21" i="46"/>
  <c r="O21" i="46"/>
  <c r="M195" i="15"/>
  <c r="J47" i="17"/>
  <c r="J44" i="17"/>
  <c r="L44" i="17" s="1"/>
  <c r="Q44" i="17" s="1"/>
  <c r="S33" i="46"/>
  <c r="V210" i="15"/>
  <c r="X210" i="15"/>
  <c r="W183" i="15"/>
  <c r="AC198" i="15"/>
  <c r="G186" i="15"/>
  <c r="J10" i="46" s="1"/>
  <c r="I186" i="15"/>
  <c r="P10" i="46" s="1"/>
  <c r="R16" i="46"/>
  <c r="X204" i="15"/>
  <c r="K38" i="46" s="1"/>
  <c r="Z180" i="15"/>
  <c r="G213" i="15"/>
  <c r="M189" i="15"/>
  <c r="AC207" i="15"/>
  <c r="X207" i="15"/>
  <c r="AB219" i="15"/>
  <c r="M43" i="46" s="1"/>
  <c r="I207" i="15"/>
  <c r="D207" i="15"/>
  <c r="AC134" i="17"/>
  <c r="AE134" i="17" s="1"/>
  <c r="AJ134" i="17" s="1"/>
  <c r="AC201" i="15"/>
  <c r="Z201" i="15"/>
  <c r="AA192" i="15"/>
  <c r="Y192" i="15"/>
  <c r="P34" i="46" s="1"/>
  <c r="F177" i="15"/>
  <c r="V191" i="15"/>
  <c r="V192" i="15" s="1"/>
  <c r="Z189" i="15"/>
  <c r="L33" i="46" s="1"/>
  <c r="W43" i="46"/>
  <c r="X43" i="46" s="1"/>
  <c r="D183" i="15"/>
  <c r="H9" i="46" s="1"/>
  <c r="I9" i="46" s="1"/>
  <c r="X213" i="15"/>
  <c r="K41" i="46" s="1"/>
  <c r="Q41" i="46" s="1"/>
  <c r="W213" i="15"/>
  <c r="J41" i="46" s="1"/>
  <c r="G180" i="15"/>
  <c r="J8" i="46" s="1"/>
  <c r="V185" i="15"/>
  <c r="AE141" i="17"/>
  <c r="AJ141" i="17" s="1"/>
  <c r="Z210" i="15"/>
  <c r="Y210" i="15"/>
  <c r="Y183" i="15"/>
  <c r="V196" i="15"/>
  <c r="V198" i="15" s="1"/>
  <c r="D186" i="15"/>
  <c r="H10" i="46" s="1"/>
  <c r="K186" i="15"/>
  <c r="AG19" i="17"/>
  <c r="T216" i="15"/>
  <c r="AB180" i="15"/>
  <c r="D213" i="15"/>
  <c r="AA207" i="15"/>
  <c r="T207" i="15"/>
  <c r="L134" i="17"/>
  <c r="Q134" i="17" s="1"/>
  <c r="Y219" i="15"/>
  <c r="P43" i="46" s="1"/>
  <c r="X219" i="15"/>
  <c r="K43" i="46" s="1"/>
  <c r="Q43" i="46" s="1"/>
  <c r="F207" i="15"/>
  <c r="Y201" i="15"/>
  <c r="AA201" i="15"/>
  <c r="AC192" i="15"/>
  <c r="W32" i="46"/>
  <c r="X32" i="46" s="1"/>
  <c r="R30" i="46"/>
  <c r="W189" i="15"/>
  <c r="J33" i="46" s="1"/>
  <c r="R43" i="46"/>
  <c r="V218" i="15"/>
  <c r="V219" i="15" s="1"/>
  <c r="N12" i="17"/>
  <c r="AC213" i="15"/>
  <c r="W41" i="46"/>
  <c r="X41" i="46" s="1"/>
  <c r="AE45" i="17"/>
  <c r="H180" i="15"/>
  <c r="K8" i="46" s="1"/>
  <c r="Q8" i="46" s="1"/>
  <c r="N11" i="17"/>
  <c r="S7" i="46"/>
  <c r="F195" i="15"/>
  <c r="K195" i="15"/>
  <c r="K48" i="46"/>
  <c r="O48" i="46" s="1"/>
  <c r="O28" i="46"/>
  <c r="Q28" i="46"/>
  <c r="AA210" i="15"/>
  <c r="T183" i="15"/>
  <c r="Y198" i="15"/>
  <c r="P36" i="46" s="1"/>
  <c r="AA198" i="15"/>
  <c r="V173" i="15"/>
  <c r="V174" i="15" s="1"/>
  <c r="J186" i="15"/>
  <c r="L10" i="46" s="1"/>
  <c r="W204" i="15"/>
  <c r="J38" i="46" s="1"/>
  <c r="X180" i="15"/>
  <c r="F213" i="15"/>
  <c r="H189" i="15"/>
  <c r="D189" i="15"/>
  <c r="Z207" i="15"/>
  <c r="AB207" i="15"/>
  <c r="AA219" i="15"/>
  <c r="W219" i="15"/>
  <c r="J43" i="46" s="1"/>
  <c r="G207" i="15"/>
  <c r="M207" i="15"/>
  <c r="AC136" i="17"/>
  <c r="Y33" i="46" s="1"/>
  <c r="Z33" i="46" s="1"/>
  <c r="W201" i="15"/>
  <c r="AB192" i="15"/>
  <c r="M34" i="46" s="1"/>
  <c r="M48" i="46" s="1"/>
  <c r="N19" i="17"/>
  <c r="V28" i="46"/>
  <c r="L34" i="17"/>
  <c r="W8" i="46"/>
  <c r="I35" i="46"/>
  <c r="AA189" i="15"/>
  <c r="AA29" i="46"/>
  <c r="AB29" i="46" s="1"/>
  <c r="K183" i="15"/>
  <c r="AG22" i="17"/>
  <c r="R41" i="46"/>
  <c r="D180" i="15"/>
  <c r="H8" i="46" s="1"/>
  <c r="H26" i="46" s="1"/>
  <c r="I26" i="46" s="1"/>
  <c r="J180" i="15"/>
  <c r="L8" i="46" s="1"/>
  <c r="AC146" i="17"/>
  <c r="I195" i="15"/>
  <c r="G195" i="15"/>
  <c r="AE147" i="17"/>
  <c r="AJ147" i="17" s="1"/>
  <c r="AA183" i="15"/>
  <c r="AB183" i="15"/>
  <c r="Y28" i="46"/>
  <c r="Z198" i="15"/>
  <c r="L36" i="46" s="1"/>
  <c r="T198" i="15"/>
  <c r="H36" i="46" s="1"/>
  <c r="I36" i="46" s="1"/>
  <c r="L186" i="15"/>
  <c r="M10" i="46" s="1"/>
  <c r="J37" i="17"/>
  <c r="L37" i="17" s="1"/>
  <c r="Q37" i="17" s="1"/>
  <c r="Y180" i="15"/>
  <c r="M213" i="15"/>
  <c r="F189" i="15"/>
  <c r="I189" i="15"/>
  <c r="J41" i="17"/>
  <c r="Y15" i="46" s="1"/>
  <c r="Z15" i="46" s="1"/>
  <c r="AC137" i="17"/>
  <c r="AE137" i="17" s="1"/>
  <c r="Z219" i="15"/>
  <c r="L43" i="46" s="1"/>
  <c r="J207" i="15"/>
  <c r="J33" i="17"/>
  <c r="Y7" i="46" s="1"/>
  <c r="Z7" i="46" s="1"/>
  <c r="L145" i="17"/>
  <c r="Q145" i="17" s="1"/>
  <c r="T201" i="15"/>
  <c r="O16" i="46"/>
  <c r="I7" i="46"/>
  <c r="W21" i="46"/>
  <c r="X21" i="46" s="1"/>
  <c r="J46" i="17"/>
  <c r="Y20" i="46" s="1"/>
  <c r="Z20" i="46" s="1"/>
  <c r="L131" i="17"/>
  <c r="Q131" i="17" s="1"/>
  <c r="AG13" i="17"/>
  <c r="I32" i="46"/>
  <c r="R38" i="46"/>
  <c r="R8" i="46"/>
  <c r="V189" i="15"/>
  <c r="G183" i="15"/>
  <c r="J9" i="46" s="1"/>
  <c r="AB213" i="15"/>
  <c r="M41" i="46" s="1"/>
  <c r="AE37" i="17"/>
  <c r="W33" i="46"/>
  <c r="X33" i="46" s="1"/>
  <c r="I8" i="46"/>
  <c r="M180" i="15"/>
  <c r="F219" i="15"/>
  <c r="H195" i="15"/>
  <c r="D195" i="15"/>
  <c r="I28" i="46"/>
  <c r="W20" i="46"/>
  <c r="X20" i="46" s="1"/>
  <c r="J38" i="17"/>
  <c r="Y12" i="46" s="1"/>
  <c r="Z12" i="46" s="1"/>
  <c r="J36" i="17"/>
  <c r="Y10" i="46" s="1"/>
  <c r="Z10" i="46" s="1"/>
  <c r="W210" i="15"/>
  <c r="X183" i="15"/>
  <c r="Z183" i="15"/>
  <c r="AB198" i="15"/>
  <c r="M36" i="46" s="1"/>
  <c r="W198" i="15"/>
  <c r="J36" i="46" s="1"/>
  <c r="I10" i="46"/>
  <c r="S31" i="46"/>
  <c r="T204" i="15"/>
  <c r="H38" i="46" s="1"/>
  <c r="I38" i="46" s="1"/>
  <c r="W180" i="15"/>
  <c r="J213" i="15"/>
  <c r="G189" i="15"/>
  <c r="W207" i="15"/>
  <c r="AC219" i="15"/>
  <c r="W36" i="46"/>
  <c r="X36" i="46" s="1"/>
  <c r="AE40" i="17"/>
  <c r="H207" i="15"/>
  <c r="V201" i="15"/>
  <c r="T192" i="15"/>
  <c r="H34" i="46" s="1"/>
  <c r="I34" i="46" s="1"/>
  <c r="AE41" i="17" l="1"/>
  <c r="AJ41" i="17" s="1"/>
  <c r="T37" i="46" s="1"/>
  <c r="AC37" i="46" s="1"/>
  <c r="Y37" i="46"/>
  <c r="Z37" i="46" s="1"/>
  <c r="Q48" i="17"/>
  <c r="T22" i="46" s="1"/>
  <c r="AC22" i="46" s="1"/>
  <c r="AA22" i="46"/>
  <c r="AB22" i="46" s="1"/>
  <c r="AE36" i="17"/>
  <c r="Y32" i="46"/>
  <c r="Z32" i="46" s="1"/>
  <c r="Y17" i="46"/>
  <c r="Z17" i="46" s="1"/>
  <c r="L43" i="17"/>
  <c r="Y44" i="46"/>
  <c r="Z44" i="46" s="1"/>
  <c r="AE48" i="17"/>
  <c r="AA31" i="46"/>
  <c r="AB31" i="46" s="1"/>
  <c r="AJ35" i="17"/>
  <c r="T31" i="46" s="1"/>
  <c r="AC31" i="46" s="1"/>
  <c r="V32" i="46"/>
  <c r="V48" i="46" s="1"/>
  <c r="AG28" i="46" s="1"/>
  <c r="U48" i="46"/>
  <c r="AE42" i="17"/>
  <c r="Y38" i="46"/>
  <c r="Z38" i="46" s="1"/>
  <c r="J26" i="46"/>
  <c r="L46" i="17"/>
  <c r="M26" i="46"/>
  <c r="AE139" i="17"/>
  <c r="AJ139" i="17" s="1"/>
  <c r="P48" i="46"/>
  <c r="AJ43" i="17"/>
  <c r="T39" i="46" s="1"/>
  <c r="AC39" i="46" s="1"/>
  <c r="S12" i="46"/>
  <c r="S26" i="46" s="1"/>
  <c r="Y43" i="46"/>
  <c r="Z43" i="46" s="1"/>
  <c r="P26" i="46"/>
  <c r="AE38" i="17"/>
  <c r="AJ38" i="17" s="1"/>
  <c r="J48" i="46"/>
  <c r="Y21" i="46"/>
  <c r="Z21" i="46" s="1"/>
  <c r="L26" i="46"/>
  <c r="L48" i="46"/>
  <c r="K26" i="46"/>
  <c r="O26" i="46" s="1"/>
  <c r="U26" i="46"/>
  <c r="AE144" i="17"/>
  <c r="AJ144" i="17" s="1"/>
  <c r="Y16" i="46"/>
  <c r="Z16" i="46" s="1"/>
  <c r="L137" i="17"/>
  <c r="Q137" i="17" s="1"/>
  <c r="Y22" i="46"/>
  <c r="Z22" i="46" s="1"/>
  <c r="AC44" i="17"/>
  <c r="AE44" i="17" s="1"/>
  <c r="AJ44" i="17" s="1"/>
  <c r="R26" i="46"/>
  <c r="AD17" i="46" s="1"/>
  <c r="AE39" i="17"/>
  <c r="L33" i="17"/>
  <c r="Q33" i="17" s="1"/>
  <c r="T7" i="46" s="1"/>
  <c r="AC7" i="46" s="1"/>
  <c r="AE146" i="17"/>
  <c r="AJ146" i="17" s="1"/>
  <c r="AE136" i="17"/>
  <c r="AJ136" i="17" s="1"/>
  <c r="Y31" i="46"/>
  <c r="Z31" i="46" s="1"/>
  <c r="T18" i="46"/>
  <c r="AC18" i="46" s="1"/>
  <c r="Y13" i="46"/>
  <c r="Z13" i="46" s="1"/>
  <c r="Z26" i="46" s="1"/>
  <c r="AC34" i="17"/>
  <c r="AD11" i="46"/>
  <c r="AF11" i="46" s="1"/>
  <c r="AD7" i="46"/>
  <c r="AD19" i="46"/>
  <c r="AD12" i="46"/>
  <c r="AD6" i="46"/>
  <c r="AD9" i="46"/>
  <c r="AD25" i="46"/>
  <c r="AF25" i="46" s="1"/>
  <c r="AD24" i="46"/>
  <c r="AF24" i="46" s="1"/>
  <c r="AD16" i="46"/>
  <c r="AJ137" i="17"/>
  <c r="T34" i="46" s="1"/>
  <c r="AC34" i="46" s="1"/>
  <c r="AA34" i="46"/>
  <c r="AB34" i="46" s="1"/>
  <c r="AJ37" i="17"/>
  <c r="T33" i="46" s="1"/>
  <c r="AC33" i="46" s="1"/>
  <c r="AA33" i="46"/>
  <c r="AB33" i="46" s="1"/>
  <c r="AA35" i="46"/>
  <c r="AB35" i="46" s="1"/>
  <c r="AJ39" i="17"/>
  <c r="T35" i="46" s="1"/>
  <c r="AC35" i="46" s="1"/>
  <c r="R48" i="46"/>
  <c r="Q10" i="46"/>
  <c r="O10" i="46"/>
  <c r="Q45" i="17"/>
  <c r="T19" i="46" s="1"/>
  <c r="AC19" i="46" s="1"/>
  <c r="AA19" i="46"/>
  <c r="AB19" i="46" s="1"/>
  <c r="AA36" i="46"/>
  <c r="AB36" i="46" s="1"/>
  <c r="AJ40" i="17"/>
  <c r="T36" i="46" s="1"/>
  <c r="AC36" i="46" s="1"/>
  <c r="AA7" i="46"/>
  <c r="AB7" i="46" s="1"/>
  <c r="S48" i="46"/>
  <c r="L36" i="17"/>
  <c r="Q34" i="46"/>
  <c r="O34" i="46"/>
  <c r="Y34" i="46"/>
  <c r="Z34" i="46" s="1"/>
  <c r="AA32" i="46"/>
  <c r="AB32" i="46" s="1"/>
  <c r="AJ36" i="17"/>
  <c r="T32" i="46" s="1"/>
  <c r="AC32" i="46" s="1"/>
  <c r="AJ47" i="17"/>
  <c r="Z28" i="46"/>
  <c r="L39" i="17"/>
  <c r="L42" i="17"/>
  <c r="Q43" i="17"/>
  <c r="T17" i="46" s="1"/>
  <c r="AC17" i="46" s="1"/>
  <c r="AA17" i="46"/>
  <c r="AB17" i="46" s="1"/>
  <c r="V26" i="46"/>
  <c r="AG7" i="46"/>
  <c r="AJ45" i="17"/>
  <c r="Q38" i="46"/>
  <c r="O38" i="46"/>
  <c r="I33" i="46"/>
  <c r="L38" i="17"/>
  <c r="L47" i="17"/>
  <c r="W26" i="46"/>
  <c r="X8" i="46"/>
  <c r="W48" i="46"/>
  <c r="X28" i="46"/>
  <c r="V186" i="15"/>
  <c r="Q9" i="46"/>
  <c r="Q26" i="46" s="1"/>
  <c r="O9" i="46"/>
  <c r="Q46" i="17"/>
  <c r="T20" i="46" s="1"/>
  <c r="AC20" i="46" s="1"/>
  <c r="AA20" i="46"/>
  <c r="AB20" i="46" s="1"/>
  <c r="AA44" i="46"/>
  <c r="AB44" i="46" s="1"/>
  <c r="AJ48" i="17"/>
  <c r="T44" i="46" s="1"/>
  <c r="AC44" i="46" s="1"/>
  <c r="AA8" i="46"/>
  <c r="AB8" i="46" s="1"/>
  <c r="Q34" i="17"/>
  <c r="T8" i="46" s="1"/>
  <c r="AC8" i="46" s="1"/>
  <c r="T9" i="46"/>
  <c r="AC9" i="46" s="1"/>
  <c r="L41" i="17"/>
  <c r="AJ32" i="17"/>
  <c r="T28" i="46" s="1"/>
  <c r="AA28" i="46"/>
  <c r="Q32" i="17"/>
  <c r="T6" i="46" s="1"/>
  <c r="AA6" i="46"/>
  <c r="AI22" i="46" l="1"/>
  <c r="AI15" i="46"/>
  <c r="AI12" i="46"/>
  <c r="AI7" i="46"/>
  <c r="AA37" i="46"/>
  <c r="AB37" i="46" s="1"/>
  <c r="T41" i="46"/>
  <c r="AC41" i="46" s="1"/>
  <c r="AD22" i="46"/>
  <c r="AD14" i="46"/>
  <c r="AF14" i="46" s="1"/>
  <c r="AD23" i="46"/>
  <c r="AF23" i="46" s="1"/>
  <c r="AD8" i="46"/>
  <c r="AJ42" i="17"/>
  <c r="T38" i="46" s="1"/>
  <c r="AC38" i="46" s="1"/>
  <c r="AA38" i="46"/>
  <c r="AB38" i="46" s="1"/>
  <c r="AA41" i="46"/>
  <c r="AB41" i="46" s="1"/>
  <c r="AD13" i="46"/>
  <c r="Q48" i="46"/>
  <c r="Y26" i="46"/>
  <c r="T43" i="46"/>
  <c r="AC43" i="46" s="1"/>
  <c r="AD18" i="46"/>
  <c r="AD20" i="46"/>
  <c r="AE34" i="17"/>
  <c r="Y30" i="46"/>
  <c r="Z30" i="46" s="1"/>
  <c r="AD10" i="46"/>
  <c r="AA43" i="46"/>
  <c r="AB43" i="46" s="1"/>
  <c r="AD15" i="46"/>
  <c r="AD21" i="46"/>
  <c r="AC28" i="46"/>
  <c r="AI6" i="46"/>
  <c r="AI8" i="46"/>
  <c r="AD40" i="46"/>
  <c r="AF40" i="46" s="1"/>
  <c r="AD29" i="46"/>
  <c r="AD34" i="46"/>
  <c r="AD32" i="46"/>
  <c r="AD42" i="46"/>
  <c r="AF42" i="46" s="1"/>
  <c r="AD36" i="46"/>
  <c r="AD43" i="46"/>
  <c r="AD44" i="46"/>
  <c r="AD46" i="46"/>
  <c r="AF46" i="46" s="1"/>
  <c r="AD47" i="46"/>
  <c r="AF47" i="46" s="1"/>
  <c r="AD37" i="46"/>
  <c r="AD35" i="46"/>
  <c r="AD41" i="46"/>
  <c r="AD31" i="46"/>
  <c r="AD33" i="46"/>
  <c r="AD39" i="46"/>
  <c r="AD30" i="46"/>
  <c r="AD38" i="46"/>
  <c r="AD45" i="46"/>
  <c r="AF45" i="46" s="1"/>
  <c r="AD28" i="46"/>
  <c r="AI10" i="46"/>
  <c r="X48" i="46"/>
  <c r="AH28" i="46"/>
  <c r="Q41" i="17"/>
  <c r="T15" i="46" s="1"/>
  <c r="AC15" i="46" s="1"/>
  <c r="AA15" i="46"/>
  <c r="AB15" i="46" s="1"/>
  <c r="AG32" i="46"/>
  <c r="AG33" i="46"/>
  <c r="AG36" i="46"/>
  <c r="AG41" i="46"/>
  <c r="AG43" i="46"/>
  <c r="AG35" i="46"/>
  <c r="AG38" i="46"/>
  <c r="AG34" i="46"/>
  <c r="Q42" i="17"/>
  <c r="T16" i="46" s="1"/>
  <c r="AC16" i="46" s="1"/>
  <c r="AA16" i="46"/>
  <c r="AB16" i="46" s="1"/>
  <c r="AI16" i="46"/>
  <c r="Q39" i="17"/>
  <c r="T13" i="46" s="1"/>
  <c r="AC13" i="46" s="1"/>
  <c r="AA13" i="46"/>
  <c r="AB13" i="46" s="1"/>
  <c r="AI21" i="46"/>
  <c r="X26" i="46"/>
  <c r="AH8" i="46" s="1"/>
  <c r="AI20" i="46"/>
  <c r="Q36" i="17"/>
  <c r="T10" i="46" s="1"/>
  <c r="AC10" i="46" s="1"/>
  <c r="AA10" i="46"/>
  <c r="AB10" i="46" s="1"/>
  <c r="AB28" i="46"/>
  <c r="Q38" i="17"/>
  <c r="T12" i="46" s="1"/>
  <c r="AC12" i="46" s="1"/>
  <c r="AA12" i="46"/>
  <c r="AB12" i="46" s="1"/>
  <c r="AE17" i="46"/>
  <c r="AF17" i="46" s="1"/>
  <c r="AE13" i="46"/>
  <c r="AF13" i="46" s="1"/>
  <c r="AE24" i="46"/>
  <c r="AE7" i="46"/>
  <c r="AF7" i="46" s="1"/>
  <c r="AE19" i="46"/>
  <c r="AF19" i="46" s="1"/>
  <c r="AE15" i="46"/>
  <c r="AF15" i="46" s="1"/>
  <c r="AE16" i="46"/>
  <c r="AF16" i="46" s="1"/>
  <c r="AE22" i="46"/>
  <c r="AE18" i="46"/>
  <c r="AF18" i="46" s="1"/>
  <c r="AE8" i="46"/>
  <c r="AF8" i="46" s="1"/>
  <c r="AE20" i="46"/>
  <c r="AF20" i="46" s="1"/>
  <c r="AE12" i="46"/>
  <c r="AE14" i="46"/>
  <c r="AE23" i="46"/>
  <c r="AE25" i="46"/>
  <c r="AE21" i="46"/>
  <c r="AE11" i="46"/>
  <c r="AE10" i="46"/>
  <c r="AF10" i="46" s="1"/>
  <c r="AE6" i="46"/>
  <c r="AF6" i="46" s="1"/>
  <c r="AE9" i="46"/>
  <c r="AF9" i="46" s="1"/>
  <c r="AE30" i="46"/>
  <c r="AE29" i="46"/>
  <c r="AE34" i="46"/>
  <c r="AE32" i="46"/>
  <c r="AE28" i="46"/>
  <c r="AE36" i="46"/>
  <c r="AE43" i="46"/>
  <c r="AE44" i="46"/>
  <c r="AE37" i="46"/>
  <c r="AE35" i="46"/>
  <c r="AE39" i="46"/>
  <c r="AE47" i="46"/>
  <c r="AE45" i="46"/>
  <c r="AE38" i="46"/>
  <c r="AE42" i="46"/>
  <c r="AE41" i="46"/>
  <c r="AE33" i="46"/>
  <c r="AE40" i="46"/>
  <c r="AE31" i="46"/>
  <c r="AE46" i="46"/>
  <c r="AF12" i="46"/>
  <c r="AB6" i="46"/>
  <c r="AC6" i="46"/>
  <c r="Q47" i="17"/>
  <c r="T21" i="46" s="1"/>
  <c r="AC21" i="46" s="1"/>
  <c r="AA21" i="46"/>
  <c r="AB21" i="46" s="1"/>
  <c r="AG9" i="46"/>
  <c r="AG8" i="46"/>
  <c r="AG16" i="46"/>
  <c r="AG10" i="46"/>
  <c r="AG21" i="46"/>
  <c r="AG18" i="46"/>
  <c r="Y48" i="46"/>
  <c r="AI17" i="46"/>
  <c r="Z48" i="46"/>
  <c r="AI13" i="46"/>
  <c r="AF22" i="46"/>
  <c r="T26" i="46" l="1"/>
  <c r="AF21" i="46"/>
  <c r="AJ34" i="17"/>
  <c r="T30" i="46" s="1"/>
  <c r="AA30" i="46"/>
  <c r="AI35" i="46"/>
  <c r="AI31" i="46"/>
  <c r="AI33" i="46"/>
  <c r="AI36" i="46"/>
  <c r="AI37" i="46"/>
  <c r="AI43" i="46"/>
  <c r="AI30" i="46"/>
  <c r="AI38" i="46"/>
  <c r="AI29" i="46"/>
  <c r="AI44" i="46"/>
  <c r="AI32" i="46"/>
  <c r="AI39" i="46"/>
  <c r="AI41" i="46"/>
  <c r="AF30" i="46"/>
  <c r="AI28" i="46"/>
  <c r="AH32" i="46"/>
  <c r="AH43" i="46"/>
  <c r="AH41" i="46"/>
  <c r="AH36" i="46"/>
  <c r="AH33" i="46"/>
  <c r="AF39" i="46"/>
  <c r="AF44" i="46"/>
  <c r="AH20" i="46"/>
  <c r="AH19" i="46"/>
  <c r="AH21" i="46"/>
  <c r="AF33" i="46"/>
  <c r="AF43" i="46"/>
  <c r="AF31" i="46"/>
  <c r="AF36" i="46"/>
  <c r="AI34" i="46"/>
  <c r="AF41" i="46"/>
  <c r="AC26" i="46"/>
  <c r="AJ12" i="46"/>
  <c r="AF28" i="46"/>
  <c r="AF35" i="46"/>
  <c r="AF32" i="46"/>
  <c r="AB26" i="46"/>
  <c r="AJ10" i="46" s="1"/>
  <c r="AF37" i="46"/>
  <c r="AF34" i="46"/>
  <c r="AA26" i="46"/>
  <c r="AF38" i="46"/>
  <c r="AF29" i="46"/>
  <c r="AB30" i="46" l="1"/>
  <c r="AB48" i="46" s="1"/>
  <c r="AJ38" i="46" s="1"/>
  <c r="AA48" i="46"/>
  <c r="AJ6" i="46"/>
  <c r="AC30" i="46"/>
  <c r="AC48" i="46" s="1"/>
  <c r="AK35" i="46" s="1"/>
  <c r="T48" i="46"/>
  <c r="AJ16" i="46"/>
  <c r="AK39" i="46"/>
  <c r="AK43" i="46"/>
  <c r="AJ39" i="46"/>
  <c r="AJ29" i="46"/>
  <c r="AJ31" i="46"/>
  <c r="AJ37" i="46"/>
  <c r="AJ44" i="46"/>
  <c r="AJ41" i="46"/>
  <c r="AJ36" i="46"/>
  <c r="AK23" i="46"/>
  <c r="AK25" i="46"/>
  <c r="AK24" i="46"/>
  <c r="AK14" i="46"/>
  <c r="AK11" i="46"/>
  <c r="AK18" i="46"/>
  <c r="AK22" i="46"/>
  <c r="AK20" i="46"/>
  <c r="AK9" i="46"/>
  <c r="AK7" i="46"/>
  <c r="AK8" i="46"/>
  <c r="AK19" i="46"/>
  <c r="AK17" i="46"/>
  <c r="AJ15" i="46"/>
  <c r="AK13" i="46"/>
  <c r="AK12" i="46"/>
  <c r="AK16" i="46"/>
  <c r="AJ22" i="46"/>
  <c r="AJ7" i="46"/>
  <c r="AJ20" i="46"/>
  <c r="AJ19" i="46"/>
  <c r="AJ8" i="46"/>
  <c r="AJ17" i="46"/>
  <c r="AK10" i="46"/>
  <c r="AJ21" i="46"/>
  <c r="AJ13" i="46"/>
  <c r="AK15" i="46"/>
  <c r="AK28" i="46"/>
  <c r="AK6" i="46"/>
  <c r="AK21" i="46"/>
  <c r="AK37" i="46" l="1"/>
  <c r="AK46" i="46"/>
  <c r="AJ34" i="46"/>
  <c r="AK42" i="46"/>
  <c r="AJ35" i="46"/>
  <c r="AK29" i="46"/>
  <c r="AK45" i="46"/>
  <c r="AJ28" i="46"/>
  <c r="AJ43" i="46"/>
  <c r="AJ30" i="46"/>
  <c r="AK38" i="46"/>
  <c r="AK30" i="46"/>
  <c r="AK40" i="46"/>
  <c r="AK33" i="46"/>
  <c r="AK32" i="46"/>
  <c r="AJ32" i="46"/>
  <c r="AK36" i="46"/>
  <c r="AJ33" i="46"/>
  <c r="AK34" i="46"/>
  <c r="AK31" i="46"/>
  <c r="AK41" i="46"/>
  <c r="AK47" i="46"/>
  <c r="AK44"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4AE95EA-F149-4005-97DE-6E0B4BE6F88B}">
      <text>
        <r>
          <rPr>
            <sz val="9"/>
            <color indexed="81"/>
            <rFont val="Tahoma"/>
            <family val="2"/>
          </rPr>
          <t>Tip:
Write in jam number as you go. For Star Passes,  write SP on next line and rewrite the lineup with Jammer and Pivot swapped.</t>
        </r>
      </text>
    </comment>
    <comment ref="B4" authorId="0" shapeId="0" xr:uid="{CA2F8CAF-3CD0-4895-B335-E2B7E8D66F23}">
      <text>
        <r>
          <rPr>
            <sz val="9"/>
            <color indexed="81"/>
            <rFont val="Tahoma"/>
            <family val="2"/>
          </rPr>
          <t>Put an "X" in this box if the team did not field a pivot for this jam.</t>
        </r>
      </text>
    </comment>
    <comment ref="C4" authorId="0" shapeId="0" xr:uid="{4E3473F5-48DA-44DB-9905-476BA101DA36}">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C2F31E7F-980F-49D4-9C5C-6C52E3C3DEF4}">
      <text>
        <r>
          <rPr>
            <sz val="9"/>
            <color indexed="81"/>
            <rFont val="Tahoma"/>
            <family val="2"/>
          </rPr>
          <t>Tip:
Write in jam number as you go. For Star Passes,  write SP on next line and rewrite the lineup with Jammer and Pivot swapped.</t>
        </r>
      </text>
    </comment>
    <comment ref="AK4" authorId="0" shapeId="0" xr:uid="{C034A87A-BA12-4A70-8669-D9736E99A2CE}">
      <text>
        <r>
          <rPr>
            <sz val="9"/>
            <color indexed="81"/>
            <rFont val="Tahoma"/>
            <family val="2"/>
          </rPr>
          <t>Put an "X" in this box if the team did not field a pivot for this jam.</t>
        </r>
      </text>
    </comment>
    <comment ref="AL4" authorId="0" shapeId="0" xr:uid="{0A4D0A40-17DC-4A80-B6F6-E78816E34D39}">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A491BC18-E749-4B9D-898D-F2AF14B39854}">
      <text>
        <r>
          <rPr>
            <sz val="9"/>
            <color indexed="81"/>
            <rFont val="Tahoma"/>
            <family val="2"/>
          </rPr>
          <t>Tip:
Write in jam number as you go. For Star Passes,  write SP on next line and rewrite the lineup with Jammer and Pivot swapped.</t>
        </r>
      </text>
    </comment>
    <comment ref="B48" authorId="0" shapeId="0" xr:uid="{9FDEAA4E-56CC-4548-B00C-EAF3541D6C02}">
      <text>
        <r>
          <rPr>
            <sz val="9"/>
            <color indexed="81"/>
            <rFont val="Tahoma"/>
            <family val="2"/>
          </rPr>
          <t>Put an "X" in this box if the team did not field a pivot for this jam.</t>
        </r>
      </text>
    </comment>
    <comment ref="C48" authorId="0" shapeId="0" xr:uid="{C690D8F6-396F-494C-9841-80F741E4AEF6}">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B4AB040F-3A46-4D7F-80A5-440335E0B0E8}">
      <text>
        <r>
          <rPr>
            <sz val="9"/>
            <color indexed="81"/>
            <rFont val="Tahoma"/>
            <family val="2"/>
          </rPr>
          <t>Tip:
Write in jam number as you go. For Star Passes,  write SP on next line and rewrite the lineup with Jammer and Pivot swapped.</t>
        </r>
      </text>
    </comment>
    <comment ref="AK48" authorId="0" shapeId="0" xr:uid="{535B7E15-35C8-4DCB-9176-64141D0DDAD2}">
      <text>
        <r>
          <rPr>
            <sz val="9"/>
            <color indexed="81"/>
            <rFont val="Tahoma"/>
            <family val="2"/>
          </rPr>
          <t>Put an "X" in this box if the team did not field a pivot for this jam.</t>
        </r>
      </text>
    </comment>
    <comment ref="AL48" authorId="0" shapeId="0" xr:uid="{B60AC493-6C96-46F6-B1C0-D86FBD4C8455}">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<sst xmlns="http://schemas.openxmlformats.org/spreadsheetml/2006/main" count="2512" uniqueCount="638">
  <si>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</si>
  <si>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</si>
  <si>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</si>
  <si>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</si>
  <si>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</si>
  <si>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</si>
  <si>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</si>
  <si>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</si>
  <si>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</si>
  <si>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</si>
  <si>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</si>
  <si>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</si>
  <si>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</si>
  <si>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</si>
  <si>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</si>
  <si>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</si>
  <si>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</si>
  <si>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</si>
  <si>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</si>
  <si>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</si>
  <si>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</si>
  <si>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</si>
  <si>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</si>
  <si>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</si>
  <si>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</si>
  <si>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</si>
  <si>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</si>
  <si>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</si>
  <si>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</si>
  <si>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</si>
  <si>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</si>
  <si>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</si>
  <si>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</si>
  <si>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</si>
  <si>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</si>
  <si>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</si>
  <si>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</si>
  <si>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</si>
  <si>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</si>
  <si>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</si>
  <si>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</si>
  <si>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</si>
  <si>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</si>
  <si>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</si>
  <si>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</si>
  <si>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</si>
  <si>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</si>
  <si>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</si>
  <si>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</si>
  <si>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</si>
  <si>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</si>
  <si>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</si>
  <si>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</si>
  <si>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</si>
  <si>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</si>
  <si>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</si>
  <si>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</si>
  <si>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</si>
  <si>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</si>
  <si>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</si>
  <si>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</si>
  <si>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</si>
  <si>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</si>
  <si>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</si>
  <si>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</si>
  <si>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</si>
  <si>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</si>
  <si>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</si>
  <si>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</si>
  <si>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</si>
  <si>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</si>
  <si>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</si>
  <si>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</si>
  <si>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</si>
  <si>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</si>
  <si>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</si>
  <si>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</si>
  <si>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</si>
  <si>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</si>
  <si>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</si>
  <si>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</si>
  <si>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</si>
  <si>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</si>
  <si>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</si>
  <si>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</si>
  <si>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</si>
  <si>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</si>
  <si>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</si>
  <si>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</si>
  <si>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</si>
  <si>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</si>
  <si>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</si>
  <si>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</si>
  <si>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</si>
  <si>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</si>
  <si>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</si>
  <si>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</si>
  <si>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</si>
  <si>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</si>
  <si>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</si>
  <si>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</si>
  <si>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</si>
  <si>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</si>
  <si>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Pivot</t>
  </si>
  <si>
    <t>Blocker</t>
  </si>
  <si>
    <t>Jammer</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</si>
  <si>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</si>
  <si>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</si>
  <si>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</si>
  <si>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</si>
  <si>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</si>
  <si>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</si>
  <si>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</si>
  <si>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</si>
  <si>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</si>
  <si>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</si>
  <si>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</si>
  <si>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</si>
  <si>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</si>
  <si>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</si>
  <si>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</si>
  <si>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</si>
  <si>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</si>
  <si>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</si>
  <si>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</si>
  <si>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</si>
  <si>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</si>
  <si>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</si>
  <si>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</si>
  <si>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</si>
  <si>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</si>
  <si>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</si>
  <si>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</si>
  <si>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</si>
  <si>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</si>
  <si>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</si>
  <si>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</si>
  <si>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</si>
  <si>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</si>
  <si>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</si>
  <si>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</si>
  <si>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</si>
  <si>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</si>
  <si>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</si>
  <si>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</si>
  <si>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</si>
  <si>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</si>
  <si>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</si>
  <si>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</si>
  <si>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</si>
  <si>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</si>
  <si>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</si>
  <si>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</si>
  <si>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</si>
  <si>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</si>
  <si>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</si>
  <si>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</si>
  <si>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</si>
  <si>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</si>
  <si>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</si>
  <si>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</si>
  <si>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</si>
  <si>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</si>
  <si>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</si>
  <si>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</si>
  <si>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</si>
  <si>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</si>
  <si>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</si>
  <si>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</si>
  <si>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</si>
  <si>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</si>
  <si>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Codes</t>
  </si>
  <si>
    <t>Delay of Game</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</si>
  <si>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</si>
  <si>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</si>
  <si>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</si>
  <si>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</si>
  <si>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</si>
  <si>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</si>
  <si>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</si>
  <si>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</si>
  <si>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</si>
  <si>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</si>
  <si>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</si>
  <si>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</si>
  <si>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</si>
  <si>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</si>
  <si>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</si>
  <si>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</si>
  <si>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</si>
  <si>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</si>
  <si>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</si>
  <si>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</si>
  <si>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</si>
  <si>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</si>
  <si>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</si>
  <si>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</si>
  <si>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</si>
  <si>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</si>
  <si>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</si>
  <si>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</si>
  <si>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</si>
  <si>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</si>
  <si>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</si>
  <si>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</si>
  <si>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</si>
  <si>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</si>
  <si>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</si>
  <si>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</si>
  <si>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</si>
  <si>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</si>
  <si>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</si>
  <si>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</si>
  <si>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</si>
  <si>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</si>
  <si>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</si>
  <si>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</si>
  <si>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</si>
  <si>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</si>
  <si>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</si>
  <si>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</si>
  <si>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</si>
  <si>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</si>
  <si>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</si>
  <si>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</si>
  <si>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</si>
  <si>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</si>
  <si>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</si>
  <si>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</si>
  <si>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</si>
  <si>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</si>
  <si>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</si>
  <si>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</si>
  <si>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</si>
  <si>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</si>
  <si>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</si>
  <si>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</si>
  <si>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</si>
  <si>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</si>
  <si>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</si>
  <si>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</si>
  <si>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</si>
  <si>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</si>
  <si>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</si>
  <si>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</si>
  <si>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</si>
  <si>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</si>
  <si>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</si>
  <si>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</si>
  <si>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</si>
  <si>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</si>
  <si>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</si>
  <si>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</si>
  <si>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</si>
  <si>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</si>
  <si>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</si>
  <si>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</si>
  <si>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</si>
  <si>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</si>
  <si>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</si>
  <si>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</si>
  <si>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</si>
  <si>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</si>
  <si>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</si>
  <si>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</si>
  <si>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</si>
  <si>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</si>
  <si>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</si>
  <si>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</si>
  <si>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</si>
  <si>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Section 1. VENUE &amp; ROSTERS (Complete BEFORE the game)</t>
  </si>
  <si>
    <t>Failure to Yield</t>
  </si>
  <si>
    <t>Non-Skater Expulsions</t>
  </si>
  <si>
    <t xml:space="preserve"> PENALTY / JAM #</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</si>
  <si>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</si>
  <si>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</si>
  <si>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</si>
  <si>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</si>
  <si>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</si>
  <si>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</si>
  <si>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</si>
  <si>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</si>
  <si>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</si>
  <si>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</si>
  <si>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</si>
  <si>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</si>
  <si>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</si>
  <si>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</si>
  <si>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</si>
  <si>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</si>
  <si>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</si>
  <si>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</si>
  <si>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</si>
  <si>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</si>
  <si>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</si>
  <si>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</si>
  <si>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</si>
  <si>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</si>
  <si>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</si>
  <si>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</si>
  <si>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</si>
  <si>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</si>
  <si>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</si>
  <si>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</si>
  <si>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</si>
  <si>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</si>
  <si>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</si>
  <si>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</si>
  <si>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</si>
  <si>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</si>
  <si>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</si>
  <si>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</si>
  <si>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</si>
  <si>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</si>
  <si>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</si>
  <si>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</si>
  <si>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</si>
  <si>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</si>
  <si>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</si>
  <si>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</si>
  <si>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</si>
  <si>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</si>
  <si>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</si>
  <si>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</si>
  <si>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</si>
  <si>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</si>
  <si>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</si>
  <si>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</si>
  <si>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</si>
  <si>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</si>
  <si>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</si>
  <si>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</si>
  <si>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</si>
  <si>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</si>
  <si>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</si>
  <si>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</si>
  <si>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</si>
  <si>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</si>
  <si>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</si>
  <si>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</si>
  <si>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</si>
  <si>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</si>
  <si>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</si>
  <si>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</si>
  <si>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</si>
  <si>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</si>
  <si>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</si>
  <si>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</si>
  <si>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</si>
  <si>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</si>
  <si>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</si>
  <si>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</si>
  <si>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</si>
  <si>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</si>
  <si>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</si>
  <si>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</si>
  <si>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</si>
  <si>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</si>
  <si>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</si>
  <si>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</si>
  <si>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</si>
  <si>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</si>
  <si>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</si>
  <si>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</si>
  <si>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</si>
  <si>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</si>
  <si>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</si>
  <si>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</si>
  <si>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</si>
  <si>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</si>
  <si>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</si>
  <si>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</si>
  <si>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</si>
  <si>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</si>
  <si>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</si>
  <si>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</si>
  <si>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</si>
  <si>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</si>
  <si>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</si>
  <si>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</si>
  <si>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</si>
  <si>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</si>
  <si>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</si>
  <si>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</si>
  <si>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</si>
  <si>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</si>
  <si>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</si>
  <si>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</si>
  <si>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</si>
  <si>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</si>
  <si>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</si>
  <si>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</si>
  <si>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</si>
  <si>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</si>
  <si>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</si>
  <si>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</si>
  <si>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</si>
  <si>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</si>
  <si>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</si>
  <si>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</si>
  <si>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</si>
  <si>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</si>
  <si>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</si>
  <si>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</si>
  <si>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</si>
  <si>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</si>
  <si>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</si>
  <si>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</si>
  <si>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</si>
  <si>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</si>
  <si>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</si>
  <si>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</si>
  <si>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</si>
  <si>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</si>
  <si>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</si>
  <si>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</si>
  <si>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</si>
  <si>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</si>
  <si>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</si>
  <si>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</si>
  <si>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</si>
  <si>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</si>
  <si>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</si>
  <si>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</si>
  <si>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</si>
  <si>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</si>
  <si>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</si>
  <si>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</si>
  <si>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</si>
  <si>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</si>
  <si>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</si>
  <si>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</si>
  <si>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</si>
  <si>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</si>
  <si>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</si>
  <si>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</si>
  <si>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</si>
  <si>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</si>
  <si>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</si>
  <si>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</si>
  <si>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</si>
  <si>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</si>
  <si>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</si>
  <si>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</si>
  <si>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</si>
  <si>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</si>
  <si>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</si>
  <si>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</si>
  <si>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</si>
  <si>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</si>
  <si>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</si>
  <si>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</si>
  <si>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</si>
  <si>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</si>
  <si>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</si>
  <si>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</si>
  <si>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</si>
  <si>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</si>
  <si>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</si>
  <si>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</si>
  <si>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</si>
  <si>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</si>
  <si>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</si>
  <si>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</si>
  <si>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</si>
  <si>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</si>
  <si>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</si>
  <si>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</si>
  <si>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</si>
  <si>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</si>
  <si>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</si>
  <si>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</si>
  <si>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</si>
  <si>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</si>
  <si>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</si>
  <si>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</si>
  <si>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</si>
  <si>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</si>
  <si>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</si>
  <si>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</si>
  <si>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</si>
  <si>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</si>
  <si>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</si>
  <si>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</si>
  <si>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</si>
  <si>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</si>
  <si>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</si>
  <si>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</si>
  <si>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</si>
  <si>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</si>
  <si>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</si>
  <si>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</si>
  <si>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</si>
  <si>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</si>
  <si>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</si>
  <si>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</si>
  <si>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</si>
  <si>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</si>
  <si>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</si>
  <si>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</si>
  <si>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</si>
  <si>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</si>
  <si>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</si>
  <si>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</si>
  <si>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</si>
  <si>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</si>
  <si>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</si>
  <si>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</si>
  <si>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</si>
  <si>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</si>
  <si>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</si>
  <si>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</si>
  <si>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</si>
  <si>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</si>
  <si>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Magic Elm Skateland</t>
  </si>
  <si>
    <t>Hanover</t>
  </si>
  <si>
    <t>PA</t>
  </si>
  <si>
    <t>Black Rose Rollers</t>
  </si>
  <si>
    <t>NO</t>
  </si>
  <si>
    <t>Double Demonz</t>
  </si>
  <si>
    <t>HARD</t>
  </si>
  <si>
    <t>Penalty Lineup Tracker</t>
  </si>
  <si>
    <t>Steel City Roller Derby</t>
  </si>
  <si>
    <t>Plot Twist</t>
  </si>
  <si>
    <t>Zuul</t>
  </si>
  <si>
    <t>Diamond Tiara</t>
  </si>
  <si>
    <t>DCRD</t>
  </si>
  <si>
    <t>Nova Star</t>
  </si>
  <si>
    <t>Snapp Sabbath</t>
  </si>
  <si>
    <t>Ms. Smack-Man</t>
  </si>
  <si>
    <t>Painsley Slays</t>
  </si>
  <si>
    <t>Windhover</t>
  </si>
  <si>
    <t>Bad Ash</t>
  </si>
  <si>
    <t>Kricut</t>
  </si>
  <si>
    <t>Moxytocin</t>
  </si>
  <si>
    <t>Registered Curse</t>
  </si>
  <si>
    <t>French Thwarter</t>
  </si>
  <si>
    <t>Lone Bone</t>
  </si>
  <si>
    <t>Coach Boom</t>
  </si>
  <si>
    <t>Reading Roller Derby</t>
  </si>
  <si>
    <t>Rollin 20s</t>
  </si>
  <si>
    <t>Wheels Bohr</t>
  </si>
  <si>
    <t>Wren In Doubt</t>
  </si>
  <si>
    <t>All Stars</t>
  </si>
  <si>
    <t>Black</t>
  </si>
  <si>
    <t>By O. Hazard</t>
  </si>
  <si>
    <t>Steel Hurtin'</t>
  </si>
  <si>
    <t>Yellow</t>
  </si>
  <si>
    <t>Strange</t>
  </si>
  <si>
    <t>101</t>
  </si>
  <si>
    <t>Jackie Treehorn</t>
  </si>
  <si>
    <t>123</t>
  </si>
  <si>
    <t>Bacon 4 Mercy</t>
  </si>
  <si>
    <t>1760</t>
  </si>
  <si>
    <t>202</t>
  </si>
  <si>
    <t>Thai-GRRR</t>
  </si>
  <si>
    <t>22</t>
  </si>
  <si>
    <t>Jen Hex</t>
  </si>
  <si>
    <t>221*</t>
  </si>
  <si>
    <t>Kili Pepa</t>
  </si>
  <si>
    <t>229</t>
  </si>
  <si>
    <t>Sparky</t>
  </si>
  <si>
    <t>237</t>
  </si>
  <si>
    <t>RedRum</t>
  </si>
  <si>
    <t>282*</t>
  </si>
  <si>
    <t>Dash Ketchum</t>
  </si>
  <si>
    <t>337</t>
  </si>
  <si>
    <t>Susan Sure Ram Dem</t>
  </si>
  <si>
    <t>352</t>
  </si>
  <si>
    <t>Olive Havoc</t>
  </si>
  <si>
    <t>36</t>
  </si>
  <si>
    <t>Meanie</t>
  </si>
  <si>
    <t>64</t>
  </si>
  <si>
    <t>Cruzella</t>
  </si>
  <si>
    <t>825</t>
  </si>
  <si>
    <t>Rot-N 2 the Cor-E</t>
  </si>
  <si>
    <t>83</t>
  </si>
  <si>
    <t>Grit n Barite</t>
  </si>
  <si>
    <t>84</t>
  </si>
  <si>
    <t>Phoenix</t>
  </si>
  <si>
    <t>86</t>
  </si>
  <si>
    <t>P.T.S.D.</t>
  </si>
  <si>
    <t>12</t>
  </si>
  <si>
    <t>Zorra</t>
  </si>
  <si>
    <t>16</t>
  </si>
  <si>
    <t>Dodge n Burn</t>
  </si>
  <si>
    <t>17</t>
  </si>
  <si>
    <t>Yinzey Lohan</t>
  </si>
  <si>
    <t>2</t>
  </si>
  <si>
    <t>Stark Raven</t>
  </si>
  <si>
    <t>219</t>
  </si>
  <si>
    <t>Dakota Slamming</t>
  </si>
  <si>
    <t>Dammit Jammit</t>
  </si>
  <si>
    <t>223</t>
  </si>
  <si>
    <t>Frida Killah</t>
  </si>
  <si>
    <t>23</t>
  </si>
  <si>
    <t>Towanda Woman</t>
  </si>
  <si>
    <t>25</t>
  </si>
  <si>
    <t>Ally McKill</t>
  </si>
  <si>
    <t>26</t>
  </si>
  <si>
    <t>49</t>
  </si>
  <si>
    <t>Gnarly Manson</t>
  </si>
  <si>
    <t>78</t>
  </si>
  <si>
    <t>Debbie Scary</t>
  </si>
  <si>
    <t>8*</t>
  </si>
  <si>
    <t>Venus Thigh Trap</t>
  </si>
  <si>
    <t>800</t>
  </si>
  <si>
    <t>Terminate Her</t>
  </si>
  <si>
    <t>88*</t>
  </si>
  <si>
    <t>Flux</t>
  </si>
  <si>
    <t>911</t>
  </si>
  <si>
    <t>Annie Mergency</t>
  </si>
  <si>
    <t>94</t>
  </si>
  <si>
    <t>The Kraken</t>
  </si>
  <si>
    <t>10:01.400</t>
  </si>
  <si>
    <t>SP</t>
  </si>
  <si>
    <t>SP*</t>
  </si>
  <si>
    <t>+</t>
  </si>
  <si>
    <t>-</t>
  </si>
  <si>
    <t>$</t>
  </si>
  <si>
    <t>TO</t>
  </si>
  <si>
    <t>Black; 10:01.400</t>
  </si>
  <si>
    <t>OFF</t>
  </si>
  <si>
    <t>3:23</t>
  </si>
  <si>
    <t>OR</t>
  </si>
  <si>
    <t>Yellow; 0:52.200</t>
  </si>
  <si>
    <t>23:48</t>
  </si>
  <si>
    <t>13:08.800</t>
  </si>
  <si>
    <t>1:50.400</t>
  </si>
  <si>
    <t>S</t>
  </si>
  <si>
    <t>Black; 23:48</t>
  </si>
  <si>
    <t>Yellow; 13:08.800</t>
  </si>
  <si>
    <t>Black; 10:47.800</t>
  </si>
  <si>
    <t>Yellow; 6:30.800</t>
  </si>
  <si>
    <t>2:33.200</t>
  </si>
  <si>
    <t>Yellow; 1:50.400</t>
  </si>
  <si>
    <r>
      <rPr>
        <strike/>
        <sz val="10"/>
        <rFont val="Calibri"/>
        <family val="2"/>
        <scheme val="minor"/>
      </rPr>
      <t>Zuul</t>
    </r>
    <r>
      <rPr>
        <sz val="10"/>
        <rFont val="Calibri"/>
        <family val="2"/>
        <scheme val="minor"/>
      </rPr>
      <t xml:space="preserve"> Begone Spengler</t>
    </r>
  </si>
  <si>
    <r>
      <rPr>
        <strike/>
        <sz val="10"/>
        <rFont val="Calibri"/>
        <family val="2"/>
        <scheme val="minor"/>
      </rPr>
      <t>Begone Spengler</t>
    </r>
    <r>
      <rPr>
        <sz val="10"/>
        <rFont val="Calibri"/>
        <family val="2"/>
        <scheme val="minor"/>
      </rPr>
      <t xml:space="preserve"> Zuul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</si>
</sst>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76"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sz val="11"/>
      <name val="Calibri"/>
      <family val="2"/>
    </font>
    <font>
      <sz val="10"/>
      <color theme="1"/>
      <name val="Calibri"/>
      <family val="2"/>
      <scheme val="minor"/>
    </font>
    <font>
      <b/>
      <sz val="10"/>
      <color theme="1"/>
      <name val="Calibri"/>
      <family val="2"/>
      <scheme val="minor"/>
    </font>
    <font>
      <strike/>
      <sz val="11"/>
      <name val="Calibri"/>
      <family val="2"/>
    </font>
    <font>
      <strike/>
      <sz val="10"/>
      <name val="Calibri"/>
      <family val="2"/>
      <scheme val="minor"/>
    </font>
  </fonts>
  <fills count="69">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11">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medium">
        <color indexed="8"/>
      </left>
      <right style="thin">
        <color indexed="8"/>
      </right>
      <top style="medium">
        <color indexed="8"/>
      </top>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690">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46"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4" fillId="0" borderId="0"/>
  </cellStyleXfs>
  <cellXfs count="1240">
    <xf numFmtId="0" fontId="0" fillId="0" borderId="0" xfId="0"/>
    <xf numFmtId="0" fontId="16" fillId="19" borderId="0" xfId="1" applyFont="1" applyFill="1" applyAlignment="1">
      <alignment horizontal="center" vertical="center" shrinkToFit="1"/>
    </xf>
    <xf numFmtId="0" fontId="17" fillId="0" borderId="0" xfId="1" applyFont="1" applyAlignment="1">
      <alignment shrinkToFit="1"/>
    </xf>
    <xf numFmtId="0" fontId="17" fillId="0" borderId="0" xfId="1" applyFont="1"/>
    <xf numFmtId="0" fontId="19" fillId="19" borderId="73" xfId="1" applyFont="1" applyFill="1" applyBorder="1" applyAlignment="1">
      <alignment horizontal="center" vertical="center" shrinkToFit="1"/>
    </xf>
    <xf numFmtId="0" fontId="20" fillId="5" borderId="28" xfId="1" applyFont="1" applyFill="1" applyBorder="1" applyAlignment="1">
      <alignment horizontal="center" vertical="center" wrapText="1"/>
    </xf>
    <xf numFmtId="0" fontId="17" fillId="0" borderId="0" xfId="1" applyFont="1" applyAlignment="1">
      <alignment vertical="center"/>
    </xf>
    <xf numFmtId="0" fontId="13" fillId="13" borderId="92" xfId="1" applyFont="1" applyFill="1" applyBorder="1" applyAlignment="1">
      <alignment horizontal="center" vertical="center" wrapText="1"/>
    </xf>
    <xf numFmtId="0" fontId="13" fillId="13" borderId="142" xfId="1" applyFont="1" applyFill="1" applyBorder="1" applyAlignment="1">
      <alignment horizontal="center" wrapText="1"/>
    </xf>
    <xf numFmtId="0" fontId="20" fillId="5" borderId="53" xfId="1" applyFont="1" applyFill="1" applyBorder="1" applyAlignment="1">
      <alignment horizontal="center" vertical="center" wrapText="1"/>
    </xf>
    <xf numFmtId="14" fontId="15" fillId="11" borderId="46" xfId="1" applyNumberFormat="1" applyFont="1" applyFill="1" applyBorder="1" applyAlignment="1">
      <alignment horizontal="center" vertical="center" shrinkToFit="1"/>
    </xf>
    <xf numFmtId="0" fontId="17" fillId="0" borderId="0" xfId="0" applyFont="1"/>
    <xf numFmtId="0" fontId="17" fillId="6" borderId="58" xfId="8" applyFont="1" applyFill="1" applyBorder="1" applyAlignment="1">
      <alignment horizontal="center" vertical="center"/>
    </xf>
    <xf numFmtId="0" fontId="17"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horizontal="center"/>
    </xf>
    <xf numFmtId="0" fontId="17" fillId="0" borderId="0" xfId="1" applyFont="1" applyAlignment="1">
      <alignment horizontal="center"/>
    </xf>
    <xf numFmtId="0" fontId="17" fillId="4" borderId="104" xfId="1" applyFont="1" applyFill="1" applyBorder="1" applyAlignment="1">
      <alignment horizontal="center" vertical="center"/>
    </xf>
    <xf numFmtId="0" fontId="23" fillId="0" borderId="29" xfId="1" applyFont="1" applyBorder="1" applyAlignment="1">
      <alignment horizontal="center" vertical="center"/>
    </xf>
    <xf numFmtId="0" fontId="23" fillId="0" borderId="4" xfId="1" applyFont="1" applyBorder="1" applyAlignment="1">
      <alignment horizontal="center" vertical="center"/>
    </xf>
    <xf numFmtId="0" fontId="17" fillId="0" borderId="0" xfId="1" applyFont="1" applyAlignment="1">
      <alignment horizontal="center" vertical="center"/>
    </xf>
    <xf numFmtId="0" fontId="23" fillId="0" borderId="162" xfId="1" applyFont="1" applyBorder="1" applyAlignment="1">
      <alignment horizontal="center" vertical="center"/>
    </xf>
    <xf numFmtId="0" fontId="17" fillId="0" borderId="163" xfId="1" applyFont="1" applyBorder="1" applyAlignment="1">
      <alignment horizontal="center" vertical="center"/>
    </xf>
    <xf numFmtId="2" fontId="17" fillId="28" borderId="163" xfId="1" applyNumberFormat="1" applyFont="1" applyFill="1" applyBorder="1" applyAlignment="1">
      <alignment horizontal="center" vertical="center"/>
    </xf>
    <xf numFmtId="2" fontId="17" fillId="28" borderId="164" xfId="1" applyNumberFormat="1" applyFont="1" applyFill="1" applyBorder="1" applyAlignment="1">
      <alignment horizontal="center" vertical="center"/>
    </xf>
    <xf numFmtId="0" fontId="23" fillId="21" borderId="126" xfId="1" applyFont="1" applyFill="1" applyBorder="1" applyAlignment="1">
      <alignment horizontal="center" vertical="center"/>
    </xf>
    <xf numFmtId="0" fontId="17" fillId="21" borderId="76" xfId="1" applyFont="1" applyFill="1" applyBorder="1" applyAlignment="1">
      <alignment horizontal="center" vertical="center"/>
    </xf>
    <xf numFmtId="2" fontId="17" fillId="27" borderId="76" xfId="1" applyNumberFormat="1" applyFont="1" applyFill="1" applyBorder="1" applyAlignment="1">
      <alignment horizontal="center" vertical="center"/>
    </xf>
    <xf numFmtId="2" fontId="17" fillId="27" borderId="127" xfId="1" applyNumberFormat="1" applyFont="1" applyFill="1" applyBorder="1" applyAlignment="1">
      <alignment horizontal="center" vertical="center"/>
    </xf>
    <xf numFmtId="0" fontId="17" fillId="0" borderId="152" xfId="1" applyFont="1" applyBorder="1"/>
    <xf numFmtId="0" fontId="17" fillId="0" borderId="153" xfId="1" applyFont="1" applyBorder="1"/>
    <xf numFmtId="0" fontId="17" fillId="0" borderId="154" xfId="1" applyFont="1" applyBorder="1"/>
    <xf numFmtId="0" fontId="17" fillId="0" borderId="155" xfId="1" applyFont="1" applyBorder="1"/>
    <xf numFmtId="0" fontId="17" fillId="0" borderId="58" xfId="1" applyFont="1" applyBorder="1"/>
    <xf numFmtId="0" fontId="17" fillId="0" borderId="139" xfId="1" applyFont="1" applyBorder="1"/>
    <xf numFmtId="0" fontId="17" fillId="0" borderId="73" xfId="1" applyFont="1" applyBorder="1"/>
    <xf numFmtId="0" fontId="17" fillId="0" borderId="74" xfId="1" applyFont="1" applyBorder="1"/>
    <xf numFmtId="0" fontId="20" fillId="4" borderId="130" xfId="1" applyFont="1" applyFill="1" applyBorder="1" applyAlignment="1">
      <alignment horizontal="center" vertical="center"/>
    </xf>
    <xf numFmtId="0" fontId="20" fillId="4" borderId="131" xfId="1" applyFont="1" applyFill="1" applyBorder="1" applyAlignment="1">
      <alignment horizontal="center" vertical="center"/>
    </xf>
    <xf numFmtId="0" fontId="20" fillId="4" borderId="132" xfId="1" applyFont="1" applyFill="1" applyBorder="1" applyAlignment="1">
      <alignment horizontal="center" vertical="center"/>
    </xf>
    <xf numFmtId="0" fontId="23" fillId="0" borderId="128" xfId="1" applyFont="1" applyBorder="1" applyAlignment="1">
      <alignment horizontal="center" vertical="center"/>
    </xf>
    <xf numFmtId="0" fontId="17" fillId="0" borderId="20" xfId="1" applyFont="1" applyBorder="1" applyAlignment="1">
      <alignment horizontal="center" vertical="center"/>
    </xf>
    <xf numFmtId="2" fontId="17" fillId="28" borderId="20" xfId="1" applyNumberFormat="1" applyFont="1" applyFill="1" applyBorder="1" applyAlignment="1">
      <alignment horizontal="center" vertical="center"/>
    </xf>
    <xf numFmtId="2" fontId="17" fillId="28" borderId="125" xfId="1" applyNumberFormat="1" applyFont="1" applyFill="1" applyBorder="1" applyAlignment="1">
      <alignment horizontal="center" vertical="center"/>
    </xf>
    <xf numFmtId="0" fontId="20" fillId="4" borderId="159" xfId="1" applyFont="1" applyFill="1" applyBorder="1" applyAlignment="1">
      <alignment horizontal="center" vertical="center"/>
    </xf>
    <xf numFmtId="0" fontId="20" fillId="4" borderId="41" xfId="1" applyFont="1" applyFill="1" applyBorder="1" applyAlignment="1">
      <alignment horizontal="center" vertical="center"/>
    </xf>
    <xf numFmtId="0" fontId="20" fillId="4" borderId="160" xfId="1" applyFont="1" applyFill="1" applyBorder="1" applyAlignment="1">
      <alignment horizontal="center" vertical="center"/>
    </xf>
    <xf numFmtId="0" fontId="17" fillId="0" borderId="0" xfId="1" applyFont="1" applyAlignment="1">
      <alignment horizontal="right" vertical="center" shrinkToFit="1"/>
    </xf>
    <xf numFmtId="0" fontId="20" fillId="4" borderId="147" xfId="1" applyFont="1" applyFill="1" applyBorder="1" applyAlignment="1">
      <alignment horizontal="center" vertical="center"/>
    </xf>
    <xf numFmtId="0" fontId="20" fillId="4" borderId="148" xfId="1" applyFont="1" applyFill="1" applyBorder="1" applyAlignment="1">
      <alignment horizontal="center" vertical="center"/>
    </xf>
    <xf numFmtId="0" fontId="17" fillId="18" borderId="124" xfId="1" applyFont="1" applyFill="1" applyBorder="1" applyAlignment="1">
      <alignment horizontal="center" vertical="center"/>
    </xf>
    <xf numFmtId="0" fontId="17" fillId="21" borderId="128" xfId="1" applyFont="1" applyFill="1" applyBorder="1" applyAlignment="1">
      <alignment horizontal="center" vertical="center"/>
    </xf>
    <xf numFmtId="0" fontId="17" fillId="21" borderId="20" xfId="1" applyFont="1" applyFill="1" applyBorder="1" applyAlignment="1">
      <alignment horizontal="center" vertical="center"/>
    </xf>
    <xf numFmtId="0" fontId="17" fillId="0" borderId="125" xfId="1" applyFont="1" applyBorder="1" applyAlignment="1">
      <alignment horizontal="center" vertical="center"/>
    </xf>
    <xf numFmtId="0" fontId="17" fillId="0" borderId="124" xfId="1" applyFont="1" applyBorder="1" applyAlignment="1">
      <alignment horizontal="center" vertical="center"/>
    </xf>
    <xf numFmtId="0" fontId="17" fillId="29" borderId="80" xfId="1" applyFont="1" applyFill="1" applyBorder="1" applyAlignment="1">
      <alignment horizontal="center" vertical="center"/>
    </xf>
    <xf numFmtId="0" fontId="17" fillId="29" borderId="76" xfId="1" applyFont="1" applyFill="1" applyBorder="1" applyAlignment="1">
      <alignment horizontal="center" vertical="center"/>
    </xf>
    <xf numFmtId="0" fontId="17" fillId="21" borderId="127" xfId="1" applyFont="1" applyFill="1" applyBorder="1" applyAlignment="1">
      <alignment horizontal="center" vertical="center"/>
    </xf>
    <xf numFmtId="0" fontId="23" fillId="0" borderId="0" xfId="1" applyFont="1" applyAlignment="1">
      <alignment horizontal="center"/>
    </xf>
    <xf numFmtId="0" fontId="17" fillId="2" borderId="0" xfId="1" applyFont="1" applyFill="1"/>
    <xf numFmtId="0" fontId="23" fillId="3" borderId="0" xfId="1" applyFont="1" applyFill="1" applyAlignment="1">
      <alignment horizontal="center" wrapText="1"/>
    </xf>
    <xf numFmtId="0" fontId="17" fillId="3" borderId="0" xfId="1" applyFont="1" applyFill="1"/>
    <xf numFmtId="0" fontId="33" fillId="3" borderId="0" xfId="2" applyFont="1" applyFill="1"/>
    <xf numFmtId="0" fontId="17" fillId="3" borderId="0" xfId="1" applyFont="1" applyFill="1" applyAlignment="1">
      <alignment horizontal="left"/>
    </xf>
    <xf numFmtId="0" fontId="17" fillId="0" borderId="0" xfId="8" applyFont="1"/>
    <xf numFmtId="0" fontId="21" fillId="4" borderId="21" xfId="1" applyFont="1" applyFill="1" applyBorder="1" applyAlignment="1">
      <alignment horizontal="center"/>
    </xf>
    <xf numFmtId="0" fontId="20" fillId="4" borderId="21" xfId="1" applyFont="1" applyFill="1" applyBorder="1" applyAlignment="1">
      <alignment horizontal="center"/>
    </xf>
    <xf numFmtId="0" fontId="21" fillId="4" borderId="13" xfId="1" applyFont="1" applyFill="1" applyBorder="1" applyAlignment="1">
      <alignment horizontal="center" vertical="center" textRotation="90" shrinkToFit="1"/>
    </xf>
    <xf numFmtId="0" fontId="21" fillId="4" borderId="26" xfId="1" applyFont="1" applyFill="1" applyBorder="1" applyAlignment="1">
      <alignment horizontal="center" vertical="center" textRotation="90" wrapText="1"/>
    </xf>
    <xf numFmtId="0" fontId="21" fillId="4" borderId="12" xfId="1" applyFont="1" applyFill="1" applyBorder="1" applyAlignment="1">
      <alignment horizontal="center" vertical="center" textRotation="90" shrinkToFit="1"/>
    </xf>
    <xf numFmtId="0" fontId="21" fillId="4" borderId="24" xfId="1" applyFont="1" applyFill="1" applyBorder="1" applyAlignment="1">
      <alignment horizontal="center" vertical="center" textRotation="90" shrinkToFit="1"/>
    </xf>
    <xf numFmtId="0" fontId="21" fillId="4" borderId="42" xfId="1" applyFont="1" applyFill="1" applyBorder="1" applyAlignment="1">
      <alignment horizontal="center" vertical="center" textRotation="90" shrinkToFit="1"/>
    </xf>
    <xf numFmtId="165" fontId="21" fillId="4" borderId="12" xfId="1" applyNumberFormat="1" applyFont="1" applyFill="1" applyBorder="1" applyAlignment="1">
      <alignment horizontal="center" vertical="center" textRotation="90" wrapText="1" shrinkToFit="1"/>
    </xf>
    <xf numFmtId="2" fontId="21" fillId="4" borderId="13" xfId="1" applyNumberFormat="1" applyFont="1" applyFill="1" applyBorder="1" applyAlignment="1">
      <alignment horizontal="center" vertical="center" textRotation="90" wrapText="1" shrinkToFit="1"/>
    </xf>
    <xf numFmtId="0" fontId="22" fillId="0" borderId="16" xfId="1" applyFont="1" applyBorder="1" applyAlignment="1">
      <alignment shrinkToFit="1"/>
    </xf>
    <xf numFmtId="0" fontId="22" fillId="3" borderId="16" xfId="1" applyFont="1" applyFill="1" applyBorder="1"/>
    <xf numFmtId="0" fontId="22" fillId="0" borderId="3" xfId="1" applyFont="1" applyBorder="1" applyAlignment="1">
      <alignment shrinkToFit="1"/>
    </xf>
    <xf numFmtId="0" fontId="22" fillId="3" borderId="3" xfId="1" applyFont="1" applyFill="1" applyBorder="1"/>
    <xf numFmtId="0" fontId="22" fillId="3" borderId="77" xfId="1" applyFont="1" applyFill="1" applyBorder="1"/>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0" xfId="1" applyFont="1"/>
    <xf numFmtId="0" fontId="26" fillId="0" borderId="0" xfId="1" applyFont="1" applyAlignment="1">
      <alignment horizontal="center"/>
    </xf>
    <xf numFmtId="49" fontId="26" fillId="0" borderId="0" xfId="1" applyNumberFormat="1" applyFont="1"/>
    <xf numFmtId="0" fontId="14" fillId="0" borderId="0" xfId="1" applyFont="1" applyAlignment="1">
      <alignment shrinkToFit="1"/>
    </xf>
    <xf numFmtId="49" fontId="17" fillId="0" borderId="0" xfId="1" applyNumberFormat="1" applyFont="1" applyAlignment="1">
      <alignment horizontal="center" vertical="center"/>
    </xf>
    <xf numFmtId="0" fontId="23" fillId="0" borderId="0" xfId="1" applyFont="1" applyAlignment="1">
      <alignment horizontal="center" vertical="center"/>
    </xf>
    <xf numFmtId="49" fontId="17" fillId="0" borderId="0" xfId="1" applyNumberFormat="1" applyFont="1" applyAlignment="1">
      <alignment vertical="center"/>
    </xf>
    <xf numFmtId="0" fontId="23" fillId="0" borderId="0" xfId="1" applyFont="1"/>
    <xf numFmtId="0" fontId="17" fillId="4" borderId="0" xfId="1" applyFont="1" applyFill="1"/>
    <xf numFmtId="0" fontId="17" fillId="9" borderId="140" xfId="1" applyFont="1" applyFill="1" applyBorder="1" applyAlignment="1">
      <alignment horizontal="center" vertical="top" shrinkToFit="1"/>
    </xf>
    <xf numFmtId="0" fontId="19" fillId="30" borderId="73" xfId="1" applyFont="1" applyFill="1" applyBorder="1" applyAlignment="1">
      <alignment horizontal="center" vertical="center" shrinkToFit="1"/>
    </xf>
    <xf numFmtId="0" fontId="25" fillId="0" borderId="0" xfId="0" applyFont="1"/>
    <xf numFmtId="0" fontId="41" fillId="0" borderId="0" xfId="0" applyFont="1" applyAlignment="1">
      <alignment vertical="center"/>
    </xf>
    <xf numFmtId="0" fontId="25" fillId="0" borderId="0" xfId="0" quotePrefix="1" applyFont="1" applyAlignment="1">
      <alignment horizontal="right"/>
    </xf>
    <xf numFmtId="0" fontId="25" fillId="0" borderId="0" xfId="0" quotePrefix="1" applyFont="1" applyAlignment="1">
      <alignment horizontal="right" vertical="top"/>
    </xf>
    <xf numFmtId="0" fontId="25" fillId="0" borderId="0" xfId="0" applyFont="1" applyAlignment="1">
      <alignment horizontal="left"/>
    </xf>
    <xf numFmtId="17" fontId="40" fillId="0" borderId="0" xfId="0" applyNumberFormat="1" applyFont="1" applyAlignment="1">
      <alignment horizontal="left"/>
    </xf>
    <xf numFmtId="14" fontId="25" fillId="0" borderId="0" xfId="0" applyNumberFormat="1" applyFont="1" applyAlignment="1">
      <alignment horizontal="center"/>
    </xf>
    <xf numFmtId="49" fontId="22" fillId="21" borderId="29" xfId="1" applyNumberFormat="1" applyFont="1" applyFill="1" applyBorder="1" applyAlignment="1">
      <alignment horizontal="center" shrinkToFit="1"/>
    </xf>
    <xf numFmtId="49" fontId="22" fillId="21" borderId="7" xfId="1" applyNumberFormat="1" applyFont="1" applyFill="1" applyBorder="1" applyAlignment="1">
      <alignment horizontal="center" shrinkToFit="1"/>
    </xf>
    <xf numFmtId="49" fontId="15" fillId="31" borderId="25" xfId="1" applyNumberFormat="1" applyFont="1" applyFill="1" applyBorder="1" applyAlignment="1">
      <alignment horizontal="center"/>
    </xf>
    <xf numFmtId="0" fontId="22" fillId="31" borderId="12" xfId="1" applyFont="1" applyFill="1" applyBorder="1" applyAlignment="1">
      <alignment horizontal="center" wrapText="1"/>
    </xf>
    <xf numFmtId="0" fontId="24" fillId="31" borderId="23" xfId="1" applyFont="1" applyFill="1" applyBorder="1" applyAlignment="1">
      <alignment horizontal="center" vertical="center" textRotation="90" shrinkToFit="1"/>
    </xf>
    <xf numFmtId="0" fontId="24" fillId="31" borderId="12" xfId="1" applyFont="1" applyFill="1" applyBorder="1" applyAlignment="1">
      <alignment horizontal="center" vertical="center" textRotation="90" shrinkToFit="1"/>
    </xf>
    <xf numFmtId="0" fontId="24" fillId="31" borderId="22" xfId="1" applyFont="1" applyFill="1" applyBorder="1" applyAlignment="1">
      <alignment horizontal="center" vertical="center" textRotation="90" shrinkToFit="1"/>
    </xf>
    <xf numFmtId="0" fontId="24" fillId="31" borderId="14" xfId="1" applyFont="1" applyFill="1" applyBorder="1" applyAlignment="1">
      <alignment horizontal="center" vertical="center" textRotation="90" shrinkToFit="1"/>
    </xf>
    <xf numFmtId="0" fontId="24" fillId="31" borderId="15" xfId="1" applyFont="1" applyFill="1" applyBorder="1" applyAlignment="1">
      <alignment horizontal="center" vertical="center" textRotation="90" wrapText="1"/>
    </xf>
    <xf numFmtId="0" fontId="24" fillId="31" borderId="23" xfId="1" applyFont="1" applyFill="1" applyBorder="1" applyAlignment="1">
      <alignment horizontal="center" vertical="center" textRotation="90" wrapText="1" shrinkToFit="1"/>
    </xf>
    <xf numFmtId="1" fontId="24" fillId="31" borderId="41" xfId="1" applyNumberFormat="1" applyFont="1" applyFill="1" applyBorder="1" applyAlignment="1">
      <alignment horizontal="center" vertical="center" textRotation="90" shrinkToFit="1"/>
    </xf>
    <xf numFmtId="0" fontId="24" fillId="31" borderId="12" xfId="1" applyFont="1" applyFill="1" applyBorder="1" applyAlignment="1">
      <alignment horizontal="center" vertical="center" textRotation="90" wrapText="1" shrinkToFit="1"/>
    </xf>
    <xf numFmtId="1" fontId="24" fillId="31" borderId="12" xfId="1" applyNumberFormat="1" applyFont="1" applyFill="1" applyBorder="1" applyAlignment="1">
      <alignment horizontal="center" vertical="center" textRotation="90" shrinkToFit="1"/>
    </xf>
    <xf numFmtId="165" fontId="24" fillId="31" borderId="12" xfId="1" applyNumberFormat="1" applyFont="1" applyFill="1" applyBorder="1" applyAlignment="1">
      <alignment horizontal="center" vertical="center" textRotation="90" wrapText="1" shrinkToFit="1"/>
    </xf>
    <xf numFmtId="2" fontId="24" fillId="31" borderId="12" xfId="1" applyNumberFormat="1" applyFont="1" applyFill="1" applyBorder="1" applyAlignment="1">
      <alignment horizontal="center" vertical="center" textRotation="90" wrapText="1" shrinkToFit="1"/>
    </xf>
    <xf numFmtId="0" fontId="22" fillId="31" borderId="14" xfId="1" applyFont="1" applyFill="1" applyBorder="1" applyAlignment="1">
      <alignment vertical="center"/>
    </xf>
    <xf numFmtId="9" fontId="22" fillId="31" borderId="35" xfId="1" applyNumberFormat="1" applyFont="1" applyFill="1" applyBorder="1" applyAlignment="1">
      <alignment vertical="center"/>
    </xf>
    <xf numFmtId="2" fontId="22" fillId="31" borderId="15" xfId="1" applyNumberFormat="1" applyFont="1" applyFill="1" applyBorder="1" applyAlignment="1">
      <alignment vertical="center"/>
    </xf>
    <xf numFmtId="0" fontId="22" fillId="31" borderId="22" xfId="1" applyFont="1" applyFill="1" applyBorder="1" applyAlignment="1">
      <alignment vertical="center"/>
    </xf>
    <xf numFmtId="9" fontId="22" fillId="31" borderId="14" xfId="1" applyNumberFormat="1" applyFont="1" applyFill="1" applyBorder="1" applyAlignment="1">
      <alignment vertical="center"/>
    </xf>
    <xf numFmtId="2" fontId="22" fillId="31" borderId="44" xfId="1" applyNumberFormat="1" applyFont="1" applyFill="1" applyBorder="1" applyAlignment="1">
      <alignment vertical="center"/>
    </xf>
    <xf numFmtId="1" fontId="22" fillId="31" borderId="22" xfId="1" applyNumberFormat="1" applyFont="1" applyFill="1" applyBorder="1" applyAlignment="1">
      <alignment vertical="center"/>
    </xf>
    <xf numFmtId="1" fontId="22" fillId="31" borderId="44" xfId="1" applyNumberFormat="1" applyFont="1" applyFill="1" applyBorder="1" applyAlignment="1">
      <alignment vertical="center"/>
    </xf>
    <xf numFmtId="1" fontId="22" fillId="31" borderId="14" xfId="1" applyNumberFormat="1" applyFont="1" applyFill="1" applyBorder="1" applyAlignment="1">
      <alignment vertical="center"/>
    </xf>
    <xf numFmtId="165" fontId="22" fillId="31" borderId="22" xfId="1" applyNumberFormat="1" applyFont="1" applyFill="1" applyBorder="1" applyAlignment="1">
      <alignment horizontal="center" vertical="center"/>
    </xf>
    <xf numFmtId="165" fontId="22" fillId="31" borderId="14" xfId="1" applyNumberFormat="1" applyFont="1" applyFill="1" applyBorder="1" applyAlignment="1">
      <alignment horizontal="center" vertical="center"/>
    </xf>
    <xf numFmtId="2" fontId="22" fillId="31" borderId="15" xfId="1" applyNumberFormat="1" applyFont="1" applyFill="1" applyBorder="1" applyAlignment="1">
      <alignment horizontal="center" vertical="center"/>
    </xf>
    <xf numFmtId="0" fontId="30" fillId="24" borderId="0" xfId="1" applyFont="1" applyFill="1" applyAlignment="1">
      <alignment horizontal="center" vertical="center" shrinkToFit="1"/>
    </xf>
    <xf numFmtId="0" fontId="17" fillId="34" borderId="0" xfId="1" applyFont="1" applyFill="1" applyAlignment="1">
      <alignment horizontal="center"/>
    </xf>
    <xf numFmtId="49" fontId="17" fillId="34" borderId="0" xfId="1" applyNumberFormat="1" applyFont="1" applyFill="1"/>
    <xf numFmtId="0" fontId="17" fillId="34" borderId="0" xfId="1" applyFont="1" applyFill="1"/>
    <xf numFmtId="0" fontId="17" fillId="21" borderId="0" xfId="1" applyFont="1" applyFill="1"/>
    <xf numFmtId="0" fontId="17" fillId="36" borderId="0" xfId="1" applyFont="1" applyFill="1"/>
    <xf numFmtId="0" fontId="17" fillId="32" borderId="0" xfId="1" applyFont="1" applyFill="1" applyAlignment="1">
      <alignment horizontal="center"/>
    </xf>
    <xf numFmtId="0" fontId="17" fillId="38" borderId="0" xfId="1" applyFont="1" applyFill="1" applyAlignment="1">
      <alignment horizontal="center"/>
    </xf>
    <xf numFmtId="0" fontId="17" fillId="39" borderId="0" xfId="1" applyFont="1" applyFill="1" applyAlignment="1">
      <alignment horizontal="center"/>
    </xf>
    <xf numFmtId="0" fontId="17" fillId="40" borderId="0" xfId="1" applyFont="1" applyFill="1"/>
    <xf numFmtId="0" fontId="17" fillId="41" borderId="0" xfId="1" applyFont="1" applyFill="1"/>
    <xf numFmtId="0" fontId="17" fillId="43" borderId="0" xfId="1" applyFont="1" applyFill="1" applyAlignment="1">
      <alignment horizontal="center"/>
    </xf>
    <xf numFmtId="0" fontId="17" fillId="42" borderId="0" xfId="1" applyFont="1" applyFill="1"/>
    <xf numFmtId="0" fontId="23" fillId="32" borderId="0" xfId="1" applyFont="1" applyFill="1" applyAlignment="1">
      <alignment horizontal="center" vertical="center"/>
    </xf>
    <xf numFmtId="0" fontId="38" fillId="32" borderId="0" xfId="1" applyFont="1" applyFill="1" applyAlignment="1">
      <alignment horizontal="center" vertical="center"/>
    </xf>
    <xf numFmtId="0" fontId="17" fillId="32" borderId="0" xfId="1" applyFont="1" applyFill="1" applyAlignment="1">
      <alignment horizontal="center" vertical="center"/>
    </xf>
    <xf numFmtId="0" fontId="17" fillId="54" borderId="0" xfId="1" applyFont="1" applyFill="1" applyAlignment="1">
      <alignment horizontal="center" vertical="center"/>
    </xf>
    <xf numFmtId="0" fontId="17" fillId="50" borderId="0" xfId="1" applyFont="1" applyFill="1" applyAlignment="1">
      <alignment horizontal="center" vertical="center"/>
    </xf>
    <xf numFmtId="0" fontId="17" fillId="45" borderId="0" xfId="1" applyFont="1" applyFill="1" applyAlignment="1">
      <alignment vertical="center"/>
    </xf>
    <xf numFmtId="0" fontId="17" fillId="45" borderId="0" xfId="1" applyFont="1" applyFill="1" applyAlignment="1">
      <alignment horizontal="center" vertical="center"/>
    </xf>
    <xf numFmtId="49" fontId="17" fillId="45" borderId="0" xfId="1" applyNumberFormat="1" applyFont="1" applyFill="1" applyAlignment="1">
      <alignment horizontal="center" vertical="center"/>
    </xf>
    <xf numFmtId="0" fontId="17" fillId="55" borderId="0" xfId="1" applyFont="1" applyFill="1" applyAlignment="1">
      <alignment horizontal="center" vertical="center"/>
    </xf>
    <xf numFmtId="0" fontId="17" fillId="55" borderId="0" xfId="1" applyFont="1" applyFill="1" applyAlignment="1">
      <alignment horizontal="center"/>
    </xf>
    <xf numFmtId="0" fontId="17" fillId="46" borderId="0" xfId="1" applyFont="1" applyFill="1" applyAlignment="1">
      <alignment horizontal="center" vertical="center"/>
    </xf>
    <xf numFmtId="0" fontId="17" fillId="56" borderId="0" xfId="1" applyFont="1" applyFill="1" applyAlignment="1">
      <alignment horizontal="center" vertical="center"/>
    </xf>
    <xf numFmtId="0" fontId="38" fillId="37" borderId="0" xfId="1" applyFont="1" applyFill="1" applyAlignment="1">
      <alignment horizontal="center" vertical="center"/>
    </xf>
    <xf numFmtId="0" fontId="17" fillId="37" borderId="0" xfId="1" applyFont="1" applyFill="1" applyAlignment="1">
      <alignment horizontal="center" vertical="center"/>
    </xf>
    <xf numFmtId="0" fontId="17" fillId="16" borderId="0" xfId="1" applyFont="1" applyFill="1" applyAlignment="1">
      <alignment horizontal="center" vertical="center"/>
    </xf>
    <xf numFmtId="0" fontId="17" fillId="43" borderId="0" xfId="1" applyFont="1" applyFill="1" applyAlignment="1">
      <alignment horizontal="center" vertical="center"/>
    </xf>
    <xf numFmtId="0" fontId="17" fillId="32" borderId="0" xfId="1" applyFont="1" applyFill="1" applyAlignment="1">
      <alignment vertical="center"/>
    </xf>
    <xf numFmtId="0" fontId="17" fillId="43" borderId="0" xfId="1" applyFont="1" applyFill="1" applyAlignment="1">
      <alignment vertical="center"/>
    </xf>
    <xf numFmtId="0" fontId="17" fillId="37" borderId="0" xfId="1" applyFont="1" applyFill="1" applyAlignment="1">
      <alignment horizontal="center"/>
    </xf>
    <xf numFmtId="0" fontId="17" fillId="35" borderId="0" xfId="1" applyFont="1" applyFill="1" applyAlignment="1">
      <alignment horizontal="center" vertical="center"/>
    </xf>
    <xf numFmtId="0" fontId="17" fillId="12" borderId="0" xfId="1" applyFont="1" applyFill="1" applyAlignment="1">
      <alignment horizontal="center" vertical="center"/>
    </xf>
    <xf numFmtId="167" fontId="15" fillId="11" borderId="32" xfId="1" applyNumberFormat="1" applyFont="1" applyFill="1" applyBorder="1" applyAlignment="1">
      <alignment horizontal="center" shrinkToFit="1"/>
    </xf>
    <xf numFmtId="0" fontId="23" fillId="3" borderId="0" xfId="1" applyFont="1" applyFill="1"/>
    <xf numFmtId="49" fontId="17" fillId="3" borderId="0" xfId="1" applyNumberFormat="1" applyFont="1" applyFill="1" applyAlignment="1">
      <alignment horizontal="right" wrapText="1"/>
    </xf>
    <xf numFmtId="14" fontId="17" fillId="57" borderId="0" xfId="1" applyNumberFormat="1" applyFont="1" applyFill="1" applyAlignment="1">
      <alignment horizontal="left"/>
    </xf>
    <xf numFmtId="14" fontId="17" fillId="57" borderId="73" xfId="1" applyNumberFormat="1" applyFont="1" applyFill="1" applyBorder="1" applyAlignment="1">
      <alignment horizontal="center"/>
    </xf>
    <xf numFmtId="0" fontId="25" fillId="57" borderId="0" xfId="0" applyFont="1" applyFill="1"/>
    <xf numFmtId="0" fontId="42" fillId="57" borderId="0" xfId="0" applyFont="1" applyFill="1" applyAlignment="1">
      <alignment horizontal="right"/>
    </xf>
    <xf numFmtId="0" fontId="25" fillId="57" borderId="0" xfId="0" applyFont="1" applyFill="1" applyAlignment="1">
      <alignment horizontal="left"/>
    </xf>
    <xf numFmtId="0" fontId="41" fillId="57" borderId="0" xfId="0" applyFont="1" applyFill="1" applyAlignment="1">
      <alignment vertical="center"/>
    </xf>
    <xf numFmtId="0" fontId="44" fillId="57" borderId="0" xfId="0" applyFont="1" applyFill="1"/>
    <xf numFmtId="0" fontId="17" fillId="0" borderId="61" xfId="0" applyFont="1" applyBorder="1" applyAlignment="1" applyProtection="1">
      <alignment horizontal="center" vertical="center"/>
      <protection locked="0"/>
    </xf>
    <xf numFmtId="0" fontId="17" fillId="0" borderId="62" xfId="0" applyFont="1" applyBorder="1" applyAlignment="1" applyProtection="1">
      <alignment horizontal="center" vertical="center"/>
      <protection locked="0"/>
    </xf>
    <xf numFmtId="0" fontId="17" fillId="0" borderId="63" xfId="0" applyFont="1" applyBorder="1" applyAlignment="1" applyProtection="1">
      <alignment horizontal="center" vertical="center"/>
      <protection locked="0"/>
    </xf>
    <xf numFmtId="0" fontId="17" fillId="0" borderId="115" xfId="0" applyFont="1" applyBorder="1" applyAlignment="1" applyProtection="1">
      <alignment horizontal="center" vertical="center"/>
      <protection locked="0"/>
    </xf>
    <xf numFmtId="0" fontId="17" fillId="0" borderId="116" xfId="0" applyFont="1" applyBorder="1" applyAlignment="1" applyProtection="1">
      <alignment horizontal="center" vertical="center"/>
      <protection locked="0"/>
    </xf>
    <xf numFmtId="0" fontId="17" fillId="0" borderId="117" xfId="0" applyFont="1" applyBorder="1" applyAlignment="1" applyProtection="1">
      <alignment horizontal="center" vertical="center"/>
      <protection locked="0"/>
    </xf>
    <xf numFmtId="0" fontId="17" fillId="21" borderId="66" xfId="8" applyFont="1" applyFill="1" applyBorder="1" applyAlignment="1" applyProtection="1">
      <alignment horizontal="center" vertical="center"/>
      <protection locked="0"/>
    </xf>
    <xf numFmtId="0" fontId="17" fillId="21" borderId="67" xfId="8" applyFont="1" applyFill="1" applyBorder="1" applyAlignment="1" applyProtection="1">
      <alignment horizontal="center" vertical="center"/>
      <protection locked="0"/>
    </xf>
    <xf numFmtId="0" fontId="17" fillId="21" borderId="68" xfId="8" applyFont="1" applyFill="1" applyBorder="1" applyAlignment="1" applyProtection="1">
      <alignment horizontal="center" vertical="center"/>
      <protection locked="0"/>
    </xf>
    <xf numFmtId="0" fontId="17" fillId="21" borderId="69" xfId="8" applyFont="1" applyFill="1" applyBorder="1" applyAlignment="1" applyProtection="1">
      <alignment horizontal="center" vertical="center"/>
      <protection locked="0"/>
    </xf>
    <xf numFmtId="0" fontId="17" fillId="21" borderId="134" xfId="8" applyFont="1" applyFill="1" applyBorder="1" applyAlignment="1" applyProtection="1">
      <alignment horizontal="center" vertical="center"/>
      <protection locked="0"/>
    </xf>
    <xf numFmtId="0" fontId="17" fillId="21" borderId="70" xfId="8" applyFont="1" applyFill="1" applyBorder="1" applyAlignment="1" applyProtection="1">
      <alignment horizontal="center" vertical="center"/>
      <protection locked="0"/>
    </xf>
    <xf numFmtId="0" fontId="17" fillId="21" borderId="107" xfId="8" applyFont="1" applyFill="1" applyBorder="1" applyAlignment="1" applyProtection="1">
      <alignment horizontal="center" vertical="center"/>
      <protection locked="0"/>
    </xf>
    <xf numFmtId="0" fontId="17" fillId="21" borderId="106" xfId="8" applyFont="1" applyFill="1" applyBorder="1" applyAlignment="1" applyProtection="1">
      <alignment horizontal="center" vertical="center"/>
      <protection locked="0"/>
    </xf>
    <xf numFmtId="0" fontId="17" fillId="21" borderId="105" xfId="8" applyFont="1" applyFill="1" applyBorder="1" applyAlignment="1" applyProtection="1">
      <alignment horizontal="center" vertical="center"/>
      <protection locked="0"/>
    </xf>
    <xf numFmtId="0" fontId="17" fillId="21" borderId="129" xfId="8" applyFont="1" applyFill="1" applyBorder="1" applyAlignment="1" applyProtection="1">
      <alignment horizontal="center" vertical="center"/>
      <protection locked="0"/>
    </xf>
    <xf numFmtId="0" fontId="34" fillId="4" borderId="15" xfId="1" applyFont="1" applyFill="1" applyBorder="1" applyAlignment="1">
      <alignment horizontal="center" vertical="center" wrapText="1"/>
    </xf>
    <xf numFmtId="0" fontId="45" fillId="4" borderId="23" xfId="1" applyFont="1" applyFill="1" applyBorder="1" applyAlignment="1">
      <alignment horizontal="center" vertical="center" textRotation="90"/>
    </xf>
    <xf numFmtId="0" fontId="45" fillId="4" borderId="12" xfId="1" applyFont="1" applyFill="1" applyBorder="1" applyAlignment="1">
      <alignment horizontal="center" vertical="center" textRotation="90"/>
    </xf>
    <xf numFmtId="0" fontId="45" fillId="4" borderId="24" xfId="1" applyFont="1" applyFill="1" applyBorder="1" applyAlignment="1">
      <alignment horizontal="center" vertical="center" textRotation="90"/>
    </xf>
    <xf numFmtId="0" fontId="34" fillId="4" borderId="25" xfId="1" applyFont="1" applyFill="1" applyBorder="1" applyAlignment="1">
      <alignment horizontal="center" vertical="center"/>
    </xf>
    <xf numFmtId="0" fontId="34" fillId="4" borderId="12" xfId="1" applyFont="1" applyFill="1" applyBorder="1" applyAlignment="1">
      <alignment horizontal="center" vertical="center"/>
    </xf>
    <xf numFmtId="0" fontId="34" fillId="4" borderId="26" xfId="1" applyFont="1" applyFill="1" applyBorder="1" applyAlignment="1">
      <alignment horizontal="center" vertical="center" wrapText="1"/>
    </xf>
    <xf numFmtId="0" fontId="34" fillId="4" borderId="27" xfId="1" applyFont="1" applyFill="1" applyBorder="1" applyAlignment="1">
      <alignment horizontal="center" vertical="center" wrapText="1"/>
    </xf>
    <xf numFmtId="0" fontId="19" fillId="8" borderId="0" xfId="0" applyFont="1" applyFill="1" applyAlignment="1">
      <alignment vertical="center"/>
    </xf>
    <xf numFmtId="0" fontId="17" fillId="0" borderId="0" xfId="0" applyFont="1" applyAlignment="1">
      <alignment horizontal="left"/>
    </xf>
    <xf numFmtId="49" fontId="17" fillId="0" borderId="0" xfId="0" quotePrefix="1" applyNumberFormat="1" applyFont="1" applyAlignment="1">
      <alignment horizontal="right"/>
    </xf>
    <xf numFmtId="0" fontId="17" fillId="57" borderId="0" xfId="0" applyFont="1" applyFill="1"/>
    <xf numFmtId="0" fontId="17" fillId="21" borderId="118" xfId="8" applyFont="1" applyFill="1" applyBorder="1" applyAlignment="1" applyProtection="1">
      <alignment horizontal="center" vertical="center"/>
      <protection locked="0"/>
    </xf>
    <xf numFmtId="0" fontId="17" fillId="21" borderId="136" xfId="8" applyFont="1" applyFill="1" applyBorder="1" applyAlignment="1" applyProtection="1">
      <alignment horizontal="center" vertical="center"/>
      <protection locked="0"/>
    </xf>
    <xf numFmtId="0" fontId="13" fillId="12" borderId="3" xfId="1" applyFont="1" applyFill="1" applyBorder="1" applyAlignment="1" applyProtection="1">
      <alignment horizontal="center"/>
      <protection locked="0"/>
    </xf>
    <xf numFmtId="0" fontId="13" fillId="12" borderId="77" xfId="1" applyFont="1" applyFill="1" applyBorder="1" applyAlignment="1" applyProtection="1">
      <alignment horizontal="center"/>
      <protection locked="0"/>
    </xf>
    <xf numFmtId="0" fontId="13" fillId="12" borderId="113" xfId="1" applyFont="1" applyFill="1" applyBorder="1" applyAlignment="1">
      <alignment horizontal="center"/>
    </xf>
    <xf numFmtId="0" fontId="13" fillId="13" borderId="45" xfId="1" applyFont="1" applyFill="1" applyBorder="1" applyAlignment="1">
      <alignment horizontal="center"/>
    </xf>
    <xf numFmtId="0" fontId="13" fillId="6" borderId="45" xfId="1" applyFont="1" applyFill="1" applyBorder="1" applyAlignment="1">
      <alignment horizontal="center"/>
    </xf>
    <xf numFmtId="1" fontId="13" fillId="13" borderId="7" xfId="1" applyNumberFormat="1" applyFont="1" applyFill="1" applyBorder="1" applyAlignment="1" applyProtection="1">
      <alignment horizontal="center"/>
      <protection locked="0"/>
    </xf>
    <xf numFmtId="49" fontId="13" fillId="12" borderId="18" xfId="1" applyNumberFormat="1" applyFont="1" applyFill="1" applyBorder="1" applyAlignment="1" applyProtection="1">
      <alignment horizontal="center"/>
      <protection locked="0"/>
    </xf>
    <xf numFmtId="0" fontId="13" fillId="13" borderId="7" xfId="1" applyFont="1" applyFill="1" applyBorder="1" applyAlignment="1" applyProtection="1">
      <alignment horizontal="center"/>
      <protection locked="0"/>
    </xf>
    <xf numFmtId="0" fontId="13" fillId="13" borderId="3" xfId="1" applyFont="1" applyFill="1" applyBorder="1" applyAlignment="1" applyProtection="1">
      <alignment horizontal="center"/>
      <protection locked="0"/>
    </xf>
    <xf numFmtId="0" fontId="13" fillId="13" borderId="18" xfId="1" applyFont="1" applyFill="1" applyBorder="1" applyAlignment="1" applyProtection="1">
      <alignment horizontal="center"/>
      <protection locked="0"/>
    </xf>
    <xf numFmtId="0" fontId="13" fillId="12" borderId="7" xfId="1" applyFont="1" applyFill="1" applyBorder="1" applyAlignment="1" applyProtection="1">
      <alignment horizontal="center"/>
      <protection locked="0"/>
    </xf>
    <xf numFmtId="0" fontId="13" fillId="0" borderId="3" xfId="1" applyFont="1" applyBorder="1" applyAlignment="1" applyProtection="1">
      <alignment horizontal="center"/>
      <protection locked="0"/>
    </xf>
    <xf numFmtId="0" fontId="13" fillId="0" borderId="77" xfId="1" applyFont="1" applyBorder="1" applyAlignment="1" applyProtection="1">
      <alignment horizontal="center"/>
      <protection locked="0"/>
    </xf>
    <xf numFmtId="0" fontId="13" fillId="0" borderId="112" xfId="1" applyFont="1" applyBorder="1" applyAlignment="1">
      <alignment horizontal="center"/>
    </xf>
    <xf numFmtId="0" fontId="13" fillId="0" borderId="110" xfId="1" applyFont="1" applyBorder="1" applyAlignment="1">
      <alignment horizontal="center"/>
    </xf>
    <xf numFmtId="0" fontId="13" fillId="12" borderId="18" xfId="1" applyFont="1" applyFill="1" applyBorder="1" applyAlignment="1" applyProtection="1">
      <alignment horizontal="center"/>
      <protection locked="0"/>
    </xf>
    <xf numFmtId="0" fontId="13" fillId="0" borderId="7" xfId="1" applyFont="1" applyBorder="1" applyAlignment="1" applyProtection="1">
      <alignment horizontal="center"/>
      <protection locked="0"/>
    </xf>
    <xf numFmtId="1" fontId="13" fillId="12" borderId="7" xfId="1" applyNumberFormat="1" applyFont="1" applyFill="1" applyBorder="1" applyAlignment="1" applyProtection="1">
      <alignment horizontal="center"/>
      <protection locked="0"/>
    </xf>
    <xf numFmtId="49" fontId="13" fillId="0" borderId="18" xfId="1" applyNumberFormat="1" applyFont="1" applyBorder="1" applyAlignment="1" applyProtection="1">
      <alignment horizontal="center"/>
      <protection locked="0"/>
    </xf>
    <xf numFmtId="0" fontId="13" fillId="12" borderId="111" xfId="1" applyFont="1" applyFill="1" applyBorder="1" applyAlignment="1">
      <alignment horizontal="center"/>
    </xf>
    <xf numFmtId="0" fontId="13" fillId="0" borderId="114" xfId="1" applyFont="1" applyBorder="1" applyAlignment="1">
      <alignment horizontal="center"/>
    </xf>
    <xf numFmtId="0" fontId="13" fillId="12" borderId="6" xfId="1" applyFont="1" applyFill="1" applyBorder="1" applyAlignment="1" applyProtection="1">
      <alignment horizontal="center"/>
      <protection locked="0"/>
    </xf>
    <xf numFmtId="0" fontId="13" fillId="12" borderId="29" xfId="1" applyFont="1" applyFill="1" applyBorder="1" applyAlignment="1" applyProtection="1">
      <alignment horizontal="center"/>
      <protection locked="0"/>
    </xf>
    <xf numFmtId="0" fontId="13" fillId="0" borderId="106" xfId="1" applyFont="1" applyBorder="1" applyAlignment="1" applyProtection="1">
      <alignment horizontal="center"/>
      <protection locked="0"/>
    </xf>
    <xf numFmtId="0" fontId="13" fillId="12" borderId="106" xfId="1" applyFont="1" applyFill="1" applyBorder="1" applyAlignment="1" applyProtection="1">
      <alignment horizontal="center"/>
      <protection locked="0"/>
    </xf>
    <xf numFmtId="0" fontId="13" fillId="12" borderId="141" xfId="1" applyFont="1" applyFill="1" applyBorder="1" applyAlignment="1" applyProtection="1">
      <alignment horizontal="center"/>
      <protection locked="0"/>
    </xf>
    <xf numFmtId="0" fontId="13" fillId="12" borderId="107" xfId="1" applyFont="1" applyFill="1" applyBorder="1" applyAlignment="1" applyProtection="1">
      <alignment horizontal="center"/>
      <protection locked="0"/>
    </xf>
    <xf numFmtId="0" fontId="13" fillId="0" borderId="141" xfId="1" applyFont="1" applyBorder="1" applyAlignment="1" applyProtection="1">
      <alignment horizontal="center"/>
      <protection locked="0"/>
    </xf>
    <xf numFmtId="0" fontId="13" fillId="0" borderId="107" xfId="1" applyFont="1" applyBorder="1" applyAlignment="1" applyProtection="1">
      <alignment horizontal="center"/>
      <protection locked="0"/>
    </xf>
    <xf numFmtId="0" fontId="13" fillId="13" borderId="85" xfId="1" applyFont="1" applyFill="1" applyBorder="1" applyAlignment="1" applyProtection="1">
      <alignment horizontal="center"/>
      <protection locked="0"/>
    </xf>
    <xf numFmtId="0" fontId="13" fillId="12" borderId="75" xfId="1" applyFont="1" applyFill="1" applyBorder="1" applyAlignment="1" applyProtection="1">
      <alignment horizontal="center"/>
      <protection locked="0"/>
    </xf>
    <xf numFmtId="0" fontId="13" fillId="12" borderId="76" xfId="1" applyFont="1" applyFill="1" applyBorder="1" applyAlignment="1" applyProtection="1">
      <alignment horizontal="center"/>
      <protection locked="0"/>
    </xf>
    <xf numFmtId="0" fontId="13" fillId="0" borderId="75" xfId="1" applyFont="1" applyBorder="1" applyAlignment="1" applyProtection="1">
      <alignment horizontal="center"/>
      <protection locked="0"/>
    </xf>
    <xf numFmtId="0" fontId="13" fillId="0" borderId="76" xfId="1" applyFont="1" applyBorder="1" applyAlignment="1" applyProtection="1">
      <alignment horizontal="center"/>
      <protection locked="0"/>
    </xf>
    <xf numFmtId="0" fontId="13" fillId="0" borderId="113" xfId="1" applyFont="1" applyBorder="1" applyAlignment="1">
      <alignment horizontal="center"/>
    </xf>
    <xf numFmtId="49" fontId="13" fillId="0" borderId="108" xfId="1" applyNumberFormat="1" applyFont="1" applyBorder="1" applyAlignment="1" applyProtection="1">
      <alignment horizontal="center"/>
      <protection locked="0"/>
    </xf>
    <xf numFmtId="0" fontId="13" fillId="12" borderId="108" xfId="1" applyFont="1" applyFill="1" applyBorder="1" applyAlignment="1" applyProtection="1">
      <alignment horizontal="center"/>
      <protection locked="0"/>
    </xf>
    <xf numFmtId="0" fontId="13" fillId="13" borderId="107" xfId="1" applyFont="1" applyFill="1" applyBorder="1" applyAlignment="1" applyProtection="1">
      <alignment horizontal="center"/>
      <protection locked="0"/>
    </xf>
    <xf numFmtId="0" fontId="13" fillId="13" borderId="75" xfId="1" applyFont="1" applyFill="1" applyBorder="1" applyAlignment="1" applyProtection="1">
      <alignment horizontal="center"/>
      <protection locked="0"/>
    </xf>
    <xf numFmtId="49" fontId="13" fillId="12" borderId="85" xfId="1" applyNumberFormat="1" applyFont="1" applyFill="1" applyBorder="1" applyAlignment="1" applyProtection="1">
      <alignment horizontal="center" wrapText="1"/>
      <protection locked="0"/>
    </xf>
    <xf numFmtId="0" fontId="13" fillId="13" borderId="76" xfId="1" applyFont="1" applyFill="1" applyBorder="1" applyAlignment="1" applyProtection="1">
      <alignment horizontal="center"/>
      <protection locked="0"/>
    </xf>
    <xf numFmtId="49" fontId="13" fillId="12" borderId="108" xfId="1" applyNumberFormat="1" applyFont="1" applyFill="1" applyBorder="1" applyAlignment="1" applyProtection="1">
      <alignment horizontal="center"/>
      <protection locked="0"/>
    </xf>
    <xf numFmtId="0" fontId="13" fillId="13" borderId="106" xfId="1" applyFont="1" applyFill="1" applyBorder="1" applyAlignment="1" applyProtection="1">
      <alignment horizontal="center"/>
      <protection locked="0"/>
    </xf>
    <xf numFmtId="0" fontId="13" fillId="13" borderId="83" xfId="1" applyFont="1" applyFill="1" applyBorder="1" applyAlignment="1">
      <alignment horizontal="center"/>
    </xf>
    <xf numFmtId="0" fontId="13" fillId="12" borderId="85" xfId="1" applyFont="1" applyFill="1" applyBorder="1" applyAlignment="1" applyProtection="1">
      <alignment horizontal="center"/>
      <protection locked="0"/>
    </xf>
    <xf numFmtId="49" fontId="13" fillId="0" borderId="85" xfId="1" applyNumberFormat="1" applyFont="1" applyBorder="1" applyAlignment="1" applyProtection="1">
      <alignment horizontal="center" wrapText="1"/>
      <protection locked="0"/>
    </xf>
    <xf numFmtId="0" fontId="14" fillId="13" borderId="144" xfId="1" applyFont="1" applyFill="1" applyBorder="1" applyAlignment="1">
      <alignment horizontal="center" vertical="center"/>
    </xf>
    <xf numFmtId="0" fontId="14" fillId="13" borderId="146" xfId="1" applyFont="1" applyFill="1" applyBorder="1" applyAlignment="1">
      <alignment horizontal="center" vertical="center"/>
    </xf>
    <xf numFmtId="0" fontId="13" fillId="5" borderId="120" xfId="1" applyFont="1" applyFill="1" applyBorder="1" applyAlignment="1">
      <alignment horizontal="center"/>
    </xf>
    <xf numFmtId="0" fontId="14" fillId="13" borderId="143" xfId="1" applyFont="1" applyFill="1" applyBorder="1" applyAlignment="1">
      <alignment horizontal="center" vertical="center"/>
    </xf>
    <xf numFmtId="0" fontId="22" fillId="13" borderId="145" xfId="1" applyFont="1" applyFill="1" applyBorder="1" applyAlignment="1">
      <alignment horizontal="center" vertical="center" wrapText="1"/>
    </xf>
    <xf numFmtId="0" fontId="13" fillId="14" borderId="88" xfId="1" applyFont="1" applyFill="1" applyBorder="1" applyAlignment="1">
      <alignment horizontal="center"/>
    </xf>
    <xf numFmtId="0" fontId="13" fillId="13" borderId="108" xfId="1" applyFont="1" applyFill="1" applyBorder="1" applyAlignment="1" applyProtection="1">
      <alignment horizontal="center"/>
      <protection locked="0"/>
    </xf>
    <xf numFmtId="0" fontId="14" fillId="13" borderId="109" xfId="1" applyFont="1" applyFill="1" applyBorder="1" applyAlignment="1">
      <alignment horizontal="center" vertical="center"/>
    </xf>
    <xf numFmtId="0" fontId="14" fillId="13" borderId="95" xfId="1" applyFont="1" applyFill="1" applyBorder="1" applyAlignment="1">
      <alignment horizontal="center" vertical="center"/>
    </xf>
    <xf numFmtId="49" fontId="13" fillId="0" borderId="17" xfId="1" applyNumberFormat="1" applyFont="1" applyBorder="1" applyAlignment="1" applyProtection="1">
      <alignment horizontal="center"/>
      <protection locked="0"/>
    </xf>
    <xf numFmtId="0" fontId="13" fillId="12" borderId="16" xfId="1" applyFont="1" applyFill="1" applyBorder="1" applyAlignment="1" applyProtection="1">
      <alignment horizontal="center"/>
      <protection locked="0"/>
    </xf>
    <xf numFmtId="0" fontId="13" fillId="0" borderId="16" xfId="1" applyFont="1" applyBorder="1" applyAlignment="1" applyProtection="1">
      <alignment horizontal="center"/>
      <protection locked="0"/>
    </xf>
    <xf numFmtId="0" fontId="13" fillId="0" borderId="101" xfId="1" applyFont="1" applyBorder="1" applyAlignment="1" applyProtection="1">
      <alignment horizontal="center"/>
      <protection locked="0"/>
    </xf>
    <xf numFmtId="0" fontId="13" fillId="12" borderId="17" xfId="1" applyFont="1" applyFill="1" applyBorder="1" applyAlignment="1" applyProtection="1">
      <alignment horizontal="center"/>
      <protection locked="0"/>
    </xf>
    <xf numFmtId="0" fontId="13" fillId="0" borderId="29" xfId="1" applyFont="1" applyBorder="1" applyAlignment="1" applyProtection="1">
      <alignment horizontal="center"/>
      <protection locked="0"/>
    </xf>
    <xf numFmtId="0" fontId="13" fillId="5" borderId="120" xfId="1" applyFont="1" applyFill="1" applyBorder="1" applyAlignment="1">
      <alignment horizontal="center" vertical="center"/>
    </xf>
    <xf numFmtId="0" fontId="13" fillId="13" borderId="38" xfId="1" applyFont="1" applyFill="1" applyBorder="1" applyAlignment="1">
      <alignment horizontal="center"/>
    </xf>
    <xf numFmtId="0" fontId="13" fillId="13" borderId="39" xfId="1" applyFont="1" applyFill="1" applyBorder="1" applyAlignment="1">
      <alignment horizontal="center"/>
    </xf>
    <xf numFmtId="1" fontId="13" fillId="13" borderId="107" xfId="1" applyNumberFormat="1" applyFont="1" applyFill="1" applyBorder="1" applyAlignment="1" applyProtection="1">
      <alignment horizontal="center"/>
      <protection locked="0"/>
    </xf>
    <xf numFmtId="0" fontId="13" fillId="12" borderId="105" xfId="1" applyFont="1" applyFill="1" applyBorder="1" applyAlignment="1" applyProtection="1">
      <alignment horizontal="center"/>
      <protection locked="0"/>
    </xf>
    <xf numFmtId="0" fontId="19" fillId="8" borderId="171" xfId="0" applyFont="1" applyFill="1" applyBorder="1" applyAlignment="1">
      <alignment horizontal="center"/>
    </xf>
    <xf numFmtId="0" fontId="19" fillId="8" borderId="172" xfId="0" quotePrefix="1" applyFont="1" applyFill="1" applyBorder="1" applyAlignment="1">
      <alignment horizontal="center"/>
    </xf>
    <xf numFmtId="0" fontId="19" fillId="8" borderId="172" xfId="0" applyFont="1" applyFill="1" applyBorder="1" applyAlignment="1">
      <alignment horizontal="center"/>
    </xf>
    <xf numFmtId="0" fontId="27" fillId="0" borderId="155" xfId="0" applyFont="1" applyBorder="1" applyAlignment="1">
      <alignment horizontal="center" vertical="center"/>
    </xf>
    <xf numFmtId="0" fontId="27" fillId="0" borderId="139" xfId="0" applyFont="1" applyBorder="1" applyAlignment="1">
      <alignment horizontal="center" vertical="center"/>
    </xf>
    <xf numFmtId="0" fontId="47" fillId="0" borderId="155" xfId="0" applyFont="1" applyBorder="1" applyAlignment="1">
      <alignment horizontal="center" vertical="center"/>
    </xf>
    <xf numFmtId="0" fontId="26" fillId="15" borderId="171" xfId="0" applyFont="1" applyFill="1" applyBorder="1" applyAlignment="1">
      <alignment horizontal="center" vertical="center"/>
    </xf>
    <xf numFmtId="0" fontId="26" fillId="17" borderId="171" xfId="0" applyFont="1" applyFill="1" applyBorder="1" applyAlignment="1">
      <alignment horizontal="center" vertical="center"/>
    </xf>
    <xf numFmtId="0" fontId="14" fillId="0" borderId="172" xfId="0" applyFont="1" applyBorder="1" applyAlignment="1">
      <alignment horizontal="center" vertical="center"/>
    </xf>
    <xf numFmtId="0" fontId="14" fillId="15" borderId="172" xfId="0" applyFont="1" applyFill="1" applyBorder="1" applyAlignment="1">
      <alignment horizontal="center" vertical="center"/>
    </xf>
    <xf numFmtId="0" fontId="26" fillId="15" borderId="172" xfId="0" applyFont="1" applyFill="1" applyBorder="1" applyAlignment="1">
      <alignment horizontal="center" vertical="center"/>
    </xf>
    <xf numFmtId="0" fontId="26" fillId="17" borderId="172" xfId="0" applyFont="1" applyFill="1" applyBorder="1" applyAlignment="1">
      <alignment horizontal="center" vertical="center"/>
    </xf>
    <xf numFmtId="0" fontId="13" fillId="12" borderId="90" xfId="1" applyFont="1" applyFill="1" applyBorder="1" applyAlignment="1" applyProtection="1">
      <alignment horizontal="center"/>
      <protection locked="0"/>
    </xf>
    <xf numFmtId="49" fontId="13" fillId="0" borderId="99" xfId="1" applyNumberFormat="1" applyFont="1" applyBorder="1" applyAlignment="1" applyProtection="1">
      <alignment horizontal="center" wrapText="1"/>
      <protection locked="0"/>
    </xf>
    <xf numFmtId="0" fontId="13" fillId="12" borderId="122" xfId="1" applyFont="1" applyFill="1" applyBorder="1" applyAlignment="1" applyProtection="1">
      <alignment horizontal="center"/>
      <protection locked="0"/>
    </xf>
    <xf numFmtId="0" fontId="13" fillId="12" borderId="99" xfId="1" applyFont="1" applyFill="1" applyBorder="1" applyAlignment="1" applyProtection="1">
      <alignment horizontal="center"/>
      <protection locked="0"/>
    </xf>
    <xf numFmtId="0" fontId="13" fillId="0" borderId="90" xfId="1" applyFont="1" applyBorder="1" applyAlignment="1" applyProtection="1">
      <alignment horizontal="center"/>
      <protection locked="0"/>
    </xf>
    <xf numFmtId="0" fontId="13" fillId="0" borderId="122" xfId="1" applyFont="1" applyBorder="1" applyAlignment="1" applyProtection="1">
      <alignment horizontal="center"/>
      <protection locked="0"/>
    </xf>
    <xf numFmtId="0" fontId="13" fillId="0" borderId="179" xfId="1" applyFont="1" applyBorder="1" applyAlignment="1" applyProtection="1">
      <alignment horizontal="center"/>
      <protection locked="0"/>
    </xf>
    <xf numFmtId="0" fontId="13" fillId="0" borderId="156" xfId="1" applyFont="1" applyBorder="1" applyAlignment="1">
      <alignment horizontal="center"/>
    </xf>
    <xf numFmtId="0" fontId="13" fillId="13" borderId="91" xfId="1" applyFont="1" applyFill="1" applyBorder="1" applyAlignment="1">
      <alignment horizontal="center"/>
    </xf>
    <xf numFmtId="0" fontId="13" fillId="6" borderId="39" xfId="1" applyFont="1" applyFill="1" applyBorder="1" applyAlignment="1">
      <alignment horizontal="center"/>
    </xf>
    <xf numFmtId="49" fontId="13" fillId="0" borderId="99" xfId="1" applyNumberFormat="1" applyFont="1" applyBorder="1" applyAlignment="1" applyProtection="1">
      <alignment horizontal="center"/>
      <protection locked="0"/>
    </xf>
    <xf numFmtId="0" fontId="48" fillId="0" borderId="0" xfId="0" applyFont="1"/>
    <xf numFmtId="49" fontId="14" fillId="58" borderId="172" xfId="0" applyNumberFormat="1" applyFont="1" applyFill="1" applyBorder="1" applyAlignment="1">
      <alignment horizontal="center" vertical="center"/>
    </xf>
    <xf numFmtId="49" fontId="14" fillId="0" borderId="172" xfId="0" applyNumberFormat="1" applyFont="1" applyBorder="1" applyAlignment="1">
      <alignment horizontal="center" vertical="center"/>
    </xf>
    <xf numFmtId="49" fontId="14" fillId="58" borderId="176" xfId="0" applyNumberFormat="1" applyFont="1" applyFill="1" applyBorder="1" applyAlignment="1">
      <alignment horizontal="center" vertical="center"/>
    </xf>
    <xf numFmtId="49" fontId="14" fillId="15" borderId="172" xfId="0" applyNumberFormat="1" applyFont="1" applyFill="1" applyBorder="1" applyAlignment="1">
      <alignment horizontal="center" vertical="center"/>
    </xf>
    <xf numFmtId="0" fontId="14" fillId="23" borderId="0" xfId="0" applyFont="1" applyFill="1" applyAlignment="1">
      <alignment horizontal="center" vertical="center"/>
    </xf>
    <xf numFmtId="0" fontId="19" fillId="8" borderId="173" xfId="0" applyFont="1" applyFill="1" applyBorder="1" applyAlignment="1">
      <alignment horizontal="center"/>
    </xf>
    <xf numFmtId="0" fontId="17" fillId="0" borderId="183" xfId="1" applyFont="1" applyBorder="1"/>
    <xf numFmtId="0" fontId="20" fillId="4" borderId="153" xfId="1" applyFont="1" applyFill="1" applyBorder="1" applyAlignment="1">
      <alignment horizontal="center" vertical="center"/>
    </xf>
    <xf numFmtId="0" fontId="14" fillId="13" borderId="199" xfId="1" applyFont="1" applyFill="1" applyBorder="1" applyAlignment="1">
      <alignment horizontal="center" vertical="center" shrinkToFit="1"/>
    </xf>
    <xf numFmtId="0" fontId="14" fillId="13" borderId="200" xfId="1" applyFont="1" applyFill="1" applyBorder="1" applyAlignment="1">
      <alignment horizontal="center" vertical="center" shrinkToFit="1"/>
    </xf>
    <xf numFmtId="0" fontId="14" fillId="13" borderId="201" xfId="1" applyFont="1" applyFill="1" applyBorder="1" applyAlignment="1">
      <alignment horizontal="center" vertical="center" shrinkToFit="1"/>
    </xf>
    <xf numFmtId="0" fontId="13" fillId="5" borderId="202" xfId="1" applyFont="1" applyFill="1" applyBorder="1" applyAlignment="1">
      <alignment horizontal="center" vertical="center"/>
    </xf>
    <xf numFmtId="49" fontId="13" fillId="12" borderId="108" xfId="1" applyNumberFormat="1" applyFont="1" applyFill="1" applyBorder="1" applyAlignment="1" applyProtection="1">
      <alignment horizontal="center" wrapText="1"/>
      <protection locked="0"/>
    </xf>
    <xf numFmtId="0" fontId="14" fillId="13" borderId="203" xfId="1" applyFont="1" applyFill="1" applyBorder="1" applyAlignment="1">
      <alignment horizontal="center" vertical="center"/>
    </xf>
    <xf numFmtId="0" fontId="14" fillId="13" borderId="204" xfId="1" applyFont="1" applyFill="1" applyBorder="1" applyAlignment="1">
      <alignment horizontal="center" vertical="center" shrinkToFit="1"/>
    </xf>
    <xf numFmtId="0" fontId="14" fillId="13" borderId="205" xfId="1" applyFont="1" applyFill="1" applyBorder="1" applyAlignment="1">
      <alignment horizontal="center" vertical="center"/>
    </xf>
    <xf numFmtId="0" fontId="14" fillId="13" borderId="200" xfId="1" applyFont="1" applyFill="1" applyBorder="1" applyAlignment="1">
      <alignment horizontal="center" vertical="center"/>
    </xf>
    <xf numFmtId="0" fontId="14" fillId="13" borderId="206" xfId="1" applyFont="1" applyFill="1" applyBorder="1" applyAlignment="1">
      <alignment horizontal="center" vertical="center"/>
    </xf>
    <xf numFmtId="0" fontId="14" fillId="13" borderId="207" xfId="1" applyFont="1" applyFill="1" applyBorder="1" applyAlignment="1">
      <alignment horizontal="center" vertical="center"/>
    </xf>
    <xf numFmtId="0" fontId="14" fillId="13" borderId="208" xfId="1" applyFont="1" applyFill="1" applyBorder="1" applyAlignment="1">
      <alignment horizontal="center" vertical="center"/>
    </xf>
    <xf numFmtId="0" fontId="14" fillId="13" borderId="169" xfId="1" applyFont="1" applyFill="1" applyBorder="1" applyAlignment="1">
      <alignment horizontal="center" vertical="center"/>
    </xf>
    <xf numFmtId="0" fontId="14" fillId="13" borderId="209" xfId="1" applyFont="1" applyFill="1" applyBorder="1" applyAlignment="1">
      <alignment horizontal="center" vertical="center" shrinkToFit="1"/>
    </xf>
    <xf numFmtId="0" fontId="14" fillId="13" borderId="209" xfId="1" applyFont="1" applyFill="1" applyBorder="1" applyAlignment="1">
      <alignment horizontal="center" vertical="center"/>
    </xf>
    <xf numFmtId="0" fontId="14" fillId="13" borderId="201" xfId="1" applyFont="1" applyFill="1" applyBorder="1" applyAlignment="1">
      <alignment horizontal="center" vertical="center"/>
    </xf>
    <xf numFmtId="0" fontId="14" fillId="13" borderId="174" xfId="1" applyFont="1" applyFill="1" applyBorder="1" applyAlignment="1">
      <alignment horizontal="center" vertical="center"/>
    </xf>
    <xf numFmtId="0" fontId="14" fillId="13" borderId="210" xfId="1" applyFont="1" applyFill="1" applyBorder="1" applyAlignment="1">
      <alignment horizontal="center" vertical="center"/>
    </xf>
    <xf numFmtId="0" fontId="14" fillId="13" borderId="211" xfId="1" applyFont="1" applyFill="1" applyBorder="1" applyAlignment="1">
      <alignment horizontal="center" vertical="center"/>
    </xf>
    <xf numFmtId="0" fontId="22" fillId="13" borderId="210" xfId="1" applyFont="1" applyFill="1" applyBorder="1" applyAlignment="1">
      <alignment horizontal="center" vertical="center" wrapText="1"/>
    </xf>
    <xf numFmtId="0" fontId="14" fillId="13" borderId="212" xfId="1" applyFont="1" applyFill="1" applyBorder="1" applyAlignment="1">
      <alignment horizontal="center" vertical="center"/>
    </xf>
    <xf numFmtId="0" fontId="14" fillId="13" borderId="213" xfId="1" applyFont="1" applyFill="1" applyBorder="1" applyAlignment="1">
      <alignment horizontal="center" vertical="center"/>
    </xf>
    <xf numFmtId="0" fontId="19" fillId="8" borderId="0" xfId="0" applyFont="1" applyFill="1" applyAlignment="1">
      <alignment horizontal="center" vertical="center"/>
    </xf>
    <xf numFmtId="0" fontId="19" fillId="8" borderId="155" xfId="0" applyFont="1" applyFill="1" applyBorder="1" applyAlignment="1">
      <alignment horizontal="center" vertical="center"/>
    </xf>
    <xf numFmtId="0" fontId="16" fillId="24" borderId="0" xfId="8" applyFont="1" applyFill="1" applyAlignment="1">
      <alignment horizontal="center" vertical="center" shrinkToFit="1"/>
    </xf>
    <xf numFmtId="0" fontId="19" fillId="24" borderId="0" xfId="8" applyFont="1" applyFill="1" applyAlignment="1">
      <alignment horizontal="center" vertical="center" shrinkToFit="1"/>
    </xf>
    <xf numFmtId="0" fontId="17" fillId="0" borderId="214" xfId="0" applyFont="1" applyBorder="1" applyAlignment="1" applyProtection="1">
      <alignment horizontal="center" vertical="center"/>
      <protection locked="0"/>
    </xf>
    <xf numFmtId="0" fontId="17" fillId="0" borderId="215" xfId="0" applyFont="1" applyBorder="1" applyAlignment="1" applyProtection="1">
      <alignment horizontal="center" vertical="center"/>
      <protection locked="0"/>
    </xf>
    <xf numFmtId="0" fontId="17" fillId="0" borderId="180" xfId="0" applyFont="1" applyBorder="1" applyAlignment="1" applyProtection="1">
      <alignment horizontal="center" vertical="center"/>
      <protection locked="0"/>
    </xf>
    <xf numFmtId="0" fontId="17" fillId="0" borderId="59" xfId="0" applyFont="1" applyBorder="1" applyAlignment="1" applyProtection="1">
      <alignment horizontal="center" vertical="center"/>
      <protection locked="0"/>
    </xf>
    <xf numFmtId="0" fontId="17" fillId="0" borderId="216" xfId="0" applyFont="1" applyBorder="1" applyAlignment="1" applyProtection="1">
      <alignment horizontal="center" vertical="center"/>
      <protection locked="0"/>
    </xf>
    <xf numFmtId="0" fontId="17" fillId="0" borderId="217" xfId="0" applyFont="1" applyBorder="1" applyAlignment="1" applyProtection="1">
      <alignment horizontal="center" vertical="center"/>
      <protection locked="0"/>
    </xf>
    <xf numFmtId="0" fontId="17" fillId="21" borderId="218" xfId="8" applyFont="1" applyFill="1" applyBorder="1" applyAlignment="1" applyProtection="1">
      <alignment horizontal="center" vertical="center"/>
      <protection locked="0"/>
    </xf>
    <xf numFmtId="0" fontId="17" fillId="21" borderId="219" xfId="8" applyFont="1" applyFill="1" applyBorder="1" applyAlignment="1" applyProtection="1">
      <alignment horizontal="center" vertical="center"/>
      <protection locked="0"/>
    </xf>
    <xf numFmtId="0" fontId="17" fillId="21" borderId="220" xfId="8" applyFont="1" applyFill="1" applyBorder="1" applyAlignment="1" applyProtection="1">
      <alignment horizontal="center" vertical="center"/>
      <protection locked="0"/>
    </xf>
    <xf numFmtId="0" fontId="17" fillId="21" borderId="197" xfId="8" applyFont="1" applyFill="1" applyBorder="1" applyAlignment="1" applyProtection="1">
      <alignment horizontal="center" vertical="center"/>
      <protection locked="0"/>
    </xf>
    <xf numFmtId="0" fontId="17" fillId="21" borderId="8" xfId="8" applyFont="1" applyFill="1" applyBorder="1" applyAlignment="1" applyProtection="1">
      <alignment horizontal="center" vertical="center"/>
      <protection locked="0"/>
    </xf>
    <xf numFmtId="0" fontId="17" fillId="22" borderId="95" xfId="8" applyFont="1" applyFill="1" applyBorder="1" applyAlignment="1">
      <alignment horizontal="center"/>
    </xf>
    <xf numFmtId="0" fontId="31" fillId="0" borderId="0" xfId="8" applyFont="1" applyAlignment="1">
      <alignment horizontal="center" vertical="center"/>
    </xf>
    <xf numFmtId="0" fontId="36" fillId="4" borderId="90" xfId="8" applyFont="1" applyFill="1" applyBorder="1" applyAlignment="1">
      <alignment horizontal="center"/>
    </xf>
    <xf numFmtId="0" fontId="28" fillId="4" borderId="90" xfId="8" applyFont="1" applyFill="1" applyBorder="1" applyAlignment="1">
      <alignment horizontal="center" textRotation="90" wrapText="1"/>
    </xf>
    <xf numFmtId="0" fontId="28" fillId="4" borderId="97" xfId="8" applyFont="1" applyFill="1" applyBorder="1" applyAlignment="1">
      <alignment horizontal="center" textRotation="90" wrapText="1"/>
    </xf>
    <xf numFmtId="0" fontId="28" fillId="4" borderId="122" xfId="8" applyFont="1" applyFill="1" applyBorder="1" applyAlignment="1">
      <alignment horizontal="center" textRotation="90" wrapText="1"/>
    </xf>
    <xf numFmtId="0" fontId="28" fillId="4" borderId="185" xfId="8" applyFont="1" applyFill="1" applyBorder="1" applyAlignment="1">
      <alignment horizontal="center" textRotation="90" wrapText="1"/>
    </xf>
    <xf numFmtId="0" fontId="20" fillId="4" borderId="94" xfId="8" applyFont="1" applyFill="1" applyBorder="1" applyAlignment="1">
      <alignment horizontal="center" textRotation="90" wrapText="1"/>
    </xf>
    <xf numFmtId="0" fontId="28" fillId="4" borderId="93" xfId="8" applyFont="1" applyFill="1" applyBorder="1" applyAlignment="1">
      <alignment horizontal="center" textRotation="90" wrapText="1"/>
    </xf>
    <xf numFmtId="0" fontId="28" fillId="4" borderId="90" xfId="8" applyFont="1" applyFill="1" applyBorder="1" applyAlignment="1">
      <alignment horizontal="center" textRotation="90" wrapText="1" shrinkToFit="1"/>
    </xf>
    <xf numFmtId="0" fontId="28" fillId="4" borderId="122" xfId="8" applyFont="1" applyFill="1" applyBorder="1" applyAlignment="1">
      <alignment horizontal="center" textRotation="90" shrinkToFit="1"/>
    </xf>
    <xf numFmtId="0" fontId="28" fillId="4" borderId="99" xfId="8" applyFont="1" applyFill="1" applyBorder="1" applyAlignment="1">
      <alignment horizontal="center" textRotation="90" wrapText="1"/>
    </xf>
    <xf numFmtId="0" fontId="17" fillId="0" borderId="75" xfId="8" applyFont="1" applyBorder="1" applyAlignment="1">
      <alignment horizontal="center" vertical="center" shrinkToFit="1"/>
    </xf>
    <xf numFmtId="0" fontId="17" fillId="0" borderId="166" xfId="8" applyFont="1" applyBorder="1" applyAlignment="1">
      <alignment horizontal="center" vertical="center"/>
    </xf>
    <xf numFmtId="0" fontId="17" fillId="0" borderId="167" xfId="8" applyFont="1" applyBorder="1" applyAlignment="1">
      <alignment horizontal="center" vertical="center"/>
    </xf>
    <xf numFmtId="0" fontId="17" fillId="0" borderId="168" xfId="8" applyFont="1" applyBorder="1" applyAlignment="1">
      <alignment horizontal="center" vertical="center"/>
    </xf>
    <xf numFmtId="0" fontId="17" fillId="22" borderId="85" xfId="8" applyFont="1" applyFill="1" applyBorder="1" applyAlignment="1">
      <alignment horizontal="center" vertical="center"/>
    </xf>
    <xf numFmtId="0" fontId="17" fillId="22" borderId="83" xfId="8" applyFont="1" applyFill="1" applyBorder="1" applyAlignment="1">
      <alignment horizontal="center" vertical="center"/>
    </xf>
    <xf numFmtId="0" fontId="17" fillId="3" borderId="75" xfId="8" applyFont="1" applyFill="1" applyBorder="1" applyAlignment="1">
      <alignment horizontal="center" vertical="center"/>
    </xf>
    <xf numFmtId="0" fontId="17" fillId="22" borderId="76" xfId="8" applyFont="1" applyFill="1" applyBorder="1" applyAlignment="1">
      <alignment horizontal="center" vertical="center"/>
    </xf>
    <xf numFmtId="9" fontId="17" fillId="32" borderId="85" xfId="8" applyNumberFormat="1" applyFont="1" applyFill="1" applyBorder="1" applyAlignment="1">
      <alignment horizontal="center" vertical="center"/>
    </xf>
    <xf numFmtId="0" fontId="17" fillId="21" borderId="75" xfId="8" applyFont="1" applyFill="1" applyBorder="1" applyAlignment="1">
      <alignment horizontal="center" vertical="center" shrinkToFit="1"/>
    </xf>
    <xf numFmtId="0" fontId="17" fillId="33" borderId="166" xfId="8" applyFont="1" applyFill="1" applyBorder="1" applyAlignment="1">
      <alignment horizontal="center" vertical="center"/>
    </xf>
    <xf numFmtId="0" fontId="17" fillId="33" borderId="167" xfId="8" applyFont="1" applyFill="1" applyBorder="1" applyAlignment="1">
      <alignment horizontal="center" vertical="center"/>
    </xf>
    <xf numFmtId="0" fontId="17" fillId="33" borderId="168" xfId="8" applyFont="1" applyFill="1" applyBorder="1" applyAlignment="1">
      <alignment horizontal="center" vertical="center"/>
    </xf>
    <xf numFmtId="0" fontId="17" fillId="33" borderId="76" xfId="8" applyFont="1" applyFill="1" applyBorder="1" applyAlignment="1">
      <alignment horizontal="center" vertical="center"/>
    </xf>
    <xf numFmtId="0" fontId="17" fillId="31" borderId="85" xfId="8" applyFont="1" applyFill="1" applyBorder="1" applyAlignment="1">
      <alignment horizontal="center" vertical="center"/>
    </xf>
    <xf numFmtId="0" fontId="17" fillId="31" borderId="84" xfId="8" applyFont="1" applyFill="1" applyBorder="1" applyAlignment="1">
      <alignment horizontal="center" vertical="center"/>
    </xf>
    <xf numFmtId="0" fontId="17" fillId="21" borderId="75" xfId="8" applyFont="1" applyFill="1" applyBorder="1" applyAlignment="1">
      <alignment horizontal="center" vertical="center"/>
    </xf>
    <xf numFmtId="0" fontId="17" fillId="31" borderId="76" xfId="8" applyFont="1" applyFill="1" applyBorder="1" applyAlignment="1">
      <alignment horizontal="center" vertical="center"/>
    </xf>
    <xf numFmtId="9" fontId="17" fillId="44" borderId="85" xfId="8" applyNumberFormat="1" applyFont="1" applyFill="1" applyBorder="1" applyAlignment="1">
      <alignment horizontal="center" vertical="center"/>
    </xf>
    <xf numFmtId="0" fontId="17" fillId="0" borderId="0" xfId="8" applyFont="1" applyAlignment="1">
      <alignment vertical="center"/>
    </xf>
    <xf numFmtId="0" fontId="17" fillId="0" borderId="123" xfId="8" applyFont="1" applyBorder="1" applyAlignment="1">
      <alignment horizontal="center" vertical="center" shrinkToFit="1"/>
    </xf>
    <xf numFmtId="0" fontId="23" fillId="31" borderId="91" xfId="8" applyFont="1" applyFill="1" applyBorder="1" applyAlignment="1">
      <alignment horizontal="center" vertical="center"/>
    </xf>
    <xf numFmtId="0" fontId="17" fillId="31" borderId="90" xfId="8" applyFont="1" applyFill="1" applyBorder="1" applyAlignment="1">
      <alignment horizontal="center" vertical="center"/>
    </xf>
    <xf numFmtId="0" fontId="17" fillId="31" borderId="122" xfId="8" applyFont="1" applyFill="1" applyBorder="1" applyAlignment="1">
      <alignment horizontal="center"/>
    </xf>
    <xf numFmtId="9" fontId="17" fillId="31" borderId="122" xfId="8" applyNumberFormat="1" applyFont="1" applyFill="1" applyBorder="1" applyAlignment="1">
      <alignment horizontal="center"/>
    </xf>
    <xf numFmtId="0" fontId="17" fillId="21" borderId="106" xfId="8" applyFont="1" applyFill="1" applyBorder="1" applyAlignment="1">
      <alignment horizontal="center" vertical="center" shrinkToFit="1"/>
    </xf>
    <xf numFmtId="0" fontId="23" fillId="31" borderId="104" xfId="8" applyFont="1" applyFill="1" applyBorder="1" applyAlignment="1">
      <alignment horizontal="center" vertical="center"/>
    </xf>
    <xf numFmtId="0" fontId="17" fillId="31" borderId="96" xfId="8" applyFont="1" applyFill="1" applyBorder="1" applyAlignment="1">
      <alignment horizontal="center" vertical="center"/>
    </xf>
    <xf numFmtId="0" fontId="23" fillId="31" borderId="96" xfId="8" applyFont="1" applyFill="1" applyBorder="1" applyAlignment="1">
      <alignment horizontal="center" vertical="center"/>
    </xf>
    <xf numFmtId="0" fontId="17" fillId="21" borderId="202" xfId="8" applyFont="1" applyFill="1" applyBorder="1" applyAlignment="1">
      <alignment horizontal="right" vertical="center" wrapText="1"/>
    </xf>
    <xf numFmtId="0" fontId="17" fillId="0" borderId="0" xfId="8" applyFont="1" applyAlignment="1">
      <alignment horizontal="center"/>
    </xf>
    <xf numFmtId="0" fontId="17" fillId="34" borderId="0" xfId="8" applyFont="1" applyFill="1" applyAlignment="1">
      <alignment horizontal="center"/>
    </xf>
    <xf numFmtId="0" fontId="17" fillId="0" borderId="185" xfId="8" applyFont="1" applyBorder="1"/>
    <xf numFmtId="0" fontId="17" fillId="32" borderId="0" xfId="8" applyFont="1" applyFill="1" applyAlignment="1">
      <alignment horizontal="center"/>
    </xf>
    <xf numFmtId="0" fontId="17" fillId="38" borderId="0" xfId="8" applyFont="1" applyFill="1" applyAlignment="1">
      <alignment horizontal="center"/>
    </xf>
    <xf numFmtId="0" fontId="17" fillId="48" borderId="0" xfId="8" applyFont="1" applyFill="1" applyAlignment="1">
      <alignment horizontal="center" wrapText="1"/>
    </xf>
    <xf numFmtId="0" fontId="17" fillId="21" borderId="0" xfId="8" applyFont="1" applyFill="1" applyAlignment="1">
      <alignment horizontal="center"/>
    </xf>
    <xf numFmtId="0" fontId="17" fillId="21" borderId="165" xfId="8" applyFont="1" applyFill="1" applyBorder="1" applyAlignment="1">
      <alignment horizontal="center"/>
    </xf>
    <xf numFmtId="0" fontId="17" fillId="51" borderId="0" xfId="8" applyFont="1" applyFill="1" applyAlignment="1">
      <alignment horizontal="center"/>
    </xf>
    <xf numFmtId="0" fontId="17" fillId="8" borderId="135" xfId="8" applyFont="1" applyFill="1" applyBorder="1"/>
    <xf numFmtId="0" fontId="17" fillId="51" borderId="151" xfId="8" applyFont="1" applyFill="1" applyBorder="1" applyAlignment="1">
      <alignment horizontal="center"/>
    </xf>
    <xf numFmtId="0" fontId="17" fillId="36" borderId="0" xfId="8" applyFont="1" applyFill="1" applyAlignment="1">
      <alignment horizontal="center"/>
    </xf>
    <xf numFmtId="0" fontId="17" fillId="36" borderId="165" xfId="8" applyFont="1" applyFill="1" applyBorder="1" applyAlignment="1">
      <alignment horizontal="center"/>
    </xf>
    <xf numFmtId="0" fontId="17" fillId="52" borderId="0" xfId="8" applyFont="1" applyFill="1" applyAlignment="1">
      <alignment horizontal="center"/>
    </xf>
    <xf numFmtId="0" fontId="17" fillId="8" borderId="151" xfId="8" applyFont="1" applyFill="1" applyBorder="1"/>
    <xf numFmtId="0" fontId="17" fillId="52" borderId="151" xfId="8" applyFont="1" applyFill="1" applyBorder="1" applyAlignment="1">
      <alignment horizontal="center"/>
    </xf>
    <xf numFmtId="0" fontId="17" fillId="52" borderId="57" xfId="8" applyFont="1" applyFill="1" applyBorder="1" applyAlignment="1">
      <alignment horizontal="center"/>
    </xf>
    <xf numFmtId="0" fontId="17" fillId="60" borderId="0" xfId="8" applyFont="1" applyFill="1" applyAlignment="1">
      <alignment horizontal="center"/>
    </xf>
    <xf numFmtId="0" fontId="17" fillId="61" borderId="0" xfId="8" applyFont="1" applyFill="1" applyAlignment="1">
      <alignment horizontal="center"/>
    </xf>
    <xf numFmtId="0" fontId="17" fillId="7" borderId="0" xfId="8" applyFont="1" applyFill="1" applyAlignment="1">
      <alignment horizontal="center"/>
    </xf>
    <xf numFmtId="0" fontId="17" fillId="38" borderId="165" xfId="8" applyFont="1" applyFill="1" applyBorder="1" applyAlignment="1">
      <alignment horizontal="center"/>
    </xf>
    <xf numFmtId="0" fontId="20" fillId="53" borderId="0" xfId="8" applyFont="1" applyFill="1" applyAlignment="1">
      <alignment horizontal="center"/>
    </xf>
    <xf numFmtId="0" fontId="17" fillId="0" borderId="0" xfId="8" applyFont="1" applyAlignment="1">
      <alignment horizontal="center" wrapText="1"/>
    </xf>
    <xf numFmtId="0" fontId="17" fillId="47" borderId="0" xfId="8" applyFont="1" applyFill="1" applyAlignment="1">
      <alignment horizontal="center"/>
    </xf>
    <xf numFmtId="0" fontId="17" fillId="47" borderId="165" xfId="8" applyFont="1" applyFill="1" applyBorder="1" applyAlignment="1">
      <alignment horizontal="center"/>
    </xf>
    <xf numFmtId="0" fontId="23" fillId="0" borderId="0" xfId="0" applyFont="1"/>
    <xf numFmtId="0" fontId="22" fillId="31" borderId="122" xfId="8" applyFont="1" applyFill="1" applyBorder="1"/>
    <xf numFmtId="9" fontId="22" fillId="31" borderId="102" xfId="8" applyNumberFormat="1" applyFont="1" applyFill="1" applyBorder="1"/>
    <xf numFmtId="0" fontId="22" fillId="21" borderId="123" xfId="8" applyFont="1" applyFill="1" applyBorder="1"/>
    <xf numFmtId="2" fontId="22" fillId="31" borderId="101" xfId="8" applyNumberFormat="1" applyFont="1" applyFill="1" applyBorder="1"/>
    <xf numFmtId="0" fontId="22" fillId="31" borderId="124" xfId="8" applyFont="1" applyFill="1" applyBorder="1"/>
    <xf numFmtId="9" fontId="22" fillId="31" borderId="79" xfId="8" applyNumberFormat="1" applyFont="1" applyFill="1" applyBorder="1"/>
    <xf numFmtId="0" fontId="22" fillId="21" borderId="76" xfId="8" applyFont="1" applyFill="1" applyBorder="1"/>
    <xf numFmtId="2" fontId="22" fillId="31" borderId="77" xfId="8" applyNumberFormat="1" applyFont="1" applyFill="1" applyBorder="1"/>
    <xf numFmtId="0" fontId="22" fillId="31" borderId="20" xfId="8" applyFont="1" applyFill="1" applyBorder="1"/>
    <xf numFmtId="9" fontId="22" fillId="31" borderId="19" xfId="8" applyNumberFormat="1" applyFont="1" applyFill="1" applyBorder="1"/>
    <xf numFmtId="0" fontId="22" fillId="0" borderId="100" xfId="8" applyFont="1" applyBorder="1" applyAlignment="1">
      <alignment horizontal="center"/>
    </xf>
    <xf numFmtId="0" fontId="22" fillId="21" borderId="123" xfId="8" applyFont="1" applyFill="1" applyBorder="1" applyAlignment="1">
      <alignment horizontal="center"/>
    </xf>
    <xf numFmtId="0" fontId="22" fillId="0" borderId="123" xfId="8" applyFont="1" applyBorder="1" applyAlignment="1">
      <alignment horizontal="center"/>
    </xf>
    <xf numFmtId="9" fontId="22" fillId="21" borderId="123" xfId="8" applyNumberFormat="1" applyFont="1" applyFill="1" applyBorder="1"/>
    <xf numFmtId="1" fontId="22" fillId="31" borderId="123" xfId="8" applyNumberFormat="1" applyFont="1" applyFill="1" applyBorder="1"/>
    <xf numFmtId="2" fontId="22" fillId="31" borderId="123" xfId="8" applyNumberFormat="1" applyFont="1" applyFill="1" applyBorder="1"/>
    <xf numFmtId="0" fontId="22" fillId="3" borderId="100" xfId="8" applyFont="1" applyFill="1" applyBorder="1"/>
    <xf numFmtId="0" fontId="22" fillId="3" borderId="123" xfId="8" applyFont="1" applyFill="1" applyBorder="1"/>
    <xf numFmtId="2" fontId="22" fillId="3" borderId="123" xfId="8" applyNumberFormat="1" applyFont="1" applyFill="1" applyBorder="1" applyAlignment="1">
      <alignment shrinkToFit="1"/>
    </xf>
    <xf numFmtId="1" fontId="22" fillId="3" borderId="123" xfId="8" applyNumberFormat="1" applyFont="1" applyFill="1" applyBorder="1" applyAlignment="1">
      <alignment shrinkToFit="1"/>
    </xf>
    <xf numFmtId="165" fontId="22" fillId="3" borderId="100" xfId="8" applyNumberFormat="1" applyFont="1" applyFill="1" applyBorder="1"/>
    <xf numFmtId="165" fontId="22" fillId="3" borderId="123" xfId="8" applyNumberFormat="1" applyFont="1" applyFill="1" applyBorder="1"/>
    <xf numFmtId="165" fontId="22" fillId="21" borderId="123" xfId="8" applyNumberFormat="1" applyFont="1" applyFill="1" applyBorder="1"/>
    <xf numFmtId="2" fontId="22" fillId="32" borderId="123" xfId="8" applyNumberFormat="1" applyFont="1" applyFill="1" applyBorder="1"/>
    <xf numFmtId="2" fontId="22" fillId="32" borderId="101" xfId="8" applyNumberFormat="1" applyFont="1" applyFill="1" applyBorder="1"/>
    <xf numFmtId="2" fontId="22" fillId="32" borderId="102" xfId="8" applyNumberFormat="1" applyFont="1" applyFill="1" applyBorder="1"/>
    <xf numFmtId="0" fontId="22" fillId="0" borderId="75" xfId="8" applyFont="1" applyBorder="1" applyAlignment="1">
      <alignment horizontal="center"/>
    </xf>
    <xf numFmtId="0" fontId="22" fillId="21" borderId="76" xfId="8" applyFont="1" applyFill="1" applyBorder="1" applyAlignment="1">
      <alignment horizontal="center"/>
    </xf>
    <xf numFmtId="0" fontId="22" fillId="0" borderId="76" xfId="8" applyFont="1" applyBorder="1" applyAlignment="1">
      <alignment horizontal="center"/>
    </xf>
    <xf numFmtId="9" fontId="22" fillId="21" borderId="76" xfId="8" applyNumberFormat="1" applyFont="1" applyFill="1" applyBorder="1"/>
    <xf numFmtId="1" fontId="22" fillId="31" borderId="76" xfId="8" applyNumberFormat="1" applyFont="1" applyFill="1" applyBorder="1"/>
    <xf numFmtId="2" fontId="22" fillId="31" borderId="76" xfId="8" applyNumberFormat="1" applyFont="1" applyFill="1" applyBorder="1"/>
    <xf numFmtId="0" fontId="22" fillId="3" borderId="75" xfId="8" applyFont="1" applyFill="1" applyBorder="1"/>
    <xf numFmtId="0" fontId="22" fillId="3" borderId="76" xfId="8" applyFont="1" applyFill="1" applyBorder="1"/>
    <xf numFmtId="2" fontId="22" fillId="3" borderId="76" xfId="8" applyNumberFormat="1" applyFont="1" applyFill="1" applyBorder="1" applyAlignment="1">
      <alignment shrinkToFit="1"/>
    </xf>
    <xf numFmtId="1" fontId="22" fillId="3" borderId="76" xfId="8" applyNumberFormat="1" applyFont="1" applyFill="1" applyBorder="1" applyAlignment="1">
      <alignment shrinkToFit="1"/>
    </xf>
    <xf numFmtId="165" fontId="22" fillId="3" borderId="75" xfId="8" applyNumberFormat="1" applyFont="1" applyFill="1" applyBorder="1"/>
    <xf numFmtId="165" fontId="22" fillId="3" borderId="76" xfId="8" applyNumberFormat="1" applyFont="1" applyFill="1" applyBorder="1"/>
    <xf numFmtId="165" fontId="22" fillId="21" borderId="76" xfId="8" applyNumberFormat="1" applyFont="1" applyFill="1" applyBorder="1"/>
    <xf numFmtId="2" fontId="22" fillId="32" borderId="76" xfId="8" applyNumberFormat="1" applyFont="1" applyFill="1" applyBorder="1"/>
    <xf numFmtId="2" fontId="22" fillId="32" borderId="77" xfId="8" applyNumberFormat="1" applyFont="1" applyFill="1" applyBorder="1"/>
    <xf numFmtId="2" fontId="22" fillId="32" borderId="85" xfId="8" applyNumberFormat="1" applyFont="1" applyFill="1" applyBorder="1"/>
    <xf numFmtId="1" fontId="22" fillId="31" borderId="86" xfId="8" applyNumberFormat="1" applyFont="1" applyFill="1" applyBorder="1"/>
    <xf numFmtId="2" fontId="22" fillId="31" borderId="86" xfId="8" applyNumberFormat="1" applyFont="1" applyFill="1" applyBorder="1"/>
    <xf numFmtId="2" fontId="22" fillId="31" borderId="106" xfId="8" applyNumberFormat="1" applyFont="1" applyFill="1" applyBorder="1"/>
    <xf numFmtId="0" fontId="23" fillId="21" borderId="182" xfId="8" applyFont="1" applyFill="1" applyBorder="1" applyAlignment="1">
      <alignment vertical="top" shrinkToFit="1"/>
    </xf>
    <xf numFmtId="0" fontId="23" fillId="21" borderId="184" xfId="8" applyFont="1" applyFill="1" applyBorder="1" applyAlignment="1">
      <alignment vertical="top" shrinkToFit="1"/>
    </xf>
    <xf numFmtId="0" fontId="23" fillId="21" borderId="182" xfId="8" applyFont="1" applyFill="1" applyBorder="1" applyAlignment="1">
      <alignment vertical="center" shrinkToFit="1"/>
    </xf>
    <xf numFmtId="0" fontId="23" fillId="21" borderId="184" xfId="8" applyFont="1" applyFill="1" applyBorder="1" applyAlignment="1">
      <alignment vertical="center" shrinkToFit="1"/>
    </xf>
    <xf numFmtId="0" fontId="19" fillId="8" borderId="224" xfId="0" applyFont="1" applyFill="1" applyBorder="1" applyAlignment="1">
      <alignment vertical="center"/>
    </xf>
    <xf numFmtId="0" fontId="23" fillId="8" borderId="221" xfId="0" applyFont="1" applyFill="1" applyBorder="1" applyAlignment="1">
      <alignment vertical="center"/>
    </xf>
    <xf numFmtId="0" fontId="17" fillId="44" borderId="93" xfId="8" applyFont="1" applyFill="1" applyBorder="1"/>
    <xf numFmtId="0" fontId="17" fillId="44" borderId="185" xfId="8" applyFont="1" applyFill="1" applyBorder="1"/>
    <xf numFmtId="0" fontId="17" fillId="62" borderId="185" xfId="8" applyFont="1" applyFill="1" applyBorder="1"/>
    <xf numFmtId="0" fontId="20" fillId="4" borderId="200" xfId="1" applyFont="1" applyFill="1" applyBorder="1" applyAlignment="1">
      <alignment horizontal="center" vertical="center" wrapText="1"/>
    </xf>
    <xf numFmtId="0" fontId="17" fillId="0" borderId="0" xfId="0" quotePrefix="1" applyFont="1" applyAlignment="1">
      <alignment horizontal="right"/>
    </xf>
    <xf numFmtId="0" fontId="27" fillId="0" borderId="155" xfId="0" quotePrefix="1" applyFont="1" applyBorder="1" applyAlignment="1">
      <alignment horizontal="center" vertical="center"/>
    </xf>
    <xf numFmtId="0" fontId="19" fillId="0" borderId="155" xfId="0" applyFont="1" applyBorder="1" applyAlignment="1">
      <alignment horizontal="center" vertical="center"/>
    </xf>
    <xf numFmtId="0" fontId="19" fillId="0" borderId="0" xfId="0" applyFont="1" applyAlignment="1">
      <alignment horizontal="center" vertical="center"/>
    </xf>
    <xf numFmtId="0" fontId="22" fillId="0" borderId="0" xfId="0" applyFont="1" applyAlignment="1">
      <alignment horizontal="left" vertical="center" wrapText="1"/>
    </xf>
    <xf numFmtId="0" fontId="22" fillId="0" borderId="183" xfId="0" applyFont="1" applyBorder="1" applyAlignment="1">
      <alignment horizontal="left" vertical="center" wrapText="1"/>
    </xf>
    <xf numFmtId="0" fontId="22" fillId="0" borderId="177" xfId="0" applyFont="1" applyBorder="1" applyAlignment="1">
      <alignment horizontal="left" vertical="center" wrapText="1"/>
    </xf>
    <xf numFmtId="0" fontId="15" fillId="0" borderId="0" xfId="0" applyFont="1" applyAlignment="1">
      <alignment vertical="center" shrinkToFit="1"/>
    </xf>
    <xf numFmtId="0" fontId="17" fillId="21" borderId="227" xfId="8" applyFont="1" applyFill="1" applyBorder="1" applyAlignment="1" applyProtection="1">
      <alignment horizontal="center" vertical="center"/>
      <protection locked="0"/>
    </xf>
    <xf numFmtId="0" fontId="17" fillId="29" borderId="225" xfId="1" applyFont="1" applyFill="1" applyBorder="1" applyAlignment="1">
      <alignment horizontal="center" vertical="center"/>
    </xf>
    <xf numFmtId="0" fontId="17" fillId="29" borderId="134" xfId="1" applyFont="1" applyFill="1" applyBorder="1" applyAlignment="1">
      <alignment horizontal="center" vertical="center"/>
    </xf>
    <xf numFmtId="0" fontId="17" fillId="21" borderId="134" xfId="1" applyFont="1" applyFill="1" applyBorder="1" applyAlignment="1">
      <alignment horizontal="center" vertical="center"/>
    </xf>
    <xf numFmtId="0" fontId="17" fillId="21" borderId="136" xfId="1" applyFont="1" applyFill="1" applyBorder="1" applyAlignment="1">
      <alignment horizontal="center" vertical="center"/>
    </xf>
    <xf numFmtId="0" fontId="20" fillId="4" borderId="209" xfId="1" applyFont="1" applyFill="1" applyBorder="1" applyAlignment="1">
      <alignment horizontal="center" vertical="center"/>
    </xf>
    <xf numFmtId="0" fontId="26" fillId="15" borderId="228" xfId="0" applyFont="1" applyFill="1" applyBorder="1" applyAlignment="1">
      <alignment horizontal="center" vertical="center"/>
    </xf>
    <xf numFmtId="0" fontId="26" fillId="15" borderId="226" xfId="0" applyFont="1" applyFill="1" applyBorder="1" applyAlignment="1">
      <alignment horizontal="center" vertical="center"/>
    </xf>
    <xf numFmtId="0" fontId="14" fillId="0" borderId="226" xfId="0" applyFont="1" applyBorder="1" applyAlignment="1">
      <alignment horizontal="center" vertical="center"/>
    </xf>
    <xf numFmtId="49" fontId="14" fillId="58" borderId="226" xfId="0" applyNumberFormat="1" applyFont="1" applyFill="1" applyBorder="1" applyAlignment="1">
      <alignment horizontal="center" vertical="center"/>
    </xf>
    <xf numFmtId="49" fontId="14" fillId="0" borderId="226" xfId="0" applyNumberFormat="1" applyFont="1" applyBorder="1" applyAlignment="1">
      <alignment horizontal="center" vertical="center"/>
    </xf>
    <xf numFmtId="49" fontId="14" fillId="58" borderId="229" xfId="0" applyNumberFormat="1" applyFont="1" applyFill="1" applyBorder="1" applyAlignment="1">
      <alignment horizontal="center" vertical="center"/>
    </xf>
    <xf numFmtId="0" fontId="17" fillId="21" borderId="80" xfId="1" applyFont="1" applyFill="1" applyBorder="1" applyAlignment="1">
      <alignment horizontal="center" vertical="center"/>
    </xf>
    <xf numFmtId="0" fontId="17" fillId="0" borderId="0" xfId="0" quotePrefix="1" applyFont="1" applyAlignment="1">
      <alignment horizontal="right" vertical="top"/>
    </xf>
    <xf numFmtId="0" fontId="25" fillId="0" borderId="0" xfId="0" applyFont="1" applyAlignment="1">
      <alignment horizontal="right"/>
    </xf>
    <xf numFmtId="0" fontId="17" fillId="9" borderId="0" xfId="1" applyFont="1" applyFill="1" applyAlignment="1">
      <alignment horizontal="center" vertical="center" shrinkToFit="1"/>
    </xf>
    <xf numFmtId="0" fontId="17" fillId="3" borderId="0" xfId="1" applyFont="1" applyFill="1" applyAlignment="1">
      <alignment horizontal="left" wrapText="1"/>
    </xf>
    <xf numFmtId="0" fontId="17" fillId="3" borderId="0" xfId="1" applyFont="1" applyFill="1" applyAlignment="1">
      <alignment wrapText="1"/>
    </xf>
    <xf numFmtId="0" fontId="17" fillId="3" borderId="0" xfId="1" applyFont="1" applyFill="1" applyAlignment="1">
      <alignment horizontal="left" vertical="center" wrapText="1"/>
    </xf>
    <xf numFmtId="0" fontId="52" fillId="8" borderId="0" xfId="0" applyFont="1" applyFill="1" applyAlignment="1">
      <alignment vertical="top" wrapText="1"/>
    </xf>
    <xf numFmtId="0" fontId="52" fillId="8" borderId="0" xfId="0" applyFont="1" applyFill="1"/>
    <xf numFmtId="0" fontId="13" fillId="12" borderId="236" xfId="1" applyFont="1" applyFill="1" applyBorder="1" applyAlignment="1" applyProtection="1">
      <alignment horizontal="center"/>
      <protection locked="0"/>
    </xf>
    <xf numFmtId="0" fontId="13" fillId="13" borderId="237" xfId="1" applyFont="1" applyFill="1" applyBorder="1" applyAlignment="1" applyProtection="1">
      <alignment horizontal="center"/>
      <protection locked="0"/>
    </xf>
    <xf numFmtId="0" fontId="13" fillId="12" borderId="237" xfId="1" applyFont="1" applyFill="1" applyBorder="1" applyAlignment="1" applyProtection="1">
      <alignment horizontal="center"/>
      <protection locked="0"/>
    </xf>
    <xf numFmtId="0" fontId="13" fillId="13" borderId="238" xfId="1" applyFont="1" applyFill="1" applyBorder="1" applyAlignment="1" applyProtection="1">
      <alignment horizontal="center"/>
      <protection locked="0"/>
    </xf>
    <xf numFmtId="0" fontId="19" fillId="19" borderId="58" xfId="1" applyFont="1" applyFill="1" applyBorder="1" applyAlignment="1">
      <alignment horizontal="center" vertical="center" shrinkToFit="1"/>
    </xf>
    <xf numFmtId="0" fontId="52" fillId="8" borderId="241" xfId="0" applyFont="1" applyFill="1" applyBorder="1"/>
    <xf numFmtId="0" fontId="51" fillId="0" borderId="243" xfId="0" applyFont="1" applyBorder="1"/>
    <xf numFmtId="168" fontId="13" fillId="0" borderId="77" xfId="1" applyNumberFormat="1" applyFont="1" applyBorder="1" applyAlignment="1" applyProtection="1">
      <alignment horizontal="center" wrapText="1"/>
      <protection locked="0"/>
    </xf>
    <xf numFmtId="168" fontId="13" fillId="12" borderId="77" xfId="1" applyNumberFormat="1" applyFont="1" applyFill="1" applyBorder="1" applyAlignment="1" applyProtection="1">
      <alignment horizontal="center" wrapText="1"/>
      <protection locked="0"/>
    </xf>
    <xf numFmtId="168" fontId="13" fillId="12" borderId="240" xfId="1" applyNumberFormat="1" applyFont="1" applyFill="1" applyBorder="1" applyAlignment="1" applyProtection="1">
      <alignment horizontal="center" wrapText="1"/>
      <protection locked="0"/>
    </xf>
    <xf numFmtId="0" fontId="51" fillId="0" borderId="239" xfId="0" applyFont="1" applyBorder="1" applyAlignment="1">
      <alignment wrapText="1"/>
    </xf>
    <xf numFmtId="167" fontId="15" fillId="11" borderId="247" xfId="1" applyNumberFormat="1" applyFont="1" applyFill="1" applyBorder="1" applyAlignment="1">
      <alignment horizontal="center" shrinkToFit="1"/>
    </xf>
    <xf numFmtId="0" fontId="17" fillId="2" borderId="0" xfId="1" applyFont="1" applyFill="1" applyAlignment="1">
      <alignment horizontal="center"/>
    </xf>
    <xf numFmtId="0" fontId="34" fillId="4" borderId="324" xfId="1" applyFont="1" applyFill="1" applyBorder="1" applyAlignment="1">
      <alignment horizontal="center" vertical="center"/>
    </xf>
    <xf numFmtId="1" fontId="13" fillId="12" borderId="75" xfId="1" applyNumberFormat="1" applyFont="1" applyFill="1" applyBorder="1" applyAlignment="1" applyProtection="1">
      <alignment horizontal="center"/>
      <protection locked="0"/>
    </xf>
    <xf numFmtId="0" fontId="17" fillId="0" borderId="265" xfId="1" applyFont="1" applyBorder="1"/>
    <xf numFmtId="0" fontId="17" fillId="0" borderId="268" xfId="1" applyFont="1" applyBorder="1"/>
    <xf numFmtId="0" fontId="17" fillId="0" borderId="269" xfId="1" applyFont="1" applyBorder="1"/>
    <xf numFmtId="0" fontId="17" fillId="0" borderId="241" xfId="1" applyFont="1" applyBorder="1"/>
    <xf numFmtId="0" fontId="17" fillId="0" borderId="325" xfId="1" applyFont="1" applyBorder="1"/>
    <xf numFmtId="0" fontId="17" fillId="0" borderId="243" xfId="1" applyFont="1" applyBorder="1"/>
    <xf numFmtId="0" fontId="17" fillId="0" borderId="244" xfId="1" applyFont="1" applyBorder="1"/>
    <xf numFmtId="0" fontId="18" fillId="0" borderId="0" xfId="1" applyFont="1" applyAlignment="1">
      <alignment vertical="center" wrapText="1" shrinkToFit="1"/>
    </xf>
    <xf numFmtId="0" fontId="16" fillId="26" borderId="0" xfId="8" applyFont="1" applyFill="1" applyAlignment="1">
      <alignment horizontal="center" vertical="center" shrinkToFit="1"/>
    </xf>
    <xf numFmtId="0" fontId="19" fillId="26" borderId="243" xfId="0" applyFont="1" applyFill="1" applyBorder="1" applyAlignment="1">
      <alignment horizontal="center" vertical="center"/>
    </xf>
    <xf numFmtId="14" fontId="17" fillId="11" borderId="46" xfId="1" applyNumberFormat="1" applyFont="1" applyFill="1" applyBorder="1" applyAlignment="1">
      <alignment horizontal="center" vertical="center" shrinkToFit="1"/>
    </xf>
    <xf numFmtId="0" fontId="14" fillId="0" borderId="326" xfId="1" applyFont="1" applyBorder="1"/>
    <xf numFmtId="0" fontId="14" fillId="0" borderId="269" xfId="1" applyFont="1" applyBorder="1"/>
    <xf numFmtId="0" fontId="14" fillId="0" borderId="241" xfId="1" applyFont="1" applyBorder="1"/>
    <xf numFmtId="0" fontId="14" fillId="0" borderId="58" xfId="1" applyFont="1" applyBorder="1"/>
    <xf numFmtId="0" fontId="14" fillId="0" borderId="325" xfId="1" applyFont="1" applyBorder="1"/>
    <xf numFmtId="49" fontId="26" fillId="0" borderId="243" xfId="1" applyNumberFormat="1" applyFont="1" applyBorder="1"/>
    <xf numFmtId="0" fontId="14" fillId="0" borderId="243" xfId="1" applyFont="1" applyBorder="1" applyAlignment="1">
      <alignment shrinkToFit="1"/>
    </xf>
    <xf numFmtId="0" fontId="14" fillId="0" borderId="328" xfId="1" applyFont="1" applyBorder="1"/>
    <xf numFmtId="0" fontId="39" fillId="0" borderId="329" xfId="8" applyFont="1" applyBorder="1" applyAlignment="1">
      <alignment horizontal="center" vertical="center"/>
    </xf>
    <xf numFmtId="0" fontId="39" fillId="0" borderId="329" xfId="0" applyFont="1" applyBorder="1" applyAlignment="1">
      <alignment horizontal="center" vertical="center"/>
    </xf>
    <xf numFmtId="0" fontId="39" fillId="0" borderId="336" xfId="0" applyFont="1" applyBorder="1" applyAlignment="1">
      <alignment horizontal="center" vertical="center"/>
    </xf>
    <xf numFmtId="0" fontId="27" fillId="0" borderId="337" xfId="8" applyFont="1" applyBorder="1" applyAlignment="1">
      <alignment horizontal="center" vertical="center"/>
    </xf>
    <xf numFmtId="0" fontId="27" fillId="0" borderId="135" xfId="8" applyFont="1" applyBorder="1" applyAlignment="1">
      <alignment horizontal="center" vertical="center"/>
    </xf>
    <xf numFmtId="0" fontId="27" fillId="0" borderId="335" xfId="8" applyFont="1" applyBorder="1" applyAlignment="1">
      <alignment horizontal="center" vertical="center"/>
    </xf>
    <xf numFmtId="49" fontId="17" fillId="0" borderId="20" xfId="1" applyNumberFormat="1" applyFont="1" applyBorder="1" applyAlignment="1">
      <alignment vertical="center"/>
    </xf>
    <xf numFmtId="49" fontId="17" fillId="21" borderId="76" xfId="1" applyNumberFormat="1" applyFont="1" applyFill="1" applyBorder="1" applyAlignment="1">
      <alignment vertical="center"/>
    </xf>
    <xf numFmtId="49" fontId="17" fillId="21" borderId="134" xfId="1" applyNumberFormat="1" applyFont="1" applyFill="1" applyBorder="1" applyAlignment="1">
      <alignment vertical="center"/>
    </xf>
    <xf numFmtId="0" fontId="24" fillId="0" borderId="57" xfId="8" applyFont="1" applyBorder="1" applyAlignment="1">
      <alignment horizontal="center" vertical="center"/>
    </xf>
    <xf numFmtId="0" fontId="24" fillId="0" borderId="329" xfId="8" applyFont="1" applyBorder="1" applyAlignment="1">
      <alignment horizontal="center" vertical="center"/>
    </xf>
    <xf numFmtId="0" fontId="56" fillId="0" borderId="329" xfId="8" applyFont="1" applyBorder="1" applyAlignment="1">
      <alignment horizontal="center" vertical="center"/>
    </xf>
    <xf numFmtId="0" fontId="24" fillId="0" borderId="329" xfId="0" applyFont="1" applyBorder="1" applyAlignment="1">
      <alignment horizontal="center" vertical="center"/>
    </xf>
    <xf numFmtId="0" fontId="27" fillId="23" borderId="329" xfId="0" applyFont="1" applyFill="1" applyBorder="1" applyAlignment="1">
      <alignment horizontal="center" vertical="center"/>
    </xf>
    <xf numFmtId="0" fontId="24" fillId="23" borderId="57" xfId="8" applyFont="1" applyFill="1" applyBorder="1" applyAlignment="1">
      <alignment horizontal="center" vertical="center"/>
    </xf>
    <xf numFmtId="0" fontId="27" fillId="23" borderId="135" xfId="8" applyFont="1" applyFill="1" applyBorder="1" applyAlignment="1">
      <alignment horizontal="center" vertical="center"/>
    </xf>
    <xf numFmtId="0" fontId="27" fillId="23" borderId="335" xfId="8" applyFont="1" applyFill="1" applyBorder="1" applyAlignment="1">
      <alignment horizontal="center" vertical="center"/>
    </xf>
    <xf numFmtId="0" fontId="24" fillId="23" borderId="329" xfId="8" applyFont="1" applyFill="1" applyBorder="1" applyAlignment="1">
      <alignment horizontal="center" vertical="center"/>
    </xf>
    <xf numFmtId="0" fontId="56" fillId="23" borderId="329" xfId="8" applyFont="1" applyFill="1" applyBorder="1" applyAlignment="1">
      <alignment horizontal="center" vertical="center"/>
    </xf>
    <xf numFmtId="0" fontId="39" fillId="23" borderId="336" xfId="0" applyFont="1" applyFill="1" applyBorder="1" applyAlignment="1">
      <alignment horizontal="center" vertical="center"/>
    </xf>
    <xf numFmtId="0" fontId="39" fillId="23" borderId="336" xfId="8" applyFont="1" applyFill="1" applyBorder="1" applyAlignment="1">
      <alignment horizontal="center" vertical="center"/>
    </xf>
    <xf numFmtId="0" fontId="18" fillId="23" borderId="329" xfId="8" applyFont="1" applyFill="1" applyBorder="1" applyAlignment="1">
      <alignment horizontal="center" vertical="center"/>
    </xf>
    <xf numFmtId="0" fontId="56" fillId="0" borderId="336" xfId="8" applyFont="1" applyBorder="1" applyAlignment="1">
      <alignment horizontal="center" vertical="center"/>
    </xf>
    <xf numFmtId="0" fontId="20" fillId="4" borderId="34" xfId="1" applyFont="1" applyFill="1" applyBorder="1" applyAlignment="1">
      <alignment horizontal="center"/>
    </xf>
    <xf numFmtId="2" fontId="22" fillId="3" borderId="332" xfId="8" applyNumberFormat="1" applyFont="1" applyFill="1" applyBorder="1" applyAlignment="1">
      <alignment shrinkToFit="1"/>
    </xf>
    <xf numFmtId="2" fontId="22" fillId="31" borderId="351" xfId="8" applyNumberFormat="1" applyFont="1" applyFill="1" applyBorder="1"/>
    <xf numFmtId="1" fontId="22" fillId="3" borderId="122" xfId="8" applyNumberFormat="1" applyFont="1" applyFill="1" applyBorder="1" applyAlignment="1">
      <alignment shrinkToFit="1"/>
    </xf>
    <xf numFmtId="2" fontId="22" fillId="3" borderId="122" xfId="8" applyNumberFormat="1" applyFont="1" applyFill="1" applyBorder="1" applyAlignment="1">
      <alignment shrinkToFit="1"/>
    </xf>
    <xf numFmtId="1" fontId="22" fillId="3" borderId="330" xfId="8" applyNumberFormat="1" applyFont="1" applyFill="1" applyBorder="1" applyAlignment="1">
      <alignment shrinkToFit="1"/>
    </xf>
    <xf numFmtId="2" fontId="22" fillId="3" borderId="330" xfId="8" applyNumberFormat="1" applyFont="1" applyFill="1" applyBorder="1" applyAlignment="1">
      <alignment shrinkToFit="1"/>
    </xf>
    <xf numFmtId="2" fontId="22" fillId="32" borderId="350" xfId="8" applyNumberFormat="1" applyFont="1" applyFill="1" applyBorder="1"/>
    <xf numFmtId="2" fontId="22" fillId="32" borderId="98" xfId="8" applyNumberFormat="1" applyFont="1" applyFill="1" applyBorder="1"/>
    <xf numFmtId="2" fontId="22" fillId="32" borderId="330" xfId="8" applyNumberFormat="1" applyFont="1" applyFill="1" applyBorder="1"/>
    <xf numFmtId="0" fontId="58" fillId="3" borderId="0" xfId="3" applyFont="1" applyFill="1" applyAlignment="1">
      <alignment vertical="center" wrapText="1"/>
    </xf>
    <xf numFmtId="0" fontId="58" fillId="0" borderId="0" xfId="3" applyFont="1" applyAlignment="1">
      <alignment vertical="center" wrapText="1"/>
    </xf>
    <xf numFmtId="0" fontId="58" fillId="3" borderId="0" xfId="3" applyFont="1" applyFill="1"/>
    <xf numFmtId="0" fontId="58" fillId="0" borderId="0" xfId="3" applyFont="1"/>
    <xf numFmtId="0" fontId="58" fillId="0" borderId="330" xfId="9" applyFont="1" applyBorder="1" applyAlignment="1" applyProtection="1">
      <alignment horizontal="center"/>
      <protection locked="0"/>
    </xf>
    <xf numFmtId="0" fontId="61" fillId="21" borderId="41" xfId="9" applyFont="1" applyFill="1" applyBorder="1" applyAlignment="1">
      <alignment horizontal="center" vertical="top"/>
    </xf>
    <xf numFmtId="0" fontId="62" fillId="3" borderId="0" xfId="3" applyFont="1" applyFill="1" applyAlignment="1">
      <alignment vertical="top"/>
    </xf>
    <xf numFmtId="0" fontId="62" fillId="0" borderId="0" xfId="3" applyFont="1" applyAlignment="1">
      <alignment vertical="top"/>
    </xf>
    <xf numFmtId="0" fontId="60" fillId="29" borderId="284" xfId="3" applyFont="1" applyFill="1" applyBorder="1" applyAlignment="1">
      <alignment horizontal="center"/>
    </xf>
    <xf numFmtId="0" fontId="60" fillId="29" borderId="251" xfId="9" applyFont="1" applyFill="1" applyBorder="1" applyAlignment="1">
      <alignment horizontal="center"/>
    </xf>
    <xf numFmtId="0" fontId="60" fillId="21" borderId="291" xfId="3" applyFont="1" applyFill="1" applyBorder="1" applyAlignment="1">
      <alignment horizontal="center"/>
    </xf>
    <xf numFmtId="0" fontId="60" fillId="21" borderId="80" xfId="3" applyFont="1" applyFill="1" applyBorder="1" applyAlignment="1">
      <alignment horizontal="center"/>
    </xf>
    <xf numFmtId="0" fontId="60" fillId="21" borderId="237" xfId="3" applyFont="1" applyFill="1" applyBorder="1" applyAlignment="1">
      <alignment horizontal="center"/>
    </xf>
    <xf numFmtId="0" fontId="61" fillId="29" borderId="237" xfId="3" applyFont="1" applyFill="1" applyBorder="1" applyAlignment="1">
      <alignment horizontal="center"/>
    </xf>
    <xf numFmtId="0" fontId="60" fillId="29" borderId="76" xfId="3" applyFont="1" applyFill="1" applyBorder="1" applyAlignment="1">
      <alignment horizontal="center"/>
    </xf>
    <xf numFmtId="0" fontId="60" fillId="29" borderId="76" xfId="9" applyFont="1" applyFill="1" applyBorder="1" applyAlignment="1">
      <alignment horizontal="center"/>
    </xf>
    <xf numFmtId="0" fontId="64" fillId="21" borderId="237" xfId="3" applyFont="1" applyFill="1" applyBorder="1" applyAlignment="1">
      <alignment horizontal="center"/>
    </xf>
    <xf numFmtId="0" fontId="58" fillId="3" borderId="77" xfId="9" applyFont="1" applyFill="1" applyBorder="1" applyAlignment="1" applyProtection="1">
      <alignment horizontal="left"/>
      <protection locked="0"/>
    </xf>
    <xf numFmtId="0" fontId="58" fillId="3" borderId="78" xfId="9" applyFont="1" applyFill="1" applyBorder="1" applyAlignment="1">
      <alignment horizontal="left"/>
    </xf>
    <xf numFmtId="0" fontId="58" fillId="3" borderId="342" xfId="9" applyFont="1" applyFill="1" applyBorder="1" applyAlignment="1">
      <alignment horizontal="left"/>
    </xf>
    <xf numFmtId="0" fontId="58" fillId="3" borderId="79" xfId="9" applyFont="1" applyFill="1" applyBorder="1" applyAlignment="1">
      <alignment horizontal="left"/>
    </xf>
    <xf numFmtId="0" fontId="58" fillId="3" borderId="50" xfId="9" applyFont="1" applyFill="1" applyBorder="1" applyAlignment="1" applyProtection="1">
      <alignment horizontal="left"/>
      <protection locked="0"/>
    </xf>
    <xf numFmtId="0" fontId="58" fillId="3" borderId="51" xfId="9" applyFont="1" applyFill="1" applyBorder="1" applyAlignment="1">
      <alignment horizontal="left"/>
    </xf>
    <xf numFmtId="0" fontId="58" fillId="3" borderId="52" xfId="9" applyFont="1" applyFill="1" applyBorder="1" applyAlignment="1">
      <alignment horizontal="left"/>
    </xf>
    <xf numFmtId="0" fontId="65" fillId="3" borderId="0" xfId="3" applyFont="1" applyFill="1"/>
    <xf numFmtId="0" fontId="64" fillId="21" borderId="294" xfId="3" applyFont="1" applyFill="1" applyBorder="1" applyAlignment="1">
      <alignment horizontal="center"/>
    </xf>
    <xf numFmtId="0" fontId="58" fillId="3" borderId="81" xfId="9" applyFont="1" applyFill="1" applyBorder="1" applyAlignment="1">
      <alignment horizontal="left"/>
    </xf>
    <xf numFmtId="0" fontId="58" fillId="3" borderId="82" xfId="9" applyFont="1" applyFill="1" applyBorder="1" applyAlignment="1">
      <alignment horizontal="left"/>
    </xf>
    <xf numFmtId="0" fontId="64" fillId="21" borderId="291" xfId="3" applyFont="1" applyFill="1" applyBorder="1" applyAlignment="1">
      <alignment horizontal="center"/>
    </xf>
    <xf numFmtId="0" fontId="58" fillId="3" borderId="32" xfId="3" applyFont="1" applyFill="1" applyBorder="1"/>
    <xf numFmtId="0" fontId="58" fillId="3" borderId="343" xfId="3" applyFont="1" applyFill="1" applyBorder="1"/>
    <xf numFmtId="0" fontId="58" fillId="3" borderId="47" xfId="3" applyFont="1" applyFill="1" applyBorder="1"/>
    <xf numFmtId="0" fontId="58" fillId="3" borderId="295" xfId="3" applyFont="1" applyFill="1" applyBorder="1"/>
    <xf numFmtId="0" fontId="58" fillId="3" borderId="78" xfId="3" applyFont="1" applyFill="1" applyBorder="1"/>
    <xf numFmtId="0" fontId="58" fillId="3" borderId="342" xfId="3" applyFont="1" applyFill="1" applyBorder="1"/>
    <xf numFmtId="0" fontId="58" fillId="3" borderId="79" xfId="3" applyFont="1" applyFill="1" applyBorder="1"/>
    <xf numFmtId="0" fontId="58" fillId="3" borderId="296" xfId="3" applyFont="1" applyFill="1" applyBorder="1"/>
    <xf numFmtId="0" fontId="58" fillId="3" borderId="8" xfId="3" applyFont="1" applyFill="1" applyBorder="1"/>
    <xf numFmtId="0" fontId="58" fillId="3" borderId="344" xfId="3" applyFont="1" applyFill="1" applyBorder="1"/>
    <xf numFmtId="0" fontId="58" fillId="3" borderId="9" xfId="3" applyFont="1" applyFill="1" applyBorder="1"/>
    <xf numFmtId="0" fontId="58" fillId="3" borderId="283" xfId="3" applyFont="1" applyFill="1" applyBorder="1"/>
    <xf numFmtId="0" fontId="58" fillId="3" borderId="87" xfId="3" applyFont="1" applyFill="1" applyBorder="1"/>
    <xf numFmtId="0" fontId="58" fillId="3" borderId="345" xfId="3" applyFont="1" applyFill="1" applyBorder="1"/>
    <xf numFmtId="0" fontId="58" fillId="3" borderId="11" xfId="3" applyFont="1" applyFill="1" applyBorder="1"/>
    <xf numFmtId="0" fontId="58" fillId="3" borderId="297" xfId="3" applyFont="1" applyFill="1" applyBorder="1"/>
    <xf numFmtId="0" fontId="60" fillId="21" borderId="237" xfId="3" applyFont="1" applyFill="1" applyBorder="1"/>
    <xf numFmtId="0" fontId="65" fillId="21" borderId="76" xfId="3" applyFont="1" applyFill="1" applyBorder="1"/>
    <xf numFmtId="0" fontId="57" fillId="3" borderId="76" xfId="3" applyFont="1" applyFill="1" applyBorder="1" applyAlignment="1">
      <alignment horizontal="center" vertical="center"/>
    </xf>
    <xf numFmtId="0" fontId="65" fillId="21" borderId="76" xfId="3" applyFont="1" applyFill="1" applyBorder="1" applyAlignment="1">
      <alignment horizontal="center"/>
    </xf>
    <xf numFmtId="0" fontId="65" fillId="21" borderId="332" xfId="3" applyFont="1" applyFill="1" applyBorder="1" applyAlignment="1">
      <alignment horizontal="center"/>
    </xf>
    <xf numFmtId="0" fontId="57" fillId="29" borderId="105" xfId="3" applyFont="1" applyFill="1" applyBorder="1" applyAlignment="1">
      <alignment horizontal="center" vertical="center"/>
    </xf>
    <xf numFmtId="0" fontId="61" fillId="29" borderId="106" xfId="3" applyFont="1" applyFill="1" applyBorder="1"/>
    <xf numFmtId="0" fontId="61" fillId="29" borderId="333" xfId="3" applyFont="1" applyFill="1" applyBorder="1"/>
    <xf numFmtId="0" fontId="61" fillId="67" borderId="311" xfId="3" applyFont="1" applyFill="1" applyBorder="1" applyAlignment="1">
      <alignment horizontal="left" vertical="center"/>
    </xf>
    <xf numFmtId="0" fontId="61" fillId="67" borderId="312" xfId="3" applyFont="1" applyFill="1" applyBorder="1" applyAlignment="1">
      <alignment horizontal="left"/>
    </xf>
    <xf numFmtId="18" fontId="58" fillId="57" borderId="313" xfId="3" applyNumberFormat="1" applyFont="1" applyFill="1" applyBorder="1" applyAlignment="1" applyProtection="1">
      <alignment vertical="center"/>
      <protection locked="0"/>
    </xf>
    <xf numFmtId="18" fontId="58" fillId="0" borderId="319" xfId="3" applyNumberFormat="1" applyFont="1" applyBorder="1" applyAlignment="1" applyProtection="1">
      <alignment vertical="center"/>
      <protection locked="0"/>
    </xf>
    <xf numFmtId="18" fontId="58" fillId="0" borderId="316" xfId="3" applyNumberFormat="1" applyFont="1" applyBorder="1" applyAlignment="1" applyProtection="1">
      <alignment vertical="center"/>
      <protection locked="0"/>
    </xf>
    <xf numFmtId="0" fontId="61" fillId="21" borderId="268" xfId="3" applyFont="1" applyFill="1" applyBorder="1" applyAlignment="1">
      <alignment horizontal="right" vertical="center"/>
    </xf>
    <xf numFmtId="0" fontId="58" fillId="3" borderId="268" xfId="3" applyFont="1" applyFill="1" applyBorder="1" applyProtection="1">
      <protection locked="0"/>
    </xf>
    <xf numFmtId="0" fontId="58" fillId="3" borderId="269" xfId="3" applyFont="1" applyFill="1" applyBorder="1" applyProtection="1">
      <protection locked="0"/>
    </xf>
    <xf numFmtId="0" fontId="65" fillId="0" borderId="0" xfId="3" applyFont="1"/>
    <xf numFmtId="0" fontId="60" fillId="29" borderId="307" xfId="3" applyFont="1" applyFill="1" applyBorder="1" applyAlignment="1">
      <alignment horizontal="center"/>
    </xf>
    <xf numFmtId="0" fontId="62" fillId="3" borderId="264" xfId="3" applyFont="1" applyFill="1" applyBorder="1" applyProtection="1">
      <protection locked="0"/>
    </xf>
    <xf numFmtId="0" fontId="62" fillId="3" borderId="272" xfId="3" applyFont="1" applyFill="1" applyBorder="1" applyProtection="1">
      <protection locked="0"/>
    </xf>
    <xf numFmtId="0" fontId="62" fillId="3" borderId="183" xfId="3" applyFont="1" applyFill="1" applyBorder="1" applyProtection="1">
      <protection locked="0"/>
    </xf>
    <xf numFmtId="0" fontId="62" fillId="3" borderId="244" xfId="3" applyFont="1" applyFill="1" applyBorder="1" applyProtection="1">
      <protection locked="0"/>
    </xf>
    <xf numFmtId="0" fontId="61" fillId="29" borderId="301" xfId="3" applyFont="1" applyFill="1" applyBorder="1" applyAlignment="1">
      <alignment horizontal="center"/>
    </xf>
    <xf numFmtId="0" fontId="58" fillId="3" borderId="342" xfId="9" applyFont="1" applyFill="1" applyBorder="1" applyProtection="1">
      <protection locked="0"/>
    </xf>
    <xf numFmtId="0" fontId="58" fillId="3" borderId="332" xfId="9" applyFont="1" applyFill="1" applyBorder="1" applyProtection="1">
      <protection locked="0"/>
    </xf>
    <xf numFmtId="0" fontId="58" fillId="3" borderId="351" xfId="9" applyFont="1" applyFill="1" applyBorder="1" applyAlignment="1" applyProtection="1">
      <alignment shrinkToFit="1"/>
      <protection locked="0"/>
    </xf>
    <xf numFmtId="0" fontId="58" fillId="3" borderId="357" xfId="9" applyFont="1" applyFill="1" applyBorder="1" applyProtection="1">
      <protection locked="0"/>
    </xf>
    <xf numFmtId="0" fontId="58" fillId="64" borderId="342" xfId="9" applyFont="1" applyFill="1" applyBorder="1" applyProtection="1">
      <protection locked="0"/>
    </xf>
    <xf numFmtId="0" fontId="58" fillId="64" borderId="332" xfId="9" applyFont="1" applyFill="1" applyBorder="1" applyProtection="1">
      <protection locked="0"/>
    </xf>
    <xf numFmtId="0" fontId="58" fillId="64" borderId="351" xfId="9" applyFont="1" applyFill="1" applyBorder="1" applyAlignment="1" applyProtection="1">
      <alignment shrinkToFit="1"/>
      <protection locked="0"/>
    </xf>
    <xf numFmtId="0" fontId="58" fillId="64" borderId="357" xfId="9" applyFont="1" applyFill="1" applyBorder="1" applyProtection="1">
      <protection locked="0"/>
    </xf>
    <xf numFmtId="0" fontId="58" fillId="3" borderId="342" xfId="9" applyFont="1" applyFill="1" applyBorder="1" applyAlignment="1" applyProtection="1">
      <alignment vertical="center"/>
      <protection locked="0"/>
    </xf>
    <xf numFmtId="0" fontId="58" fillId="3" borderId="332" xfId="9" applyFont="1" applyFill="1" applyBorder="1" applyAlignment="1" applyProtection="1">
      <alignment vertical="center"/>
      <protection locked="0"/>
    </xf>
    <xf numFmtId="0" fontId="64" fillId="3" borderId="342" xfId="9" applyFont="1" applyFill="1" applyBorder="1" applyAlignment="1" applyProtection="1">
      <alignment vertical="center"/>
      <protection locked="0"/>
    </xf>
    <xf numFmtId="0" fontId="58" fillId="64" borderId="342" xfId="9" applyFont="1" applyFill="1" applyBorder="1" applyAlignment="1" applyProtection="1">
      <alignment vertical="center"/>
      <protection locked="0"/>
    </xf>
    <xf numFmtId="0" fontId="64" fillId="64" borderId="342" xfId="9" applyFont="1" applyFill="1" applyBorder="1" applyAlignment="1" applyProtection="1">
      <alignment vertical="center"/>
      <protection locked="0"/>
    </xf>
    <xf numFmtId="0" fontId="64" fillId="3" borderId="342" xfId="9" applyFont="1" applyFill="1" applyBorder="1" applyProtection="1">
      <protection locked="0"/>
    </xf>
    <xf numFmtId="0" fontId="64" fillId="64" borderId="342" xfId="9" applyFont="1" applyFill="1" applyBorder="1" applyProtection="1">
      <protection locked="0"/>
    </xf>
    <xf numFmtId="0" fontId="58" fillId="64" borderId="344" xfId="9" applyFont="1" applyFill="1" applyBorder="1" applyProtection="1">
      <protection locked="0"/>
    </xf>
    <xf numFmtId="0" fontId="64" fillId="64" borderId="340" xfId="9" applyFont="1" applyFill="1" applyBorder="1" applyProtection="1">
      <protection locked="0"/>
    </xf>
    <xf numFmtId="0" fontId="64" fillId="64" borderId="344" xfId="9" applyFont="1" applyFill="1" applyBorder="1" applyProtection="1">
      <protection locked="0"/>
    </xf>
    <xf numFmtId="0" fontId="58" fillId="64" borderId="340" xfId="9" applyFont="1" applyFill="1" applyBorder="1" applyProtection="1">
      <protection locked="0"/>
    </xf>
    <xf numFmtId="0" fontId="58" fillId="64" borderId="358" xfId="9" applyFont="1" applyFill="1" applyBorder="1" applyAlignment="1" applyProtection="1">
      <alignment shrinkToFit="1"/>
      <protection locked="0"/>
    </xf>
    <xf numFmtId="0" fontId="58" fillId="64" borderId="333" xfId="9" applyFont="1" applyFill="1" applyBorder="1" applyProtection="1">
      <protection locked="0"/>
    </xf>
    <xf numFmtId="0" fontId="58" fillId="64" borderId="359" xfId="9" applyFont="1" applyFill="1" applyBorder="1" applyProtection="1">
      <protection locked="0"/>
    </xf>
    <xf numFmtId="0" fontId="54" fillId="23" borderId="72" xfId="1" applyFont="1" applyFill="1" applyBorder="1" applyAlignment="1">
      <alignment horizontal="center"/>
    </xf>
    <xf numFmtId="0" fontId="54" fillId="0" borderId="71" xfId="1" applyFont="1" applyBorder="1" applyAlignment="1">
      <alignment horizontal="center"/>
    </xf>
    <xf numFmtId="0" fontId="54" fillId="0" borderId="229" xfId="1" applyFont="1" applyBorder="1" applyAlignment="1">
      <alignment horizontal="center"/>
    </xf>
    <xf numFmtId="0" fontId="54" fillId="0" borderId="226" xfId="1" applyFont="1" applyBorder="1" applyAlignment="1">
      <alignment horizontal="center"/>
    </xf>
    <xf numFmtId="0" fontId="0" fillId="57" borderId="0" xfId="0" applyFill="1" applyAlignment="1">
      <alignment horizontal="left"/>
    </xf>
    <xf numFmtId="49" fontId="17" fillId="3" borderId="76" xfId="1" applyNumberFormat="1" applyFont="1" applyFill="1" applyBorder="1" applyAlignment="1" applyProtection="1">
      <alignment horizontal="center" wrapText="1" shrinkToFit="1"/>
      <protection locked="0"/>
    </xf>
    <xf numFmtId="0" fontId="24" fillId="0" borderId="372" xfId="8" applyFont="1" applyBorder="1" applyAlignment="1">
      <alignment horizontal="center" vertical="center"/>
    </xf>
    <xf numFmtId="0" fontId="27" fillId="23" borderId="372" xfId="0" applyFont="1" applyFill="1" applyBorder="1" applyAlignment="1">
      <alignment horizontal="center" vertical="center"/>
    </xf>
    <xf numFmtId="0" fontId="24" fillId="23" borderId="336" xfId="8" applyFont="1" applyFill="1" applyBorder="1" applyAlignment="1">
      <alignment horizontal="center" vertical="center"/>
    </xf>
    <xf numFmtId="0" fontId="27" fillId="23" borderId="373" xfId="8" applyFont="1" applyFill="1" applyBorder="1" applyAlignment="1">
      <alignment horizontal="center" vertical="center"/>
    </xf>
    <xf numFmtId="0" fontId="27" fillId="0" borderId="373" xfId="8" applyFont="1" applyBorder="1" applyAlignment="1">
      <alignment horizontal="center" vertical="center"/>
    </xf>
    <xf numFmtId="0" fontId="24" fillId="0" borderId="336" xfId="8" applyFont="1" applyBorder="1" applyAlignment="1">
      <alignment horizontal="center" vertical="center"/>
    </xf>
    <xf numFmtId="0" fontId="24" fillId="23" borderId="372" xfId="8" applyFont="1" applyFill="1" applyBorder="1" applyAlignment="1">
      <alignment horizontal="center" vertical="center"/>
    </xf>
    <xf numFmtId="0" fontId="56" fillId="23" borderId="372" xfId="8" applyFont="1" applyFill="1" applyBorder="1" applyAlignment="1">
      <alignment horizontal="center" vertical="center"/>
    </xf>
    <xf numFmtId="0" fontId="24" fillId="0" borderId="372" xfId="0" applyFont="1" applyBorder="1" applyAlignment="1">
      <alignment horizontal="center" vertical="center"/>
    </xf>
    <xf numFmtId="0" fontId="56" fillId="0" borderId="372" xfId="8" applyFont="1" applyBorder="1" applyAlignment="1">
      <alignment horizontal="center" vertical="center"/>
    </xf>
    <xf numFmtId="0" fontId="39" fillId="0" borderId="372" xfId="8" applyFont="1" applyBorder="1" applyAlignment="1">
      <alignment horizontal="center" vertical="center"/>
    </xf>
    <xf numFmtId="0" fontId="39" fillId="0" borderId="372" xfId="0" applyFont="1" applyBorder="1" applyAlignment="1">
      <alignment horizontal="center" vertical="center"/>
    </xf>
    <xf numFmtId="0" fontId="18" fillId="23" borderId="372" xfId="8" applyFont="1" applyFill="1" applyBorder="1" applyAlignment="1">
      <alignment horizontal="center" vertical="center"/>
    </xf>
    <xf numFmtId="0" fontId="39" fillId="23" borderId="372" xfId="8" applyFont="1" applyFill="1" applyBorder="1" applyAlignment="1">
      <alignment horizontal="center" vertical="center"/>
    </xf>
    <xf numFmtId="0" fontId="23" fillId="21" borderId="368" xfId="8" applyFont="1" applyFill="1" applyBorder="1" applyAlignment="1">
      <alignment vertical="center" shrinkToFit="1"/>
    </xf>
    <xf numFmtId="0" fontId="23" fillId="21" borderId="370" xfId="8" applyFont="1" applyFill="1" applyBorder="1" applyAlignment="1">
      <alignment vertical="center" shrinkToFit="1"/>
    </xf>
    <xf numFmtId="0" fontId="17" fillId="0" borderId="374" xfId="0" applyFont="1" applyBorder="1" applyAlignment="1" applyProtection="1">
      <alignment horizontal="center" vertical="center"/>
      <protection locked="0"/>
    </xf>
    <xf numFmtId="0" fontId="17" fillId="0" borderId="375" xfId="0" applyFont="1" applyBorder="1" applyAlignment="1" applyProtection="1">
      <alignment horizontal="center" vertical="center"/>
      <protection locked="0"/>
    </xf>
    <xf numFmtId="0" fontId="17" fillId="21" borderId="376" xfId="8" applyFont="1" applyFill="1" applyBorder="1" applyAlignment="1" applyProtection="1">
      <alignment horizontal="center" vertical="center"/>
      <protection locked="0"/>
    </xf>
    <xf numFmtId="0" fontId="17" fillId="21" borderId="377" xfId="8" applyFont="1" applyFill="1" applyBorder="1" applyAlignment="1" applyProtection="1">
      <alignment horizontal="center" vertical="center"/>
      <protection locked="0"/>
    </xf>
    <xf numFmtId="0" fontId="17" fillId="21" borderId="378" xfId="8" applyFont="1" applyFill="1" applyBorder="1" applyAlignment="1" applyProtection="1">
      <alignment horizontal="center" vertical="center"/>
      <protection locked="0"/>
    </xf>
    <xf numFmtId="0" fontId="17" fillId="23" borderId="381" xfId="0" applyFont="1" applyFill="1" applyBorder="1" applyAlignment="1" applyProtection="1">
      <alignment horizontal="center" vertical="center"/>
      <protection locked="0"/>
    </xf>
    <xf numFmtId="0" fontId="17" fillId="23" borderId="382" xfId="0" applyFont="1" applyFill="1" applyBorder="1" applyAlignment="1" applyProtection="1">
      <alignment horizontal="center" vertical="center"/>
      <protection locked="0"/>
    </xf>
    <xf numFmtId="0" fontId="19" fillId="8" borderId="318" xfId="0" applyFont="1" applyFill="1" applyBorder="1" applyAlignment="1">
      <alignment horizontal="center" vertical="center"/>
    </xf>
    <xf numFmtId="0" fontId="19" fillId="8" borderId="316" xfId="0" applyFont="1" applyFill="1" applyBorder="1" applyAlignment="1">
      <alignment vertical="center"/>
    </xf>
    <xf numFmtId="0" fontId="19" fillId="8" borderId="316" xfId="0" applyFont="1" applyFill="1" applyBorder="1" applyAlignment="1">
      <alignment horizontal="center" vertical="center"/>
    </xf>
    <xf numFmtId="0" fontId="19" fillId="8" borderId="317" xfId="0" applyFont="1" applyFill="1" applyBorder="1" applyAlignment="1">
      <alignment horizontal="center" vertical="center"/>
    </xf>
    <xf numFmtId="0" fontId="67" fillId="0" borderId="0" xfId="0" applyFont="1" applyAlignment="1">
      <alignment vertical="center" shrinkToFit="1"/>
    </xf>
    <xf numFmtId="49" fontId="17" fillId="3" borderId="332" xfId="9" applyNumberFormat="1" applyFont="1" applyFill="1" applyBorder="1" applyAlignment="1" applyProtection="1">
      <alignment horizontal="center" wrapText="1" shrinkToFit="1"/>
      <protection locked="0"/>
    </xf>
    <xf numFmtId="49" fontId="17" fillId="3" borderId="333" xfId="9" applyNumberFormat="1" applyFont="1" applyFill="1" applyBorder="1" applyAlignment="1" applyProtection="1">
      <alignment horizontal="center" wrapText="1" shrinkToFit="1"/>
      <protection locked="0"/>
    </xf>
    <xf numFmtId="0" fontId="17" fillId="64" borderId="355" xfId="9" applyFont="1" applyFill="1" applyBorder="1" applyProtection="1">
      <protection locked="0"/>
    </xf>
    <xf numFmtId="0" fontId="17" fillId="3" borderId="355" xfId="9" applyFont="1" applyFill="1" applyBorder="1" applyProtection="1">
      <protection locked="0"/>
    </xf>
    <xf numFmtId="0" fontId="17" fillId="3" borderId="342" xfId="9" applyFont="1" applyFill="1" applyBorder="1" applyProtection="1">
      <protection locked="0"/>
    </xf>
    <xf numFmtId="0" fontId="17" fillId="64" borderId="342" xfId="9" applyFont="1" applyFill="1" applyBorder="1" applyProtection="1">
      <protection locked="0"/>
    </xf>
    <xf numFmtId="0" fontId="17" fillId="3" borderId="355" xfId="9" applyFont="1" applyFill="1" applyBorder="1" applyAlignment="1" applyProtection="1">
      <alignment vertical="center"/>
      <protection locked="0"/>
    </xf>
    <xf numFmtId="0" fontId="17" fillId="3" borderId="342" xfId="9" applyFont="1" applyFill="1" applyBorder="1" applyAlignment="1" applyProtection="1">
      <alignment vertical="center"/>
      <protection locked="0"/>
    </xf>
    <xf numFmtId="0" fontId="17" fillId="64" borderId="355" xfId="9" applyFont="1" applyFill="1" applyBorder="1" applyAlignment="1" applyProtection="1">
      <alignment vertical="center"/>
      <protection locked="0"/>
    </xf>
    <xf numFmtId="0" fontId="17" fillId="64" borderId="342" xfId="9" applyFont="1" applyFill="1" applyBorder="1" applyAlignment="1" applyProtection="1">
      <alignment vertical="center"/>
      <protection locked="0"/>
    </xf>
    <xf numFmtId="0" fontId="17" fillId="64" borderId="363" xfId="9" applyFont="1" applyFill="1" applyBorder="1" applyProtection="1">
      <protection locked="0"/>
    </xf>
    <xf numFmtId="0" fontId="17" fillId="64" borderId="344" xfId="9" applyFont="1" applyFill="1" applyBorder="1" applyProtection="1">
      <protection locked="0"/>
    </xf>
    <xf numFmtId="0" fontId="17" fillId="57" borderId="0" xfId="0" applyFont="1" applyFill="1" applyAlignment="1">
      <alignment horizontal="left"/>
    </xf>
    <xf numFmtId="0" fontId="41" fillId="57" borderId="0" xfId="0" applyFont="1" applyFill="1" applyAlignment="1">
      <alignment horizontal="left" vertical="center"/>
    </xf>
    <xf numFmtId="0" fontId="17" fillId="0" borderId="0" xfId="0" applyFont="1" applyAlignment="1">
      <alignment wrapText="1"/>
    </xf>
    <xf numFmtId="0" fontId="41" fillId="0" borderId="0" xfId="0" applyFont="1" applyAlignment="1">
      <alignment horizontal="left" vertical="center"/>
    </xf>
    <xf numFmtId="0" fontId="22" fillId="0" borderId="385" xfId="8" applyFont="1" applyBorder="1" applyAlignment="1">
      <alignment horizontal="center"/>
    </xf>
    <xf numFmtId="0" fontId="22" fillId="0" borderId="386" xfId="8" applyFont="1" applyBorder="1" applyAlignment="1">
      <alignment horizontal="center"/>
    </xf>
    <xf numFmtId="0" fontId="24" fillId="31" borderId="384" xfId="1" applyFont="1" applyFill="1" applyBorder="1" applyAlignment="1">
      <alignment horizontal="center" vertical="center" textRotation="90" wrapText="1" shrinkToFit="1"/>
    </xf>
    <xf numFmtId="49" fontId="17" fillId="0" borderId="0" xfId="0" quotePrefix="1" applyNumberFormat="1" applyFont="1" applyAlignment="1">
      <alignment horizontal="right" vertical="top"/>
    </xf>
    <xf numFmtId="0" fontId="23" fillId="0" borderId="0" xfId="0" applyFont="1" applyAlignment="1">
      <alignment horizontal="left"/>
    </xf>
    <xf numFmtId="0" fontId="19" fillId="8" borderId="387" xfId="0" applyFont="1" applyFill="1" applyBorder="1" applyAlignment="1">
      <alignment horizontal="center"/>
    </xf>
    <xf numFmtId="0" fontId="70" fillId="8" borderId="388" xfId="0" quotePrefix="1" applyFont="1" applyFill="1" applyBorder="1" applyAlignment="1">
      <alignment horizontal="center"/>
    </xf>
    <xf numFmtId="0" fontId="19" fillId="8" borderId="388" xfId="0" applyFont="1" applyFill="1" applyBorder="1" applyAlignment="1">
      <alignment horizontal="center"/>
    </xf>
    <xf numFmtId="0" fontId="19" fillId="8" borderId="389" xfId="0" applyFont="1" applyFill="1" applyBorder="1" applyAlignment="1">
      <alignment horizontal="center"/>
    </xf>
    <xf numFmtId="0" fontId="19" fillId="8" borderId="390" xfId="0" applyFont="1" applyFill="1" applyBorder="1" applyAlignment="1">
      <alignment horizontal="center"/>
    </xf>
    <xf numFmtId="0" fontId="26" fillId="15" borderId="387" xfId="0" applyFont="1" applyFill="1" applyBorder="1" applyAlignment="1">
      <alignment horizontal="center" vertical="center"/>
    </xf>
    <xf numFmtId="0" fontId="29" fillId="15" borderId="388" xfId="0" applyFont="1" applyFill="1" applyBorder="1" applyAlignment="1">
      <alignment horizontal="center" vertical="center"/>
    </xf>
    <xf numFmtId="0" fontId="14" fillId="0" borderId="388" xfId="0" applyFont="1" applyBorder="1" applyAlignment="1">
      <alignment horizontal="center" vertical="center"/>
    </xf>
    <xf numFmtId="49" fontId="14" fillId="58" borderId="388" xfId="0" applyNumberFormat="1" applyFont="1" applyFill="1" applyBorder="1" applyAlignment="1">
      <alignment horizontal="center" vertical="center"/>
    </xf>
    <xf numFmtId="49" fontId="14" fillId="0" borderId="388" xfId="0" applyNumberFormat="1" applyFont="1" applyBorder="1" applyAlignment="1">
      <alignment horizontal="center" vertical="center"/>
    </xf>
    <xf numFmtId="49" fontId="14" fillId="58" borderId="391" xfId="0" applyNumberFormat="1" applyFont="1" applyFill="1" applyBorder="1" applyAlignment="1">
      <alignment horizontal="center" vertical="center"/>
    </xf>
    <xf numFmtId="0" fontId="27" fillId="0" borderId="393" xfId="0" applyFont="1" applyBorder="1" applyAlignment="1">
      <alignment vertical="center" shrinkToFit="1"/>
    </xf>
    <xf numFmtId="0" fontId="27" fillId="0" borderId="394" xfId="0" applyFont="1" applyBorder="1" applyAlignment="1">
      <alignment vertical="center" shrinkToFit="1"/>
    </xf>
    <xf numFmtId="0" fontId="27" fillId="0" borderId="395" xfId="0" applyFont="1" applyBorder="1" applyAlignment="1">
      <alignment vertical="center" shrinkToFit="1"/>
    </xf>
    <xf numFmtId="0" fontId="27" fillId="0" borderId="396" xfId="0" applyFont="1" applyBorder="1" applyAlignment="1">
      <alignment vertical="center" shrinkToFit="1"/>
    </xf>
    <xf numFmtId="0" fontId="27" fillId="0" borderId="397" xfId="0" applyFont="1" applyBorder="1" applyAlignment="1">
      <alignment vertical="center" shrinkToFit="1"/>
    </xf>
    <xf numFmtId="0" fontId="26" fillId="0" borderId="395" xfId="0" applyFont="1" applyBorder="1" applyAlignment="1">
      <alignment horizontal="center" vertical="center"/>
    </xf>
    <xf numFmtId="0" fontId="26" fillId="0" borderId="398" xfId="0" applyFont="1" applyBorder="1" applyAlignment="1">
      <alignment horizontal="center" vertical="center"/>
    </xf>
    <xf numFmtId="0" fontId="27" fillId="0" borderId="392" xfId="0" applyFont="1" applyBorder="1" applyAlignment="1">
      <alignment vertical="center" shrinkToFit="1"/>
    </xf>
    <xf numFmtId="0" fontId="22" fillId="25" borderId="399" xfId="0" applyFont="1" applyFill="1" applyBorder="1" applyAlignment="1">
      <alignment horizontal="left" vertical="center" wrapText="1"/>
    </xf>
    <xf numFmtId="0" fontId="26" fillId="17" borderId="387" xfId="0" applyFont="1" applyFill="1" applyBorder="1" applyAlignment="1">
      <alignment horizontal="center" vertical="center"/>
    </xf>
    <xf numFmtId="0" fontId="29" fillId="17" borderId="388" xfId="0" applyFont="1" applyFill="1" applyBorder="1" applyAlignment="1">
      <alignment horizontal="center" vertical="center"/>
    </xf>
    <xf numFmtId="0" fontId="14" fillId="15" borderId="388" xfId="0" applyFont="1" applyFill="1" applyBorder="1" applyAlignment="1">
      <alignment horizontal="center" vertical="center"/>
    </xf>
    <xf numFmtId="49" fontId="14" fillId="15" borderId="388" xfId="0" applyNumberFormat="1" applyFont="1" applyFill="1" applyBorder="1" applyAlignment="1">
      <alignment horizontal="center" vertical="center"/>
    </xf>
    <xf numFmtId="0" fontId="23" fillId="0" borderId="401" xfId="0" applyFont="1" applyBorder="1"/>
    <xf numFmtId="0" fontId="23" fillId="0" borderId="402" xfId="0" applyFont="1" applyBorder="1"/>
    <xf numFmtId="0" fontId="23" fillId="0" borderId="403" xfId="0" applyFont="1" applyBorder="1"/>
    <xf numFmtId="0" fontId="23" fillId="0" borderId="404" xfId="0" applyFont="1" applyBorder="1"/>
    <xf numFmtId="0" fontId="23" fillId="0" borderId="405" xfId="0" applyFont="1" applyBorder="1"/>
    <xf numFmtId="0" fontId="26" fillId="0" borderId="403" xfId="0" applyFont="1" applyBorder="1" applyAlignment="1">
      <alignment horizontal="center" vertical="center"/>
    </xf>
    <xf numFmtId="0" fontId="26" fillId="0" borderId="406" xfId="0" applyFont="1" applyBorder="1" applyAlignment="1">
      <alignment horizontal="center" vertical="center"/>
    </xf>
    <xf numFmtId="0" fontId="23" fillId="0" borderId="372" xfId="0" applyFont="1" applyBorder="1"/>
    <xf numFmtId="0" fontId="17" fillId="25" borderId="407" xfId="0" applyFont="1" applyFill="1" applyBorder="1"/>
    <xf numFmtId="0" fontId="27" fillId="20" borderId="393" xfId="0" applyFont="1" applyFill="1" applyBorder="1" applyAlignment="1">
      <alignment vertical="center" shrinkToFit="1"/>
    </xf>
    <xf numFmtId="0" fontId="27" fillId="20" borderId="394" xfId="0" applyFont="1" applyFill="1" applyBorder="1" applyAlignment="1">
      <alignment vertical="center" shrinkToFit="1"/>
    </xf>
    <xf numFmtId="0" fontId="27" fillId="20" borderId="395" xfId="0" applyFont="1" applyFill="1" applyBorder="1" applyAlignment="1">
      <alignment vertical="center" shrinkToFit="1"/>
    </xf>
    <xf numFmtId="0" fontId="27" fillId="20" borderId="396" xfId="0" applyFont="1" applyFill="1" applyBorder="1" applyAlignment="1">
      <alignment vertical="center" shrinkToFit="1"/>
    </xf>
    <xf numFmtId="0" fontId="27" fillId="20" borderId="397" xfId="0" applyFont="1" applyFill="1" applyBorder="1" applyAlignment="1">
      <alignment vertical="center" shrinkToFit="1"/>
    </xf>
    <xf numFmtId="0" fontId="26" fillId="20" borderId="395" xfId="0" applyFont="1" applyFill="1" applyBorder="1" applyAlignment="1">
      <alignment horizontal="center" vertical="center"/>
    </xf>
    <xf numFmtId="0" fontId="26" fillId="20" borderId="398" xfId="0" applyFont="1" applyFill="1" applyBorder="1" applyAlignment="1">
      <alignment horizontal="center" vertical="center"/>
    </xf>
    <xf numFmtId="0" fontId="27" fillId="0" borderId="372" xfId="0" applyFont="1" applyBorder="1" applyAlignment="1">
      <alignment vertical="center" shrinkToFit="1"/>
    </xf>
    <xf numFmtId="0" fontId="23" fillId="20" borderId="401" xfId="0" applyFont="1" applyFill="1" applyBorder="1"/>
    <xf numFmtId="0" fontId="23" fillId="20" borderId="402" xfId="0" applyFont="1" applyFill="1" applyBorder="1"/>
    <xf numFmtId="0" fontId="23" fillId="20" borderId="403" xfId="0" applyFont="1" applyFill="1" applyBorder="1"/>
    <xf numFmtId="0" fontId="23" fillId="20" borderId="404" xfId="0" applyFont="1" applyFill="1" applyBorder="1"/>
    <xf numFmtId="0" fontId="23" fillId="20" borderId="405" xfId="0" applyFont="1" applyFill="1" applyBorder="1"/>
    <xf numFmtId="0" fontId="26" fillId="20" borderId="403" xfId="0" applyFont="1" applyFill="1" applyBorder="1" applyAlignment="1">
      <alignment horizontal="center" vertical="center"/>
    </xf>
    <xf numFmtId="0" fontId="26" fillId="20" borderId="406" xfId="0" applyFont="1" applyFill="1" applyBorder="1" applyAlignment="1">
      <alignment horizontal="center" vertical="center"/>
    </xf>
    <xf numFmtId="0" fontId="22" fillId="0" borderId="0" xfId="0" applyFont="1" applyAlignment="1">
      <alignment horizontal="left" vertical="top" wrapText="1"/>
    </xf>
    <xf numFmtId="0" fontId="48" fillId="0" borderId="408" xfId="0" applyFont="1" applyBorder="1" applyAlignment="1">
      <alignment horizontal="left" vertical="top" wrapText="1"/>
    </xf>
    <xf numFmtId="0" fontId="48" fillId="0" borderId="409" xfId="0" applyFont="1" applyBorder="1" applyAlignment="1">
      <alignment horizontal="left" vertical="top" wrapText="1"/>
    </xf>
    <xf numFmtId="0" fontId="48" fillId="0" borderId="410" xfId="0" applyFont="1" applyBorder="1" applyAlignment="1">
      <alignment horizontal="left" vertical="top" wrapText="1"/>
    </xf>
    <xf numFmtId="0" fontId="48" fillId="0" borderId="0" xfId="0" applyFont="1" applyAlignment="1">
      <alignment horizontal="left" vertical="top" wrapText="1"/>
    </xf>
    <xf numFmtId="0" fontId="48" fillId="0" borderId="323" xfId="0" applyFont="1" applyBorder="1" applyAlignment="1">
      <alignment horizontal="left" vertical="top" wrapText="1"/>
    </xf>
    <xf numFmtId="0" fontId="48" fillId="0" borderId="321" xfId="0" applyFont="1" applyBorder="1" applyAlignment="1">
      <alignment horizontal="left" vertical="top" wrapText="1"/>
    </xf>
    <xf numFmtId="0" fontId="48" fillId="0" borderId="322" xfId="0" applyFont="1" applyBorder="1" applyAlignment="1">
      <alignment horizontal="left" vertical="top" wrapText="1"/>
    </xf>
    <xf numFmtId="0" fontId="13" fillId="0" borderId="0" xfId="0" applyFont="1" applyAlignment="1">
      <alignment horizontal="right" vertical="center" shrinkToFit="1"/>
    </xf>
    <xf numFmtId="0" fontId="68" fillId="0" borderId="0" xfId="0" applyFont="1" applyAlignment="1">
      <alignment vertical="center"/>
    </xf>
    <xf numFmtId="0" fontId="69" fillId="0" borderId="0" xfId="0" applyFont="1" applyAlignment="1">
      <alignment horizontal="right" vertical="center"/>
    </xf>
    <xf numFmtId="0" fontId="18" fillId="0" borderId="0" xfId="0" applyFont="1"/>
    <xf numFmtId="0" fontId="17" fillId="3" borderId="332" xfId="9" applyFont="1" applyFill="1" applyBorder="1" applyProtection="1">
      <protection locked="0"/>
    </xf>
    <xf numFmtId="0" fontId="73" fillId="0" borderId="0" xfId="0" applyFont="1"/>
    <xf numFmtId="49" fontId="74" fillId="3" borderId="76" xfId="1" applyNumberFormat="1" applyFont="1" applyFill="1" applyBorder="1" applyAlignment="1" applyProtection="1">
      <alignment horizontal="center" wrapText="1" shrinkToFit="1"/>
      <protection locked="0"/>
    </xf>
    <xf numFmtId="0" fontId="74" fillId="3" borderId="77" xfId="9" applyFont="1" applyFill="1" applyBorder="1" applyAlignment="1" applyProtection="1">
      <alignment horizontal="left"/>
      <protection locked="0"/>
    </xf>
    <xf numFmtId="0" fontId="17" fillId="64" borderId="332" xfId="9" applyFont="1" applyFill="1" applyBorder="1" applyProtection="1">
      <protection locked="0"/>
    </xf>
    <xf numFmtId="14" fontId="17" fillId="57" borderId="0" xfId="1" applyNumberFormat="1" applyFont="1" applyFill="1" applyAlignment="1">
      <alignment horizontal="left" vertical="top" wrapText="1"/>
    </xf>
    <xf numFmtId="14" fontId="17" fillId="0" borderId="0" xfId="1" applyNumberFormat="1" applyFont="1" applyAlignment="1">
      <alignment horizontal="center"/>
    </xf>
    <xf numFmtId="0" fontId="26" fillId="0" borderId="1" xfId="1" applyFont="1" applyBorder="1" applyAlignment="1">
      <alignment horizontal="center" wrapText="1"/>
    </xf>
    <xf numFmtId="0" fontId="26" fillId="0" borderId="0" xfId="1" applyFont="1" applyAlignment="1">
      <alignment horizontal="center" wrapText="1"/>
    </xf>
    <xf numFmtId="0" fontId="26" fillId="0" borderId="1" xfId="1" applyFont="1" applyBorder="1" applyAlignment="1">
      <alignment horizontal="center" vertical="center" wrapText="1"/>
    </xf>
    <xf numFmtId="0" fontId="26" fillId="0" borderId="0" xfId="1" applyFont="1" applyAlignment="1">
      <alignment horizontal="center" vertical="center" wrapText="1"/>
    </xf>
    <xf numFmtId="0" fontId="72" fillId="0" borderId="1" xfId="8" applyFont="1" applyBorder="1" applyAlignment="1">
      <alignment horizontal="center"/>
    </xf>
    <xf numFmtId="0" fontId="72" fillId="0" borderId="0" xfId="8" applyFont="1" applyAlignment="1">
      <alignment horizontal="center"/>
    </xf>
    <xf numFmtId="14" fontId="17" fillId="0" borderId="1" xfId="8" applyNumberFormat="1" applyFont="1" applyBorder="1" applyAlignment="1">
      <alignment horizontal="center"/>
    </xf>
    <xf numFmtId="14" fontId="17" fillId="0" borderId="0" xfId="8" applyNumberFormat="1" applyFont="1" applyAlignment="1">
      <alignment horizontal="center"/>
    </xf>
    <xf numFmtId="14" fontId="17" fillId="57" borderId="0" xfId="1" applyNumberFormat="1" applyFont="1" applyFill="1" applyAlignment="1">
      <alignment horizontal="center"/>
    </xf>
    <xf numFmtId="0" fontId="18" fillId="57" borderId="185" xfId="1" applyFont="1" applyFill="1" applyBorder="1" applyAlignment="1">
      <alignment horizontal="left" vertical="center" wrapText="1"/>
    </xf>
    <xf numFmtId="0" fontId="23" fillId="22" borderId="0" xfId="1" applyFont="1" applyFill="1" applyAlignment="1">
      <alignment horizontal="left" vertical="center" wrapText="1"/>
    </xf>
    <xf numFmtId="0" fontId="23" fillId="3" borderId="46" xfId="1" applyFont="1" applyFill="1" applyBorder="1" applyAlignment="1">
      <alignment horizontal="center" vertical="center"/>
    </xf>
    <xf numFmtId="0" fontId="17" fillId="3" borderId="0" xfId="1" applyFont="1" applyFill="1" applyAlignment="1">
      <alignment horizontal="left" vertical="center" wrapText="1"/>
    </xf>
    <xf numFmtId="0" fontId="17" fillId="3" borderId="0" xfId="1" applyFont="1" applyFill="1" applyAlignment="1">
      <alignment horizontal="left" wrapText="1"/>
    </xf>
    <xf numFmtId="0" fontId="0" fillId="0" borderId="0" xfId="0" applyAlignment="1">
      <alignment horizontal="center"/>
    </xf>
    <xf numFmtId="0" fontId="17" fillId="3" borderId="0" xfId="1" applyFont="1" applyFill="1" applyAlignment="1">
      <alignment wrapText="1"/>
    </xf>
    <xf numFmtId="0" fontId="41" fillId="3" borderId="0" xfId="1" applyFont="1" applyFill="1" applyAlignment="1">
      <alignment horizontal="left" wrapText="1"/>
    </xf>
    <xf numFmtId="0" fontId="23" fillId="3" borderId="0" xfId="1" applyFont="1" applyFill="1" applyAlignment="1">
      <alignment horizontal="left" wrapText="1"/>
    </xf>
    <xf numFmtId="0" fontId="23" fillId="3" borderId="364" xfId="1" applyFont="1" applyFill="1" applyBorder="1" applyAlignment="1">
      <alignment horizontal="center" vertical="center" wrapText="1"/>
    </xf>
    <xf numFmtId="0" fontId="17" fillId="3" borderId="365" xfId="1" applyFont="1" applyFill="1" applyBorder="1" applyAlignment="1">
      <alignment horizontal="center" vertical="center" wrapText="1"/>
    </xf>
    <xf numFmtId="0" fontId="17" fillId="3" borderId="366" xfId="1" applyFont="1" applyFill="1" applyBorder="1" applyAlignment="1">
      <alignment horizontal="center" vertical="center" wrapText="1"/>
    </xf>
    <xf numFmtId="0" fontId="0" fillId="0" borderId="241" xfId="0" applyBorder="1" applyAlignment="1">
      <alignment wrapText="1"/>
    </xf>
    <xf numFmtId="0" fontId="0" fillId="0" borderId="0" xfId="0" applyAlignment="1">
      <alignment wrapText="1"/>
    </xf>
    <xf numFmtId="0" fontId="0" fillId="0" borderId="58" xfId="0" applyBorder="1" applyAlignment="1">
      <alignment wrapText="1"/>
    </xf>
    <xf numFmtId="0" fontId="0" fillId="0" borderId="241" xfId="0" applyBorder="1" applyAlignment="1">
      <alignment horizontal="center"/>
    </xf>
    <xf numFmtId="0" fontId="0" fillId="0" borderId="58" xfId="0" applyBorder="1" applyAlignment="1">
      <alignment horizontal="center"/>
    </xf>
    <xf numFmtId="0" fontId="0" fillId="0" borderId="368" xfId="0" applyBorder="1" applyAlignment="1">
      <alignment horizontal="center"/>
    </xf>
    <xf numFmtId="0" fontId="0" fillId="0" borderId="369" xfId="0" applyBorder="1" applyAlignment="1">
      <alignment horizontal="center"/>
    </xf>
    <xf numFmtId="0" fontId="0" fillId="0" borderId="370" xfId="0" applyBorder="1" applyAlignment="1">
      <alignment horizontal="center"/>
    </xf>
    <xf numFmtId="0" fontId="61" fillId="3" borderId="270" xfId="3" applyFont="1" applyFill="1" applyBorder="1" applyAlignment="1" applyProtection="1">
      <alignment horizontal="left" vertical="top"/>
      <protection locked="0"/>
    </xf>
    <xf numFmtId="0" fontId="61" fillId="3" borderId="150" xfId="3" applyFont="1" applyFill="1" applyBorder="1" applyAlignment="1" applyProtection="1">
      <alignment horizontal="left" vertical="top"/>
      <protection locked="0"/>
    </xf>
    <xf numFmtId="0" fontId="61" fillId="3" borderId="271" xfId="3" applyFont="1" applyFill="1" applyBorder="1" applyAlignment="1" applyProtection="1">
      <alignment horizontal="left" vertical="top"/>
      <protection locked="0"/>
    </xf>
    <xf numFmtId="0" fontId="61" fillId="3" borderId="315" xfId="3" applyFont="1" applyFill="1" applyBorder="1" applyAlignment="1" applyProtection="1">
      <alignment horizontal="left" vertical="top"/>
      <protection locked="0"/>
    </xf>
    <xf numFmtId="0" fontId="61" fillId="3" borderId="346" xfId="3" applyFont="1" applyFill="1" applyBorder="1" applyAlignment="1" applyProtection="1">
      <alignment horizontal="left" vertical="top"/>
      <protection locked="0"/>
    </xf>
    <xf numFmtId="0" fontId="61" fillId="3" borderId="182" xfId="3" applyFont="1" applyFill="1" applyBorder="1" applyAlignment="1" applyProtection="1">
      <alignment horizontal="left" vertical="top"/>
      <protection locked="0"/>
    </xf>
    <xf numFmtId="0" fontId="61" fillId="3" borderId="183" xfId="3" applyFont="1" applyFill="1" applyBorder="1" applyAlignment="1" applyProtection="1">
      <alignment horizontal="left" vertical="top"/>
      <protection locked="0"/>
    </xf>
    <xf numFmtId="0" fontId="61" fillId="3" borderId="243" xfId="3" applyFont="1" applyFill="1" applyBorder="1" applyAlignment="1" applyProtection="1">
      <alignment horizontal="left" vertical="top"/>
      <protection locked="0"/>
    </xf>
    <xf numFmtId="0" fontId="61" fillId="66" borderId="265" xfId="3" applyFont="1" applyFill="1" applyBorder="1" applyAlignment="1">
      <alignment horizontal="left" vertical="center"/>
    </xf>
    <xf numFmtId="0" fontId="61" fillId="66" borderId="266" xfId="3" applyFont="1" applyFill="1" applyBorder="1" applyAlignment="1">
      <alignment horizontal="left" vertical="center"/>
    </xf>
    <xf numFmtId="0" fontId="61" fillId="21" borderId="267" xfId="3" applyFont="1" applyFill="1" applyBorder="1" applyAlignment="1">
      <alignment horizontal="right" vertical="center"/>
    </xf>
    <xf numFmtId="0" fontId="61" fillId="21" borderId="266" xfId="3" applyFont="1" applyFill="1" applyBorder="1" applyAlignment="1">
      <alignment horizontal="right" vertical="center"/>
    </xf>
    <xf numFmtId="0" fontId="66" fillId="4" borderId="304" xfId="3" applyFont="1" applyFill="1" applyBorder="1" applyAlignment="1">
      <alignment horizontal="center"/>
    </xf>
    <xf numFmtId="0" fontId="66" fillId="4" borderId="263" xfId="3" applyFont="1" applyFill="1" applyBorder="1" applyAlignment="1">
      <alignment horizontal="center"/>
    </xf>
    <xf numFmtId="0" fontId="66" fillId="4" borderId="314" xfId="3" applyFont="1" applyFill="1" applyBorder="1" applyAlignment="1">
      <alignment horizontal="center"/>
    </xf>
    <xf numFmtId="0" fontId="66" fillId="4" borderId="305" xfId="3" applyFont="1" applyFill="1" applyBorder="1" applyAlignment="1">
      <alignment horizontal="center"/>
    </xf>
    <xf numFmtId="18" fontId="58" fillId="0" borderId="308" xfId="3" applyNumberFormat="1" applyFont="1" applyBorder="1" applyAlignment="1" applyProtection="1">
      <alignment horizontal="center" vertical="center"/>
      <protection locked="0"/>
    </xf>
    <xf numFmtId="18" fontId="58" fillId="0" borderId="306" xfId="3" applyNumberFormat="1" applyFont="1" applyBorder="1" applyAlignment="1" applyProtection="1">
      <alignment horizontal="center" vertical="center"/>
      <protection locked="0"/>
    </xf>
    <xf numFmtId="0" fontId="61" fillId="67" borderId="320" xfId="3" applyFont="1" applyFill="1" applyBorder="1" applyAlignment="1">
      <alignment horizontal="left" vertical="center"/>
    </xf>
    <xf numFmtId="0" fontId="61" fillId="67" borderId="316" xfId="3" applyFont="1" applyFill="1" applyBorder="1" applyAlignment="1">
      <alignment horizontal="left" vertical="center"/>
    </xf>
    <xf numFmtId="0" fontId="61" fillId="67" borderId="317" xfId="3" applyFont="1" applyFill="1" applyBorder="1" applyAlignment="1">
      <alignment horizontal="left" vertical="center"/>
    </xf>
    <xf numFmtId="0" fontId="61" fillId="67" borderId="318" xfId="3" applyFont="1" applyFill="1" applyBorder="1" applyAlignment="1">
      <alignment horizontal="left" vertical="center"/>
    </xf>
    <xf numFmtId="0" fontId="63" fillId="4" borderId="286" xfId="3" applyFont="1" applyFill="1" applyBorder="1" applyAlignment="1">
      <alignment horizontal="center"/>
    </xf>
    <xf numFmtId="0" fontId="63" fillId="4" borderId="83" xfId="3" applyFont="1" applyFill="1" applyBorder="1" applyAlignment="1">
      <alignment horizontal="center"/>
    </xf>
    <xf numFmtId="0" fontId="63" fillId="4" borderId="341" xfId="3" applyFont="1" applyFill="1" applyBorder="1" applyAlignment="1">
      <alignment horizontal="center"/>
    </xf>
    <xf numFmtId="0" fontId="63" fillId="4" borderId="39" xfId="3" applyFont="1" applyFill="1" applyBorder="1" applyAlignment="1">
      <alignment horizontal="center"/>
    </xf>
    <xf numFmtId="0" fontId="63" fillId="4" borderId="287" xfId="3" applyFont="1" applyFill="1" applyBorder="1" applyAlignment="1">
      <alignment horizontal="center"/>
    </xf>
    <xf numFmtId="0" fontId="57" fillId="29" borderId="276" xfId="3" applyFont="1" applyFill="1" applyBorder="1" applyAlignment="1">
      <alignment horizontal="center"/>
    </xf>
    <xf numFmtId="0" fontId="57" fillId="29" borderId="277" xfId="3" applyFont="1" applyFill="1" applyBorder="1" applyAlignment="1">
      <alignment horizontal="center"/>
    </xf>
    <xf numFmtId="0" fontId="57" fillId="29" borderId="248" xfId="3" applyFont="1" applyFill="1" applyBorder="1" applyAlignment="1">
      <alignment horizontal="center"/>
    </xf>
    <xf numFmtId="0" fontId="57" fillId="29" borderId="288" xfId="3" applyFont="1" applyFill="1" applyBorder="1" applyAlignment="1">
      <alignment horizontal="center"/>
    </xf>
    <xf numFmtId="0" fontId="57" fillId="29" borderId="289" xfId="3" applyFont="1" applyFill="1" applyBorder="1" applyAlignment="1">
      <alignment horizontal="center"/>
    </xf>
    <xf numFmtId="0" fontId="57" fillId="29" borderId="290" xfId="3" applyFont="1" applyFill="1" applyBorder="1" applyAlignment="1">
      <alignment horizontal="center"/>
    </xf>
    <xf numFmtId="0" fontId="17" fillId="0" borderId="85" xfId="3" applyFont="1" applyBorder="1" applyAlignment="1" applyProtection="1">
      <alignment horizontal="left"/>
      <protection locked="0"/>
    </xf>
    <xf numFmtId="0" fontId="58" fillId="0" borderId="85" xfId="3" applyFont="1" applyBorder="1" applyAlignment="1" applyProtection="1">
      <alignment horizontal="left"/>
      <protection locked="0"/>
    </xf>
    <xf numFmtId="0" fontId="58" fillId="0" borderId="332" xfId="3" applyFont="1" applyBorder="1" applyAlignment="1" applyProtection="1">
      <alignment horizontal="left"/>
      <protection locked="0"/>
    </xf>
    <xf numFmtId="0" fontId="58" fillId="0" borderId="77" xfId="3" applyFont="1" applyBorder="1" applyAlignment="1" applyProtection="1">
      <alignment horizontal="left"/>
      <protection locked="0"/>
    </xf>
    <xf numFmtId="0" fontId="60" fillId="21" borderId="80" xfId="3" applyFont="1" applyFill="1" applyBorder="1" applyAlignment="1">
      <alignment horizontal="center"/>
    </xf>
    <xf numFmtId="0" fontId="60" fillId="21" borderId="75" xfId="3" applyFont="1" applyFill="1" applyBorder="1" applyAlignment="1">
      <alignment horizontal="center"/>
    </xf>
    <xf numFmtId="0" fontId="17" fillId="0" borderId="332" xfId="9" applyFont="1" applyBorder="1" applyAlignment="1" applyProtection="1">
      <alignment horizontal="left"/>
      <protection locked="0"/>
    </xf>
    <xf numFmtId="0" fontId="58" fillId="0" borderId="342" xfId="9" applyFont="1" applyBorder="1" applyAlignment="1" applyProtection="1">
      <alignment horizontal="left"/>
      <protection locked="0"/>
    </xf>
    <xf numFmtId="0" fontId="58" fillId="0" borderId="357" xfId="9" applyFont="1" applyBorder="1" applyAlignment="1" applyProtection="1">
      <alignment horizontal="left"/>
      <protection locked="0"/>
    </xf>
    <xf numFmtId="0" fontId="60" fillId="29" borderId="85" xfId="3" applyFont="1" applyFill="1" applyBorder="1" applyAlignment="1">
      <alignment horizontal="center"/>
    </xf>
    <xf numFmtId="0" fontId="60" fillId="29" borderId="332" xfId="3" applyFont="1" applyFill="1" applyBorder="1" applyAlignment="1">
      <alignment horizontal="center"/>
    </xf>
    <xf numFmtId="0" fontId="60" fillId="29" borderId="77" xfId="3" applyFont="1" applyFill="1" applyBorder="1" applyAlignment="1">
      <alignment horizontal="center"/>
    </xf>
    <xf numFmtId="0" fontId="61" fillId="29" borderId="237" xfId="3" applyFont="1" applyFill="1" applyBorder="1" applyAlignment="1">
      <alignment horizontal="center"/>
    </xf>
    <xf numFmtId="0" fontId="61" fillId="29" borderId="75" xfId="3" applyFont="1" applyFill="1" applyBorder="1" applyAlignment="1">
      <alignment horizontal="center"/>
    </xf>
    <xf numFmtId="0" fontId="60" fillId="29" borderId="108" xfId="9" applyFont="1" applyFill="1" applyBorder="1" applyAlignment="1">
      <alignment horizontal="center"/>
    </xf>
    <xf numFmtId="0" fontId="60" fillId="29" borderId="293" xfId="9" applyFont="1" applyFill="1" applyBorder="1" applyAlignment="1">
      <alignment horizontal="center"/>
    </xf>
    <xf numFmtId="0" fontId="17" fillId="0" borderId="77" xfId="3" applyFont="1" applyBorder="1" applyAlignment="1" applyProtection="1">
      <alignment horizontal="left"/>
      <protection locked="0"/>
    </xf>
    <xf numFmtId="0" fontId="58" fillId="0" borderId="78" xfId="3" applyFont="1" applyBorder="1" applyAlignment="1" applyProtection="1">
      <alignment horizontal="left"/>
      <protection locked="0"/>
    </xf>
    <xf numFmtId="0" fontId="58" fillId="0" borderId="342" xfId="3" applyFont="1" applyBorder="1" applyAlignment="1" applyProtection="1">
      <alignment horizontal="left"/>
      <protection locked="0"/>
    </xf>
    <xf numFmtId="0" fontId="58" fillId="0" borderId="48" xfId="3" applyFont="1" applyBorder="1" applyAlignment="1" applyProtection="1">
      <alignment horizontal="left"/>
      <protection locked="0"/>
    </xf>
    <xf numFmtId="0" fontId="60" fillId="21" borderId="49" xfId="3" applyFont="1" applyFill="1" applyBorder="1" applyAlignment="1">
      <alignment horizontal="center"/>
    </xf>
    <xf numFmtId="0" fontId="60" fillId="21" borderId="43" xfId="3" applyFont="1" applyFill="1" applyBorder="1" applyAlignment="1">
      <alignment horizontal="center"/>
    </xf>
    <xf numFmtId="0" fontId="64" fillId="21" borderId="49" xfId="3" applyFont="1" applyFill="1" applyBorder="1" applyAlignment="1">
      <alignment horizontal="center"/>
    </xf>
    <xf numFmtId="0" fontId="64" fillId="21" borderId="43" xfId="3" applyFont="1" applyFill="1" applyBorder="1" applyAlignment="1">
      <alignment horizontal="center"/>
    </xf>
    <xf numFmtId="0" fontId="64" fillId="21" borderId="237" xfId="3" applyFont="1" applyFill="1" applyBorder="1" applyAlignment="1">
      <alignment horizontal="center"/>
    </xf>
    <xf numFmtId="0" fontId="64" fillId="21" borderId="75" xfId="3" applyFont="1" applyFill="1" applyBorder="1" applyAlignment="1">
      <alignment horizontal="center"/>
    </xf>
    <xf numFmtId="0" fontId="59" fillId="4" borderId="276" xfId="3" applyFont="1" applyFill="1" applyBorder="1" applyAlignment="1">
      <alignment horizontal="center"/>
    </xf>
    <xf numFmtId="0" fontId="59" fillId="4" borderId="277" xfId="3" applyFont="1" applyFill="1" applyBorder="1" applyAlignment="1">
      <alignment horizontal="center"/>
    </xf>
    <xf numFmtId="0" fontId="59" fillId="4" borderId="278" xfId="3" applyFont="1" applyFill="1" applyBorder="1" applyAlignment="1">
      <alignment horizontal="center"/>
    </xf>
    <xf numFmtId="0" fontId="59" fillId="4" borderId="279" xfId="3" applyFont="1" applyFill="1" applyBorder="1" applyAlignment="1">
      <alignment horizontal="center"/>
    </xf>
    <xf numFmtId="0" fontId="60" fillId="29" borderId="280" xfId="3" applyFont="1" applyFill="1" applyBorder="1" applyAlignment="1">
      <alignment horizontal="center" vertical="center"/>
    </xf>
    <xf numFmtId="0" fontId="60" fillId="29" borderId="236" xfId="3" applyFont="1" applyFill="1" applyBorder="1" applyAlignment="1">
      <alignment horizontal="center" vertical="center"/>
    </xf>
    <xf numFmtId="0" fontId="58" fillId="0" borderId="281" xfId="9" applyFont="1" applyBorder="1" applyAlignment="1" applyProtection="1">
      <alignment horizontal="center"/>
      <protection locked="0"/>
    </xf>
    <xf numFmtId="0" fontId="58" fillId="0" borderId="262" xfId="9" applyFont="1" applyBorder="1" applyAlignment="1" applyProtection="1">
      <alignment horizontal="center"/>
      <protection locked="0"/>
    </xf>
    <xf numFmtId="0" fontId="58" fillId="0" borderId="330" xfId="9" applyFont="1" applyBorder="1" applyAlignment="1" applyProtection="1">
      <alignment horizontal="center"/>
      <protection locked="0"/>
    </xf>
    <xf numFmtId="0" fontId="58" fillId="3" borderId="249" xfId="9" applyFont="1" applyFill="1" applyBorder="1" applyAlignment="1" applyProtection="1">
      <alignment horizontal="center"/>
      <protection locked="0"/>
    </xf>
    <xf numFmtId="0" fontId="58" fillId="3" borderId="282" xfId="9" applyFont="1" applyFill="1" applyBorder="1" applyAlignment="1" applyProtection="1">
      <alignment horizontal="center"/>
      <protection locked="0"/>
    </xf>
    <xf numFmtId="0" fontId="61" fillId="21" borderId="106" xfId="9" applyFont="1" applyFill="1" applyBorder="1" applyAlignment="1">
      <alignment horizontal="center" vertical="top"/>
    </xf>
    <xf numFmtId="0" fontId="61" fillId="21" borderId="339" xfId="9" applyFont="1" applyFill="1" applyBorder="1" applyAlignment="1">
      <alignment horizontal="center" vertical="top"/>
    </xf>
    <xf numFmtId="0" fontId="61" fillId="21" borderId="250" xfId="9" applyFont="1" applyFill="1" applyBorder="1" applyAlignment="1">
      <alignment horizontal="center" vertical="top"/>
    </xf>
    <xf numFmtId="0" fontId="61" fillId="21" borderId="333" xfId="8" applyFont="1" applyFill="1" applyBorder="1" applyAlignment="1">
      <alignment horizontal="center" vertical="top"/>
    </xf>
    <xf numFmtId="0" fontId="61" fillId="21" borderId="283" xfId="8" applyFont="1" applyFill="1" applyBorder="1" applyAlignment="1">
      <alignment horizontal="center" vertical="top"/>
    </xf>
    <xf numFmtId="167" fontId="58" fillId="0" borderId="251" xfId="9" applyNumberFormat="1" applyFont="1" applyBorder="1" applyAlignment="1" applyProtection="1">
      <alignment horizontal="center" shrinkToFit="1"/>
      <protection locked="0"/>
    </xf>
    <xf numFmtId="0" fontId="60" fillId="29" borderId="251" xfId="9" applyFont="1" applyFill="1" applyBorder="1" applyAlignment="1">
      <alignment horizontal="center"/>
    </xf>
    <xf numFmtId="164" fontId="58" fillId="0" borderId="46" xfId="9" applyNumberFormat="1" applyFont="1" applyBorder="1" applyAlignment="1" applyProtection="1">
      <alignment horizontal="center"/>
      <protection locked="0"/>
    </xf>
    <xf numFmtId="18" fontId="58" fillId="0" borderId="42" xfId="9" applyNumberFormat="1" applyFont="1" applyBorder="1" applyAlignment="1" applyProtection="1">
      <alignment horizontal="center" vertical="center"/>
      <protection locked="0"/>
    </xf>
    <xf numFmtId="18" fontId="58" fillId="0" borderId="285" xfId="9" applyNumberFormat="1" applyFont="1" applyBorder="1" applyAlignment="1" applyProtection="1">
      <alignment horizontal="center" vertical="center"/>
      <protection locked="0"/>
    </xf>
    <xf numFmtId="0" fontId="29" fillId="63" borderId="253" xfId="9" applyFont="1" applyFill="1" applyBorder="1" applyAlignment="1">
      <alignment horizontal="center" vertical="top"/>
    </xf>
    <xf numFmtId="0" fontId="61" fillId="63" borderId="254" xfId="9" applyFont="1" applyFill="1" applyBorder="1" applyAlignment="1">
      <alignment horizontal="center" vertical="top"/>
    </xf>
    <xf numFmtId="0" fontId="61" fillId="63" borderId="255" xfId="9" applyFont="1" applyFill="1" applyBorder="1" applyAlignment="1">
      <alignment horizontal="center" vertical="top"/>
    </xf>
    <xf numFmtId="0" fontId="61" fillId="63" borderId="256" xfId="9" applyFont="1" applyFill="1" applyBorder="1" applyAlignment="1">
      <alignment horizontal="center" vertical="top"/>
    </xf>
    <xf numFmtId="0" fontId="61" fillId="63" borderId="257" xfId="9" applyFont="1" applyFill="1" applyBorder="1" applyAlignment="1">
      <alignment horizontal="center" vertical="top"/>
    </xf>
    <xf numFmtId="0" fontId="61" fillId="21" borderId="259" xfId="9" applyFont="1" applyFill="1" applyBorder="1" applyAlignment="1">
      <alignment horizontal="center" vertical="top"/>
    </xf>
    <xf numFmtId="0" fontId="61" fillId="21" borderId="260" xfId="9" applyFont="1" applyFill="1" applyBorder="1" applyAlignment="1">
      <alignment horizontal="center" vertical="top"/>
    </xf>
    <xf numFmtId="0" fontId="61" fillId="21" borderId="261" xfId="9" applyFont="1" applyFill="1" applyBorder="1" applyAlignment="1">
      <alignment horizontal="center" vertical="top"/>
    </xf>
    <xf numFmtId="0" fontId="61" fillId="21" borderId="70" xfId="9" applyFont="1" applyFill="1" applyBorder="1" applyAlignment="1">
      <alignment horizontal="center" vertical="top"/>
    </xf>
    <xf numFmtId="0" fontId="61" fillId="21" borderId="197" xfId="9" applyFont="1" applyFill="1" applyBorder="1" applyAlignment="1">
      <alignment horizontal="center" vertical="top"/>
    </xf>
    <xf numFmtId="0" fontId="61" fillId="21" borderId="340" xfId="9" applyFont="1" applyFill="1" applyBorder="1" applyAlignment="1">
      <alignment horizontal="center" vertical="top"/>
    </xf>
    <xf numFmtId="0" fontId="60" fillId="29" borderId="252" xfId="3" applyFont="1" applyFill="1" applyBorder="1" applyAlignment="1">
      <alignment horizontal="center" vertical="center" wrapText="1"/>
    </xf>
    <xf numFmtId="0" fontId="60" fillId="29" borderId="258" xfId="3" applyFont="1" applyFill="1" applyBorder="1" applyAlignment="1">
      <alignment horizontal="center" vertical="center"/>
    </xf>
    <xf numFmtId="0" fontId="64" fillId="21" borderId="294" xfId="3" applyFont="1" applyFill="1" applyBorder="1" applyAlignment="1">
      <alignment horizontal="center"/>
    </xf>
    <xf numFmtId="0" fontId="64" fillId="21" borderId="107" xfId="3" applyFont="1" applyFill="1" applyBorder="1" applyAlignment="1">
      <alignment horizontal="center"/>
    </xf>
    <xf numFmtId="0" fontId="61" fillId="29" borderId="294" xfId="3" applyFont="1" applyFill="1" applyBorder="1" applyAlignment="1">
      <alignment horizontal="left"/>
    </xf>
    <xf numFmtId="0" fontId="61" fillId="29" borderId="107" xfId="3" applyFont="1" applyFill="1" applyBorder="1" applyAlignment="1">
      <alignment horizontal="left"/>
    </xf>
    <xf numFmtId="0" fontId="61" fillId="29" borderId="294" xfId="3" applyFont="1" applyFill="1" applyBorder="1" applyAlignment="1">
      <alignment horizontal="left" shrinkToFit="1"/>
    </xf>
    <xf numFmtId="0" fontId="61" fillId="29" borderId="106" xfId="3" applyFont="1" applyFill="1" applyBorder="1" applyAlignment="1">
      <alignment horizontal="left" shrinkToFit="1"/>
    </xf>
    <xf numFmtId="0" fontId="60" fillId="29" borderId="309" xfId="3" applyFont="1" applyFill="1" applyBorder="1" applyAlignment="1">
      <alignment horizontal="center"/>
    </xf>
    <xf numFmtId="0" fontId="60" fillId="29" borderId="254" xfId="3" applyFont="1" applyFill="1" applyBorder="1" applyAlignment="1">
      <alignment horizontal="center"/>
    </xf>
    <xf numFmtId="0" fontId="60" fillId="29" borderId="310" xfId="3" applyFont="1" applyFill="1" applyBorder="1" applyAlignment="1">
      <alignment horizontal="center"/>
    </xf>
    <xf numFmtId="0" fontId="57" fillId="3" borderId="77" xfId="9" applyFont="1" applyFill="1" applyBorder="1" applyAlignment="1">
      <alignment horizontal="center" vertical="center"/>
    </xf>
    <xf numFmtId="0" fontId="57" fillId="3" borderId="296" xfId="9" applyFont="1" applyFill="1" applyBorder="1" applyAlignment="1">
      <alignment horizontal="center" vertical="center"/>
    </xf>
    <xf numFmtId="0" fontId="57" fillId="29" borderId="105" xfId="3" applyFont="1" applyFill="1" applyBorder="1" applyAlignment="1">
      <alignment horizontal="center" vertical="center"/>
    </xf>
    <xf numFmtId="0" fontId="57" fillId="29" borderId="283" xfId="3" applyFont="1" applyFill="1" applyBorder="1" applyAlignment="1">
      <alignment horizontal="center" vertical="center"/>
    </xf>
    <xf numFmtId="0" fontId="62" fillId="21" borderId="19" xfId="3" applyFont="1" applyFill="1" applyBorder="1" applyAlignment="1">
      <alignment horizontal="left"/>
    </xf>
    <xf numFmtId="0" fontId="62" fillId="21" borderId="348" xfId="3" applyFont="1" applyFill="1" applyBorder="1" applyAlignment="1">
      <alignment horizontal="left"/>
    </xf>
    <xf numFmtId="0" fontId="61" fillId="29" borderId="36" xfId="3" applyFont="1" applyFill="1" applyBorder="1" applyAlignment="1">
      <alignment horizontal="center"/>
    </xf>
    <xf numFmtId="0" fontId="62" fillId="21" borderId="302" xfId="3" applyFont="1" applyFill="1" applyBorder="1" applyAlignment="1">
      <alignment horizontal="left"/>
    </xf>
    <xf numFmtId="0" fontId="60" fillId="29" borderId="303" xfId="3" applyFont="1" applyFill="1" applyBorder="1" applyAlignment="1">
      <alignment horizontal="center"/>
    </xf>
    <xf numFmtId="0" fontId="60" fillId="29" borderId="38" xfId="3" applyFont="1" applyFill="1" applyBorder="1" applyAlignment="1">
      <alignment horizontal="center"/>
    </xf>
    <xf numFmtId="0" fontId="60" fillId="29" borderId="349" xfId="3" applyFont="1" applyFill="1" applyBorder="1" applyAlignment="1">
      <alignment horizontal="center"/>
    </xf>
    <xf numFmtId="0" fontId="60" fillId="29" borderId="47" xfId="3" applyFont="1" applyFill="1" applyBorder="1" applyAlignment="1">
      <alignment horizontal="center"/>
    </xf>
    <xf numFmtId="0" fontId="60" fillId="29" borderId="295" xfId="3" applyFont="1" applyFill="1" applyBorder="1" applyAlignment="1">
      <alignment horizontal="center"/>
    </xf>
    <xf numFmtId="0" fontId="58" fillId="0" borderId="347" xfId="3" applyFont="1" applyBorder="1" applyAlignment="1" applyProtection="1">
      <alignment horizontal="left"/>
      <protection locked="0"/>
    </xf>
    <xf numFmtId="0" fontId="61" fillId="29" borderId="43" xfId="3" applyFont="1" applyFill="1" applyBorder="1" applyAlignment="1">
      <alignment horizontal="center"/>
    </xf>
    <xf numFmtId="0" fontId="58" fillId="0" borderId="292" xfId="3" applyFont="1" applyBorder="1" applyAlignment="1" applyProtection="1">
      <alignment horizontal="left"/>
      <protection locked="0"/>
    </xf>
    <xf numFmtId="0" fontId="57" fillId="3" borderId="273" xfId="3" applyFont="1" applyFill="1" applyBorder="1" applyAlignment="1">
      <alignment horizontal="center" vertical="center" wrapText="1"/>
    </xf>
    <xf numFmtId="0" fontId="57" fillId="3" borderId="274" xfId="3" applyFont="1" applyFill="1" applyBorder="1" applyAlignment="1">
      <alignment horizontal="center" vertical="center" wrapText="1"/>
    </xf>
    <xf numFmtId="0" fontId="57" fillId="3" borderId="275" xfId="3" applyFont="1" applyFill="1" applyBorder="1" applyAlignment="1">
      <alignment horizontal="center" vertical="center" wrapText="1"/>
    </xf>
    <xf numFmtId="0" fontId="66" fillId="4" borderId="157" xfId="3" applyFont="1" applyFill="1" applyBorder="1" applyAlignment="1">
      <alignment horizontal="center"/>
    </xf>
    <xf numFmtId="0" fontId="66" fillId="4" borderId="299" xfId="3" applyFont="1" applyFill="1" applyBorder="1" applyAlignment="1">
      <alignment horizontal="center"/>
    </xf>
    <xf numFmtId="0" fontId="66" fillId="4" borderId="300" xfId="3" applyFont="1" applyFill="1" applyBorder="1" applyAlignment="1">
      <alignment horizontal="center"/>
    </xf>
    <xf numFmtId="0" fontId="60" fillId="29" borderId="276" xfId="3" applyFont="1" applyFill="1" applyBorder="1" applyAlignment="1">
      <alignment horizontal="center"/>
    </xf>
    <xf numFmtId="0" fontId="60" fillId="29" borderId="277" xfId="3" applyFont="1" applyFill="1" applyBorder="1" applyAlignment="1">
      <alignment horizontal="center"/>
    </xf>
    <xf numFmtId="0" fontId="60" fillId="29" borderId="249" xfId="3" applyFont="1" applyFill="1" applyBorder="1" applyAlignment="1">
      <alignment horizontal="center"/>
    </xf>
    <xf numFmtId="0" fontId="60" fillId="29" borderId="298" xfId="3" applyFont="1" applyFill="1" applyBorder="1" applyAlignment="1">
      <alignment horizontal="center"/>
    </xf>
    <xf numFmtId="0" fontId="64" fillId="21" borderId="6" xfId="3" applyFont="1" applyFill="1" applyBorder="1" applyAlignment="1">
      <alignment horizontal="center"/>
    </xf>
    <xf numFmtId="0" fontId="18" fillId="3" borderId="239" xfId="3" applyFont="1" applyFill="1" applyBorder="1" applyAlignment="1">
      <alignment horizontal="center"/>
    </xf>
    <xf numFmtId="0" fontId="62" fillId="3" borderId="183" xfId="3" applyFont="1" applyFill="1" applyBorder="1" applyAlignment="1">
      <alignment horizontal="center"/>
    </xf>
    <xf numFmtId="0" fontId="62" fillId="3" borderId="243" xfId="3" applyFont="1" applyFill="1" applyBorder="1" applyAlignment="1">
      <alignment horizontal="center"/>
    </xf>
    <xf numFmtId="0" fontId="62" fillId="3" borderId="244" xfId="3" applyFont="1" applyFill="1" applyBorder="1" applyAlignment="1">
      <alignment horizontal="center"/>
    </xf>
    <xf numFmtId="0" fontId="62" fillId="3" borderId="0" xfId="3" applyFont="1" applyFill="1" applyAlignment="1">
      <alignment horizontal="center"/>
    </xf>
    <xf numFmtId="0" fontId="62" fillId="3" borderId="0" xfId="3" applyFont="1" applyFill="1" applyAlignment="1">
      <alignment horizontal="center" wrapText="1"/>
    </xf>
    <xf numFmtId="0" fontId="0" fillId="3" borderId="304" xfId="3" applyFont="1" applyFill="1" applyBorder="1" applyAlignment="1">
      <alignment horizontal="center" wrapText="1"/>
    </xf>
    <xf numFmtId="0" fontId="62" fillId="3" borderId="263" xfId="3" applyFont="1" applyFill="1" applyBorder="1" applyAlignment="1">
      <alignment horizontal="center" wrapText="1"/>
    </xf>
    <xf numFmtId="0" fontId="62" fillId="3" borderId="314" xfId="3" applyFont="1" applyFill="1" applyBorder="1" applyAlignment="1">
      <alignment horizontal="center" wrapText="1"/>
    </xf>
    <xf numFmtId="0" fontId="62" fillId="3" borderId="305" xfId="3" applyFont="1" applyFill="1" applyBorder="1" applyAlignment="1">
      <alignment horizontal="center" wrapText="1"/>
    </xf>
    <xf numFmtId="0" fontId="66" fillId="4" borderId="352" xfId="3" applyFont="1" applyFill="1" applyBorder="1" applyAlignment="1">
      <alignment horizontal="center" vertical="center"/>
    </xf>
    <xf numFmtId="0" fontId="66" fillId="4" borderId="353" xfId="3" applyFont="1" applyFill="1" applyBorder="1" applyAlignment="1">
      <alignment horizontal="center" vertical="center"/>
    </xf>
    <xf numFmtId="0" fontId="66" fillId="4" borderId="354" xfId="3" applyFont="1" applyFill="1" applyBorder="1" applyAlignment="1">
      <alignment horizontal="center" vertical="center"/>
    </xf>
    <xf numFmtId="0" fontId="60" fillId="29" borderId="347" xfId="3" applyFont="1" applyFill="1" applyBorder="1" applyAlignment="1">
      <alignment horizontal="center"/>
    </xf>
    <xf numFmtId="0" fontId="60" fillId="29" borderId="356" xfId="3" applyFont="1" applyFill="1" applyBorder="1" applyAlignment="1">
      <alignment horizontal="center"/>
    </xf>
    <xf numFmtId="0" fontId="18" fillId="65" borderId="360" xfId="3" applyFont="1" applyFill="1" applyBorder="1" applyAlignment="1" applyProtection="1">
      <alignment horizontal="center"/>
      <protection locked="0"/>
    </xf>
    <xf numFmtId="0" fontId="18" fillId="65" borderId="361" xfId="3" applyFont="1" applyFill="1" applyBorder="1" applyAlignment="1" applyProtection="1">
      <alignment horizontal="center"/>
      <protection locked="0"/>
    </xf>
    <xf numFmtId="0" fontId="18" fillId="65" borderId="362" xfId="3" applyFont="1" applyFill="1" applyBorder="1" applyAlignment="1" applyProtection="1">
      <alignment horizontal="center"/>
      <protection locked="0"/>
    </xf>
    <xf numFmtId="0" fontId="60" fillId="29" borderId="355" xfId="3" applyFont="1" applyFill="1" applyBorder="1" applyAlignment="1">
      <alignment horizontal="center"/>
    </xf>
    <xf numFmtId="0" fontId="60" fillId="29" borderId="351" xfId="3" applyFont="1" applyFill="1" applyBorder="1" applyAlignment="1">
      <alignment horizontal="center"/>
    </xf>
    <xf numFmtId="0" fontId="60" fillId="29" borderId="342" xfId="3" applyFont="1" applyFill="1" applyBorder="1" applyAlignment="1">
      <alignment horizontal="center"/>
    </xf>
    <xf numFmtId="0" fontId="15" fillId="0" borderId="140" xfId="1" applyFont="1" applyBorder="1" applyAlignment="1" applyProtection="1">
      <alignment horizontal="center" shrinkToFit="1"/>
      <protection locked="0"/>
    </xf>
    <xf numFmtId="0" fontId="15" fillId="11" borderId="140" xfId="1" applyFont="1" applyFill="1" applyBorder="1" applyAlignment="1" applyProtection="1">
      <alignment horizontal="center" shrinkToFit="1"/>
      <protection locked="0"/>
    </xf>
    <xf numFmtId="0" fontId="14" fillId="11" borderId="0" xfId="1" applyFont="1" applyFill="1" applyAlignment="1">
      <alignment horizontal="center" vertical="center" shrinkToFit="1"/>
    </xf>
    <xf numFmtId="0" fontId="14" fillId="11" borderId="46" xfId="1" applyFont="1" applyFill="1" applyBorder="1" applyAlignment="1">
      <alignment horizontal="center" vertical="center" shrinkToFit="1"/>
    </xf>
    <xf numFmtId="0" fontId="17" fillId="0" borderId="161" xfId="1" applyFont="1" applyBorder="1" applyAlignment="1">
      <alignment horizontal="center" shrinkToFit="1"/>
    </xf>
    <xf numFmtId="0" fontId="17" fillId="11" borderId="161" xfId="1" applyFont="1" applyFill="1" applyBorder="1" applyAlignment="1">
      <alignment horizontal="center" shrinkToFit="1"/>
    </xf>
    <xf numFmtId="0" fontId="13" fillId="0" borderId="140" xfId="1" applyFont="1" applyBorder="1" applyAlignment="1" applyProtection="1">
      <alignment horizontal="center" shrinkToFit="1"/>
      <protection locked="0"/>
    </xf>
    <xf numFmtId="0" fontId="13" fillId="0" borderId="223" xfId="1" applyFont="1" applyBorder="1" applyAlignment="1" applyProtection="1">
      <alignment horizontal="center" shrinkToFit="1"/>
      <protection locked="0"/>
    </xf>
    <xf numFmtId="0" fontId="17" fillId="0" borderId="46" xfId="1" applyFont="1" applyBorder="1" applyAlignment="1">
      <alignment horizontal="center" shrinkToFit="1"/>
    </xf>
    <xf numFmtId="0" fontId="23" fillId="21" borderId="181" xfId="8" applyFont="1" applyFill="1" applyBorder="1" applyAlignment="1">
      <alignment horizontal="center" vertical="top" shrinkToFit="1"/>
    </xf>
    <xf numFmtId="0" fontId="23" fillId="21" borderId="178" xfId="8" applyFont="1" applyFill="1" applyBorder="1" applyAlignment="1">
      <alignment horizontal="center" vertical="top" shrinkToFit="1"/>
    </xf>
    <xf numFmtId="0" fontId="23" fillId="21" borderId="265" xfId="8" applyFont="1" applyFill="1" applyBorder="1" applyAlignment="1">
      <alignment horizontal="center" vertical="top" shrinkToFit="1"/>
    </xf>
    <xf numFmtId="0" fontId="23" fillId="21" borderId="269" xfId="8" applyFont="1" applyFill="1" applyBorder="1" applyAlignment="1">
      <alignment horizontal="center" vertical="top" shrinkToFit="1"/>
    </xf>
    <xf numFmtId="0" fontId="17" fillId="25" borderId="178" xfId="0" applyFont="1" applyFill="1" applyBorder="1" applyAlignment="1">
      <alignment horizontal="center" vertical="center"/>
    </xf>
    <xf numFmtId="0" fontId="17" fillId="25" borderId="184" xfId="0" applyFont="1" applyFill="1" applyBorder="1" applyAlignment="1">
      <alignment horizontal="center" vertical="center"/>
    </xf>
    <xf numFmtId="0" fontId="17" fillId="10" borderId="182" xfId="0" applyFont="1" applyFill="1" applyBorder="1" applyAlignment="1">
      <alignment horizontal="center" vertical="center"/>
    </xf>
    <xf numFmtId="0" fontId="17" fillId="10" borderId="183" xfId="0" applyFont="1" applyFill="1" applyBorder="1" applyAlignment="1">
      <alignment horizontal="center" vertical="center"/>
    </xf>
    <xf numFmtId="0" fontId="17" fillId="10" borderId="184" xfId="0" applyFont="1" applyFill="1" applyBorder="1" applyAlignment="1">
      <alignment horizontal="center" vertical="center"/>
    </xf>
    <xf numFmtId="0" fontId="17" fillId="25" borderId="268" xfId="0" applyFont="1" applyFill="1" applyBorder="1" applyAlignment="1">
      <alignment horizontal="center" vertical="center"/>
    </xf>
    <xf numFmtId="0" fontId="17" fillId="25" borderId="243" xfId="0" applyFont="1" applyFill="1" applyBorder="1" applyAlignment="1">
      <alignment horizontal="center" vertical="center"/>
    </xf>
    <xf numFmtId="0" fontId="17" fillId="25" borderId="177" xfId="0" applyFont="1" applyFill="1" applyBorder="1" applyAlignment="1">
      <alignment horizontal="center" vertical="center"/>
    </xf>
    <xf numFmtId="0" fontId="17" fillId="25" borderId="183" xfId="0" applyFont="1" applyFill="1" applyBorder="1" applyAlignment="1">
      <alignment horizontal="center" vertical="center"/>
    </xf>
    <xf numFmtId="0" fontId="17" fillId="0" borderId="367" xfId="0" applyFont="1" applyBorder="1" applyAlignment="1">
      <alignment horizontal="center" vertical="center"/>
    </xf>
    <xf numFmtId="0" fontId="17" fillId="0" borderId="0" xfId="0" applyFont="1" applyAlignment="1">
      <alignment horizontal="center" vertical="center"/>
    </xf>
    <xf numFmtId="0" fontId="17" fillId="0" borderId="58" xfId="0" applyFont="1" applyBorder="1" applyAlignment="1">
      <alignment horizontal="center" vertical="center"/>
    </xf>
    <xf numFmtId="0" fontId="17" fillId="25" borderId="135" xfId="0" applyFont="1" applyFill="1" applyBorder="1" applyAlignment="1">
      <alignment horizontal="center" vertical="center"/>
    </xf>
    <xf numFmtId="0" fontId="17" fillId="25" borderId="57" xfId="0" applyFont="1" applyFill="1" applyBorder="1" applyAlignment="1">
      <alignment horizontal="center" vertical="center"/>
    </xf>
    <xf numFmtId="0" fontId="19" fillId="8" borderId="177" xfId="0" applyFont="1" applyFill="1" applyBorder="1" applyAlignment="1">
      <alignment horizontal="center" vertical="center"/>
    </xf>
    <xf numFmtId="0" fontId="19" fillId="8" borderId="178" xfId="0" applyFont="1" applyFill="1" applyBorder="1" applyAlignment="1">
      <alignment horizontal="center" vertical="center"/>
    </xf>
    <xf numFmtId="0" fontId="19" fillId="8" borderId="183" xfId="0" applyFont="1" applyFill="1" applyBorder="1" applyAlignment="1">
      <alignment horizontal="center" vertical="center"/>
    </xf>
    <xf numFmtId="0" fontId="19" fillId="8" borderId="184" xfId="0" applyFont="1" applyFill="1" applyBorder="1" applyAlignment="1">
      <alignment horizontal="center" vertical="center"/>
    </xf>
    <xf numFmtId="0" fontId="15" fillId="20" borderId="135" xfId="0" applyFont="1" applyFill="1" applyBorder="1" applyAlignment="1">
      <alignment horizontal="center" vertical="center"/>
    </xf>
    <xf numFmtId="0" fontId="15" fillId="20" borderId="151" xfId="0" applyFont="1" applyFill="1" applyBorder="1" applyAlignment="1">
      <alignment horizontal="center" vertical="center"/>
    </xf>
    <xf numFmtId="0" fontId="17" fillId="0" borderId="155" xfId="0" applyFont="1" applyBorder="1" applyAlignment="1">
      <alignment horizontal="center" vertical="center"/>
    </xf>
    <xf numFmtId="0" fontId="27" fillId="22" borderId="133" xfId="8" applyFont="1" applyFill="1" applyBorder="1" applyAlignment="1">
      <alignment horizontal="center" vertical="center" wrapText="1" shrinkToFit="1"/>
    </xf>
    <xf numFmtId="0" fontId="27" fillId="22" borderId="155" xfId="8" applyFont="1" applyFill="1" applyBorder="1" applyAlignment="1">
      <alignment horizontal="center" vertical="center" wrapText="1" shrinkToFit="1"/>
    </xf>
    <xf numFmtId="0" fontId="17" fillId="10" borderId="367" xfId="0" applyFont="1" applyFill="1" applyBorder="1" applyAlignment="1">
      <alignment horizontal="center" vertical="center"/>
    </xf>
    <xf numFmtId="0" fontId="17" fillId="10" borderId="0" xfId="0" applyFont="1" applyFill="1" applyAlignment="1">
      <alignment horizontal="center" vertical="center"/>
    </xf>
    <xf numFmtId="0" fontId="17" fillId="10" borderId="58" xfId="0" applyFont="1" applyFill="1" applyBorder="1" applyAlignment="1">
      <alignment horizontal="center" vertical="center"/>
    </xf>
    <xf numFmtId="0" fontId="27" fillId="22" borderId="137" xfId="8" applyFont="1" applyFill="1" applyBorder="1" applyAlignment="1">
      <alignment horizontal="center" vertical="center" wrapText="1" shrinkToFit="1"/>
    </xf>
    <xf numFmtId="0" fontId="27" fillId="22" borderId="157" xfId="8" applyFont="1" applyFill="1" applyBorder="1" applyAlignment="1">
      <alignment horizontal="center" vertical="center" wrapText="1" shrinkToFit="1"/>
    </xf>
    <xf numFmtId="0" fontId="15" fillId="20" borderId="265" xfId="0" applyFont="1" applyFill="1" applyBorder="1" applyAlignment="1">
      <alignment horizontal="center" vertical="center"/>
    </xf>
    <xf numFmtId="0" fontId="15" fillId="20" borderId="241" xfId="0" applyFont="1" applyFill="1" applyBorder="1" applyAlignment="1">
      <alignment horizontal="center" vertical="center"/>
    </xf>
    <xf numFmtId="0" fontId="27" fillId="22" borderId="379" xfId="8" applyFont="1" applyFill="1" applyBorder="1" applyAlignment="1">
      <alignment horizontal="center" vertical="center" wrapText="1" shrinkToFit="1"/>
    </xf>
    <xf numFmtId="0" fontId="27" fillId="22" borderId="336" xfId="8" applyFont="1" applyFill="1" applyBorder="1" applyAlignment="1">
      <alignment horizontal="center" vertical="center" wrapText="1" shrinkToFit="1"/>
    </xf>
    <xf numFmtId="0" fontId="15" fillId="0" borderId="135" xfId="0" applyFont="1" applyBorder="1" applyAlignment="1">
      <alignment horizontal="center" vertical="center"/>
    </xf>
    <xf numFmtId="0" fontId="15" fillId="0" borderId="57" xfId="0" applyFont="1" applyBorder="1" applyAlignment="1">
      <alignment horizontal="center" vertical="center"/>
    </xf>
    <xf numFmtId="0" fontId="27" fillId="21" borderId="121" xfId="8" applyFont="1" applyFill="1" applyBorder="1" applyAlignment="1">
      <alignment horizontal="center" vertical="center" wrapText="1" shrinkToFit="1"/>
    </xf>
    <xf numFmtId="0" fontId="17" fillId="10" borderId="155" xfId="0" applyFont="1" applyFill="1" applyBorder="1" applyAlignment="1">
      <alignment horizontal="center" vertical="center"/>
    </xf>
    <xf numFmtId="0" fontId="27" fillId="21" borderId="158" xfId="8" applyFont="1" applyFill="1" applyBorder="1" applyAlignment="1">
      <alignment horizontal="center" vertical="center" wrapText="1" shrinkToFit="1"/>
    </xf>
    <xf numFmtId="0" fontId="27" fillId="21" borderId="64" xfId="8" applyFont="1" applyFill="1" applyBorder="1" applyAlignment="1">
      <alignment horizontal="center" vertical="center" wrapText="1" shrinkToFit="1"/>
    </xf>
    <xf numFmtId="0" fontId="15" fillId="0" borderId="265" xfId="0" applyFont="1" applyBorder="1" applyAlignment="1">
      <alignment horizontal="center" vertical="center"/>
    </xf>
    <xf numFmtId="0" fontId="15" fillId="0" borderId="325" xfId="0" applyFont="1" applyBorder="1" applyAlignment="1">
      <alignment horizontal="center" vertical="center"/>
    </xf>
    <xf numFmtId="0" fontId="27" fillId="21" borderId="380" xfId="8" applyFont="1" applyFill="1" applyBorder="1" applyAlignment="1">
      <alignment horizontal="center" vertical="center" wrapText="1" shrinkToFit="1"/>
    </xf>
    <xf numFmtId="0" fontId="15" fillId="20" borderId="57" xfId="0" applyFont="1" applyFill="1" applyBorder="1" applyAlignment="1">
      <alignment horizontal="center" vertical="center"/>
    </xf>
    <xf numFmtId="0" fontId="27" fillId="22" borderId="65" xfId="8" applyFont="1" applyFill="1" applyBorder="1" applyAlignment="1">
      <alignment horizontal="center" vertical="center" wrapText="1" shrinkToFit="1"/>
    </xf>
    <xf numFmtId="0" fontId="27" fillId="22" borderId="138" xfId="8" applyFont="1" applyFill="1" applyBorder="1" applyAlignment="1">
      <alignment horizontal="center" vertical="center" wrapText="1" shrinkToFit="1"/>
    </xf>
    <xf numFmtId="0" fontId="15" fillId="20" borderId="325" xfId="0" applyFont="1" applyFill="1" applyBorder="1" applyAlignment="1">
      <alignment horizontal="center" vertical="center"/>
    </xf>
    <xf numFmtId="0" fontId="27" fillId="22" borderId="371" xfId="8" applyFont="1" applyFill="1" applyBorder="1" applyAlignment="1">
      <alignment horizontal="center" vertical="center" wrapText="1" shrinkToFit="1"/>
    </xf>
    <xf numFmtId="0" fontId="13" fillId="0" borderId="170" xfId="0" applyFont="1" applyBorder="1" applyAlignment="1" applyProtection="1">
      <alignment horizontal="center" shrinkToFit="1"/>
      <protection locked="0"/>
    </xf>
    <xf numFmtId="0" fontId="17" fillId="0" borderId="0" xfId="8" applyFont="1" applyAlignment="1">
      <alignment horizontal="center" vertical="center" shrinkToFit="1"/>
    </xf>
    <xf numFmtId="0" fontId="17" fillId="20" borderId="150" xfId="8" applyFont="1" applyFill="1" applyBorder="1" applyAlignment="1">
      <alignment horizontal="center" vertical="center" shrinkToFit="1"/>
    </xf>
    <xf numFmtId="0" fontId="17" fillId="0" borderId="0" xfId="8" applyFont="1" applyAlignment="1">
      <alignment horizontal="center" vertical="top" shrinkToFit="1"/>
    </xf>
    <xf numFmtId="0" fontId="17" fillId="0" borderId="150" xfId="8" applyFont="1" applyBorder="1" applyAlignment="1">
      <alignment horizontal="center" vertical="center" shrinkToFit="1"/>
    </xf>
    <xf numFmtId="0" fontId="17" fillId="0" borderId="181" xfId="0" applyFont="1" applyBorder="1" applyAlignment="1">
      <alignment horizontal="center" vertical="center"/>
    </xf>
    <xf numFmtId="0" fontId="17" fillId="0" borderId="177" xfId="0" applyFont="1" applyBorder="1" applyAlignment="1">
      <alignment horizontal="center" vertical="center"/>
    </xf>
    <xf numFmtId="0" fontId="17" fillId="0" borderId="178" xfId="0" applyFont="1" applyBorder="1" applyAlignment="1">
      <alignment horizontal="center" vertical="center"/>
    </xf>
    <xf numFmtId="0" fontId="27" fillId="21" borderId="143" xfId="8" applyFont="1" applyFill="1" applyBorder="1" applyAlignment="1">
      <alignment horizontal="center" vertical="center" wrapText="1" shrinkToFit="1"/>
    </xf>
    <xf numFmtId="0" fontId="15" fillId="0" borderId="170" xfId="0" applyFont="1" applyBorder="1" applyAlignment="1" applyProtection="1">
      <alignment horizontal="center" shrinkToFit="1"/>
      <protection locked="0"/>
    </xf>
    <xf numFmtId="0" fontId="14" fillId="20" borderId="0" xfId="8" applyFont="1" applyFill="1" applyAlignment="1">
      <alignment horizontal="center" vertical="center" shrinkToFit="1"/>
    </xf>
    <xf numFmtId="0" fontId="27" fillId="21" borderId="135" xfId="8" applyFont="1" applyFill="1" applyBorder="1" applyAlignment="1">
      <alignment horizontal="center" vertical="center" wrapText="1" shrinkToFit="1"/>
    </xf>
    <xf numFmtId="0" fontId="27" fillId="21" borderId="337" xfId="8" applyFont="1" applyFill="1" applyBorder="1" applyAlignment="1">
      <alignment horizontal="center" vertical="center" wrapText="1" shrinkToFit="1"/>
    </xf>
    <xf numFmtId="0" fontId="27" fillId="21" borderId="371" xfId="8" applyFont="1" applyFill="1" applyBorder="1" applyAlignment="1">
      <alignment horizontal="center" vertical="center" wrapText="1" shrinkToFit="1"/>
    </xf>
    <xf numFmtId="0" fontId="19" fillId="8" borderId="0" xfId="0" applyFont="1" applyFill="1" applyAlignment="1">
      <alignment horizontal="center" vertical="center"/>
    </xf>
    <xf numFmtId="0" fontId="19" fillId="8" borderId="316" xfId="0" applyFont="1" applyFill="1" applyBorder="1" applyAlignment="1">
      <alignment horizontal="center" vertical="center"/>
    </xf>
    <xf numFmtId="167" fontId="15" fillId="20" borderId="170" xfId="0" applyNumberFormat="1" applyFont="1" applyFill="1" applyBorder="1" applyAlignment="1">
      <alignment horizontal="center" shrinkToFit="1"/>
    </xf>
    <xf numFmtId="0" fontId="17" fillId="0" borderId="331" xfId="0" applyFont="1" applyBorder="1" applyAlignment="1">
      <alignment horizontal="center" vertical="center"/>
    </xf>
    <xf numFmtId="0" fontId="17" fillId="15" borderId="331" xfId="0" applyFont="1" applyFill="1" applyBorder="1" applyAlignment="1">
      <alignment horizontal="center" vertical="center"/>
    </xf>
    <xf numFmtId="0" fontId="17" fillId="0" borderId="243" xfId="0" applyFont="1" applyBorder="1" applyAlignment="1">
      <alignment horizontal="center" vertical="center"/>
    </xf>
    <xf numFmtId="0" fontId="13" fillId="0" borderId="327" xfId="0" applyFont="1" applyBorder="1" applyAlignment="1">
      <alignment horizontal="center" shrinkToFit="1"/>
    </xf>
    <xf numFmtId="167" fontId="15" fillId="15" borderId="327" xfId="0" applyNumberFormat="1" applyFont="1" applyFill="1" applyBorder="1" applyAlignment="1">
      <alignment horizontal="center" shrinkToFit="1"/>
    </xf>
    <xf numFmtId="167" fontId="15" fillId="0" borderId="327" xfId="0" applyNumberFormat="1" applyFont="1" applyBorder="1" applyAlignment="1">
      <alignment horizontal="center" shrinkToFit="1"/>
    </xf>
    <xf numFmtId="0" fontId="14" fillId="15" borderId="0" xfId="0" applyFont="1" applyFill="1" applyAlignment="1">
      <alignment horizontal="center" vertical="center" shrinkToFit="1"/>
    </xf>
    <xf numFmtId="0" fontId="14" fillId="15" borderId="243" xfId="0" applyFont="1" applyFill="1" applyBorder="1" applyAlignment="1">
      <alignment horizontal="center" vertical="center" shrinkToFit="1"/>
    </xf>
    <xf numFmtId="0" fontId="19" fillId="8" borderId="172" xfId="0" applyFont="1" applyFill="1" applyBorder="1" applyAlignment="1">
      <alignment horizontal="center"/>
    </xf>
    <xf numFmtId="0" fontId="19" fillId="8" borderId="173" xfId="0" applyFont="1" applyFill="1" applyBorder="1" applyAlignment="1">
      <alignment horizontal="center"/>
    </xf>
    <xf numFmtId="0" fontId="19" fillId="8" borderId="174" xfId="0" applyFont="1" applyFill="1" applyBorder="1" applyAlignment="1">
      <alignment horizontal="center"/>
    </xf>
    <xf numFmtId="0" fontId="19" fillId="8" borderId="175" xfId="0" applyFont="1" applyFill="1" applyBorder="1" applyAlignment="1">
      <alignment horizontal="center"/>
    </xf>
    <xf numFmtId="0" fontId="22" fillId="0" borderId="177" xfId="1" applyFont="1" applyBorder="1" applyAlignment="1">
      <alignment wrapText="1"/>
    </xf>
    <xf numFmtId="0" fontId="22" fillId="0" borderId="177" xfId="1" applyFont="1" applyBorder="1"/>
    <xf numFmtId="0" fontId="19" fillId="8" borderId="177" xfId="0" applyFont="1" applyFill="1" applyBorder="1" applyAlignment="1">
      <alignment horizontal="center"/>
    </xf>
    <xf numFmtId="0" fontId="19" fillId="8" borderId="178" xfId="0" applyFont="1" applyFill="1" applyBorder="1" applyAlignment="1">
      <alignment horizontal="center"/>
    </xf>
    <xf numFmtId="0" fontId="69" fillId="8" borderId="0" xfId="0" applyFont="1" applyFill="1" applyAlignment="1">
      <alignment horizontal="right" vertical="center"/>
    </xf>
    <xf numFmtId="0" fontId="54" fillId="25" borderId="392" xfId="0" applyFont="1" applyFill="1" applyBorder="1" applyAlignment="1">
      <alignment horizontal="center" vertical="center" shrinkToFit="1"/>
    </xf>
    <xf numFmtId="0" fontId="54" fillId="25" borderId="400" xfId="0" applyFont="1" applyFill="1" applyBorder="1" applyAlignment="1">
      <alignment horizontal="center" vertical="center" shrinkToFit="1"/>
    </xf>
    <xf numFmtId="0" fontId="54" fillId="20" borderId="392" xfId="0" applyFont="1" applyFill="1" applyBorder="1" applyAlignment="1">
      <alignment horizontal="center" vertical="center" shrinkToFit="1"/>
    </xf>
    <xf numFmtId="0" fontId="54" fillId="20" borderId="400" xfId="0" applyFont="1" applyFill="1" applyBorder="1" applyAlignment="1">
      <alignment horizontal="center" vertical="center" shrinkToFit="1"/>
    </xf>
    <xf numFmtId="0" fontId="22" fillId="0" borderId="268" xfId="0" applyFont="1" applyBorder="1" applyAlignment="1">
      <alignment horizontal="left" vertical="top" wrapText="1"/>
    </xf>
    <xf numFmtId="0" fontId="22" fillId="0" borderId="0" xfId="0" applyFont="1" applyAlignment="1">
      <alignment horizontal="left" vertical="top" wrapText="1"/>
    </xf>
    <xf numFmtId="0" fontId="19" fillId="8" borderId="268" xfId="0" applyFont="1" applyFill="1" applyBorder="1" applyAlignment="1">
      <alignment horizontal="center"/>
    </xf>
    <xf numFmtId="0" fontId="19" fillId="8" borderId="366" xfId="0" applyFont="1" applyFill="1" applyBorder="1" applyAlignment="1">
      <alignment horizontal="center"/>
    </xf>
    <xf numFmtId="0" fontId="19" fillId="8" borderId="388" xfId="0" applyFont="1" applyFill="1" applyBorder="1" applyAlignment="1">
      <alignment horizontal="center"/>
    </xf>
    <xf numFmtId="0" fontId="16" fillId="30" borderId="0" xfId="8" applyFont="1" applyFill="1" applyAlignment="1">
      <alignment horizontal="center" vertical="center" shrinkToFit="1"/>
    </xf>
    <xf numFmtId="0" fontId="17" fillId="68" borderId="331" xfId="0" applyFont="1" applyFill="1" applyBorder="1" applyAlignment="1">
      <alignment horizontal="center" vertical="center"/>
    </xf>
    <xf numFmtId="0" fontId="19" fillId="30" borderId="243" xfId="0" applyFont="1" applyFill="1" applyBorder="1" applyAlignment="1">
      <alignment horizontal="center" vertical="center"/>
    </xf>
    <xf numFmtId="0" fontId="14" fillId="68" borderId="0" xfId="0" applyFont="1" applyFill="1" applyAlignment="1">
      <alignment horizontal="center" vertical="center" shrinkToFit="1"/>
    </xf>
    <xf numFmtId="0" fontId="14" fillId="68" borderId="243" xfId="0" applyFont="1" applyFill="1" applyBorder="1" applyAlignment="1">
      <alignment horizontal="center" vertical="center" shrinkToFit="1"/>
    </xf>
    <xf numFmtId="0" fontId="13" fillId="0" borderId="346" xfId="0" applyFont="1" applyBorder="1" applyAlignment="1">
      <alignment horizontal="center"/>
    </xf>
    <xf numFmtId="167" fontId="15" fillId="68" borderId="346" xfId="0" applyNumberFormat="1" applyFont="1" applyFill="1" applyBorder="1" applyAlignment="1">
      <alignment horizontal="center" shrinkToFit="1"/>
    </xf>
    <xf numFmtId="0" fontId="69" fillId="0" borderId="346" xfId="8" applyFont="1" applyBorder="1" applyAlignment="1">
      <alignment horizontal="center" vertical="center" shrinkToFit="1"/>
    </xf>
    <xf numFmtId="0" fontId="17" fillId="68" borderId="243" xfId="0" applyFont="1" applyFill="1" applyBorder="1" applyAlignment="1">
      <alignment horizontal="center" vertical="center"/>
    </xf>
    <xf numFmtId="0" fontId="22" fillId="31" borderId="84" xfId="8" applyFont="1" applyFill="1" applyBorder="1" applyAlignment="1">
      <alignment horizontal="center"/>
    </xf>
    <xf numFmtId="0" fontId="22" fillId="31" borderId="79" xfId="8" applyFont="1" applyFill="1" applyBorder="1" applyAlignment="1">
      <alignment horizontal="center"/>
    </xf>
    <xf numFmtId="0" fontId="22" fillId="31" borderId="37" xfId="8" applyFont="1" applyFill="1" applyBorder="1" applyAlignment="1">
      <alignment horizontal="center"/>
    </xf>
    <xf numFmtId="0" fontId="22" fillId="31" borderId="11" xfId="8" applyFont="1" applyFill="1" applyBorder="1" applyAlignment="1">
      <alignment horizontal="center"/>
    </xf>
    <xf numFmtId="0" fontId="22" fillId="31" borderId="22" xfId="1" applyFont="1" applyFill="1" applyBorder="1" applyAlignment="1">
      <alignment horizontal="center" vertical="center"/>
    </xf>
    <xf numFmtId="0" fontId="22" fillId="31" borderId="33" xfId="1" applyFont="1" applyFill="1" applyBorder="1" applyAlignment="1">
      <alignment horizontal="center" vertical="center"/>
    </xf>
    <xf numFmtId="0" fontId="22" fillId="31" borderId="35" xfId="1" applyFont="1" applyFill="1" applyBorder="1" applyAlignment="1">
      <alignment horizontal="center" vertical="center"/>
    </xf>
    <xf numFmtId="0" fontId="22" fillId="31" borderId="103" xfId="8" applyFont="1" applyFill="1" applyBorder="1" applyAlignment="1">
      <alignment horizontal="center"/>
    </xf>
    <xf numFmtId="0" fontId="22" fillId="31" borderId="53" xfId="8" applyFont="1" applyFill="1" applyBorder="1" applyAlignment="1">
      <alignment horizontal="center"/>
    </xf>
    <xf numFmtId="0" fontId="21" fillId="4" borderId="33" xfId="1" applyFont="1" applyFill="1" applyBorder="1" applyAlignment="1">
      <alignment horizontal="center" vertical="center" textRotation="90" wrapText="1"/>
    </xf>
    <xf numFmtId="0" fontId="21" fillId="4" borderId="35" xfId="1" applyFont="1" applyFill="1" applyBorder="1" applyAlignment="1">
      <alignment horizontal="center" vertical="center" textRotation="90" wrapText="1"/>
    </xf>
    <xf numFmtId="0" fontId="35" fillId="0" borderId="0" xfId="1" applyFont="1" applyAlignment="1">
      <alignment horizontal="center" vertical="center"/>
    </xf>
    <xf numFmtId="0" fontId="17" fillId="0" borderId="0" xfId="1" applyFont="1" applyAlignment="1">
      <alignment horizontal="center"/>
    </xf>
    <xf numFmtId="167" fontId="17" fillId="0" borderId="46" xfId="1" applyNumberFormat="1" applyFont="1" applyBorder="1" applyAlignment="1">
      <alignment horizontal="center"/>
    </xf>
    <xf numFmtId="167" fontId="17" fillId="0" borderId="334" xfId="1" applyNumberFormat="1" applyFont="1" applyBorder="1" applyAlignment="1">
      <alignment horizontal="center"/>
    </xf>
    <xf numFmtId="0" fontId="21" fillId="4" borderId="34" xfId="1" applyFont="1" applyFill="1" applyBorder="1" applyAlignment="1">
      <alignment horizontal="center"/>
    </xf>
    <xf numFmtId="0" fontId="20" fillId="4" borderId="34" xfId="1" applyFont="1" applyFill="1" applyBorder="1" applyAlignment="1">
      <alignment horizontal="center"/>
    </xf>
    <xf numFmtId="0" fontId="20" fillId="4" borderId="383" xfId="1" applyFont="1" applyFill="1" applyBorder="1" applyAlignment="1">
      <alignment horizontal="center"/>
    </xf>
    <xf numFmtId="0" fontId="20" fillId="4" borderId="95" xfId="1" applyFont="1" applyFill="1" applyBorder="1" applyAlignment="1">
      <alignment horizontal="center"/>
    </xf>
    <xf numFmtId="0" fontId="22" fillId="31" borderId="88" xfId="8" applyFont="1" applyFill="1" applyBorder="1" applyAlignment="1">
      <alignment horizontal="center" vertical="center"/>
    </xf>
    <xf numFmtId="0" fontId="29" fillId="31" borderId="202" xfId="8" applyFont="1" applyFill="1" applyBorder="1" applyAlignment="1">
      <alignment horizontal="center" vertical="center" wrapText="1"/>
    </xf>
    <xf numFmtId="0" fontId="29" fillId="31" borderId="186" xfId="8" applyFont="1" applyFill="1" applyBorder="1" applyAlignment="1">
      <alignment horizontal="center" vertical="center" wrapText="1"/>
    </xf>
    <xf numFmtId="0" fontId="17" fillId="21" borderId="185" xfId="8" applyFont="1" applyFill="1" applyBorder="1" applyAlignment="1">
      <alignment horizontal="right" vertical="center"/>
    </xf>
    <xf numFmtId="2" fontId="17" fillId="21" borderId="185" xfId="8" applyNumberFormat="1" applyFont="1" applyFill="1" applyBorder="1" applyAlignment="1">
      <alignment horizontal="left" vertical="center"/>
    </xf>
    <xf numFmtId="0" fontId="17" fillId="21" borderId="89" xfId="8" applyFont="1" applyFill="1" applyBorder="1" applyAlignment="1">
      <alignment horizontal="right" vertical="center" wrapText="1"/>
    </xf>
    <xf numFmtId="166" fontId="23" fillId="21" borderId="202" xfId="8" applyNumberFormat="1" applyFont="1" applyFill="1" applyBorder="1" applyAlignment="1">
      <alignment horizontal="center" vertical="center"/>
    </xf>
    <xf numFmtId="9" fontId="17" fillId="21" borderId="88" xfId="8" applyNumberFormat="1" applyFont="1" applyFill="1" applyBorder="1" applyAlignment="1">
      <alignment horizontal="center" vertical="center"/>
    </xf>
    <xf numFmtId="0" fontId="17" fillId="21" borderId="185" xfId="8" applyFont="1" applyFill="1" applyBorder="1" applyAlignment="1">
      <alignment horizontal="center" vertical="center" wrapText="1"/>
    </xf>
    <xf numFmtId="0" fontId="17" fillId="21" borderId="94" xfId="8" applyFont="1" applyFill="1" applyBorder="1" applyAlignment="1">
      <alignment horizontal="center" vertical="center" wrapText="1"/>
    </xf>
    <xf numFmtId="0" fontId="17" fillId="21" borderId="46" xfId="8" applyFont="1" applyFill="1" applyBorder="1" applyAlignment="1">
      <alignment horizontal="center" vertical="center" wrapText="1"/>
    </xf>
    <xf numFmtId="0" fontId="17" fillId="21" borderId="40" xfId="8" applyFont="1" applyFill="1" applyBorder="1" applyAlignment="1">
      <alignment horizontal="center" vertical="center" wrapText="1"/>
    </xf>
    <xf numFmtId="0" fontId="17" fillId="21" borderId="46" xfId="8" applyFont="1" applyFill="1" applyBorder="1" applyAlignment="1">
      <alignment horizontal="right" vertical="center"/>
    </xf>
    <xf numFmtId="2" fontId="17" fillId="21" borderId="46" xfId="8" applyNumberFormat="1" applyFont="1" applyFill="1" applyBorder="1" applyAlignment="1">
      <alignment horizontal="left" vertical="center"/>
    </xf>
    <xf numFmtId="0" fontId="23" fillId="21" borderId="338" xfId="8" applyFont="1" applyFill="1" applyBorder="1" applyAlignment="1">
      <alignment horizontal="center" vertical="center"/>
    </xf>
    <xf numFmtId="0" fontId="23" fillId="21" borderId="40" xfId="8" applyFont="1" applyFill="1" applyBorder="1" applyAlignment="1">
      <alignment horizontal="center" vertical="center"/>
    </xf>
    <xf numFmtId="0" fontId="28" fillId="4" borderId="185" xfId="8" applyFont="1" applyFill="1" applyBorder="1" applyAlignment="1">
      <alignment horizontal="center" textRotation="90" wrapText="1"/>
    </xf>
    <xf numFmtId="0" fontId="28" fillId="4" borderId="0" xfId="8" applyFont="1" applyFill="1" applyAlignment="1">
      <alignment horizontal="center" textRotation="90" wrapText="1"/>
    </xf>
    <xf numFmtId="0" fontId="28" fillId="4" borderId="46" xfId="8" applyFont="1" applyFill="1" applyBorder="1" applyAlignment="1">
      <alignment horizontal="center" textRotation="90" wrapText="1"/>
    </xf>
    <xf numFmtId="0" fontId="20" fillId="4" borderId="94" xfId="8" applyFont="1" applyFill="1" applyBorder="1" applyAlignment="1">
      <alignment horizontal="center" textRotation="90" wrapText="1"/>
    </xf>
    <xf numFmtId="0" fontId="20" fillId="4" borderId="1" xfId="8" applyFont="1" applyFill="1" applyBorder="1" applyAlignment="1">
      <alignment horizontal="center" textRotation="90" wrapText="1"/>
    </xf>
    <xf numFmtId="0" fontId="20" fillId="4" borderId="40" xfId="8" applyFont="1" applyFill="1" applyBorder="1" applyAlignment="1">
      <alignment horizontal="center" textRotation="90" wrapText="1"/>
    </xf>
    <xf numFmtId="0" fontId="49" fillId="21" borderId="119" xfId="8" applyFont="1" applyFill="1" applyBorder="1" applyAlignment="1">
      <alignment horizontal="center" vertical="top" wrapText="1"/>
    </xf>
    <xf numFmtId="0" fontId="49" fillId="21" borderId="36" xfId="8" applyFont="1" applyFill="1" applyBorder="1" applyAlignment="1">
      <alignment horizontal="center" vertical="top" wrapText="1"/>
    </xf>
    <xf numFmtId="0" fontId="17" fillId="31" borderId="39" xfId="8" applyFont="1" applyFill="1" applyBorder="1" applyAlignment="1">
      <alignment horizontal="center" vertical="center" wrapText="1"/>
    </xf>
    <xf numFmtId="0" fontId="17" fillId="31" borderId="92" xfId="8" applyFont="1" applyFill="1" applyBorder="1" applyAlignment="1">
      <alignment horizontal="center" vertical="center" wrapText="1"/>
    </xf>
    <xf numFmtId="0" fontId="20" fillId="4" borderId="92" xfId="8" applyFont="1" applyFill="1" applyBorder="1" applyAlignment="1">
      <alignment horizontal="center" vertical="center"/>
    </xf>
    <xf numFmtId="0" fontId="22" fillId="31" borderId="202" xfId="8" applyFont="1" applyFill="1" applyBorder="1" applyAlignment="1">
      <alignment horizontal="center" vertical="center"/>
    </xf>
    <xf numFmtId="0" fontId="17" fillId="21" borderId="77" xfId="8" applyFont="1" applyFill="1" applyBorder="1" applyAlignment="1">
      <alignment horizontal="center" vertical="center" wrapText="1"/>
    </xf>
    <xf numFmtId="0" fontId="17" fillId="21" borderId="48" xfId="8" applyFont="1" applyFill="1" applyBorder="1" applyAlignment="1">
      <alignment horizontal="center" vertical="center" wrapText="1"/>
    </xf>
    <xf numFmtId="0" fontId="17" fillId="0" borderId="77" xfId="8" applyFont="1" applyBorder="1" applyAlignment="1">
      <alignment horizontal="center" vertical="center" wrapText="1"/>
    </xf>
    <xf numFmtId="0" fontId="17" fillId="0" borderId="48" xfId="8" applyFont="1" applyBorder="1" applyAlignment="1">
      <alignment horizontal="center" vertical="center" wrapText="1"/>
    </xf>
    <xf numFmtId="0" fontId="49" fillId="59" borderId="103" xfId="8" applyFont="1" applyFill="1" applyBorder="1" applyAlignment="1">
      <alignment horizontal="center" vertical="top" wrapText="1"/>
    </xf>
    <xf numFmtId="0" fontId="49" fillId="59" borderId="2" xfId="8" applyFont="1" applyFill="1" applyBorder="1" applyAlignment="1">
      <alignment horizontal="center" vertical="top" wrapText="1"/>
    </xf>
    <xf numFmtId="0" fontId="37" fillId="4" borderId="98" xfId="8" applyFont="1" applyFill="1" applyBorder="1" applyAlignment="1">
      <alignment horizontal="center"/>
    </xf>
    <xf numFmtId="0" fontId="37" fillId="4" borderId="94" xfId="8" applyFont="1" applyFill="1" applyBorder="1" applyAlignment="1">
      <alignment horizontal="center"/>
    </xf>
    <xf numFmtId="167" fontId="22" fillId="0" borderId="88" xfId="8" applyNumberFormat="1" applyFont="1" applyBorder="1" applyAlignment="1">
      <alignment horizontal="center" vertical="center"/>
    </xf>
    <xf numFmtId="0" fontId="26" fillId="0" borderId="202" xfId="8" applyFont="1" applyBorder="1" applyAlignment="1">
      <alignment horizontal="center" vertical="center"/>
    </xf>
    <xf numFmtId="0" fontId="22" fillId="0" borderId="186" xfId="8" applyFont="1" applyBorder="1" applyAlignment="1">
      <alignment horizontal="center" vertical="center" shrinkToFit="1"/>
    </xf>
    <xf numFmtId="0" fontId="27" fillId="22" borderId="95" xfId="8" applyFont="1" applyFill="1" applyBorder="1" applyAlignment="1">
      <alignment horizontal="center" vertical="center" wrapText="1"/>
    </xf>
    <xf numFmtId="0" fontId="27" fillId="22" borderId="88" xfId="8" applyFont="1" applyFill="1" applyBorder="1" applyAlignment="1">
      <alignment horizontal="center" vertical="center"/>
    </xf>
    <xf numFmtId="0" fontId="27" fillId="22" borderId="202" xfId="8" applyFont="1" applyFill="1" applyBorder="1" applyAlignment="1">
      <alignment horizontal="center" vertical="center"/>
    </xf>
    <xf numFmtId="0" fontId="27" fillId="22" borderId="186" xfId="8" applyFont="1" applyFill="1" applyBorder="1" applyAlignment="1">
      <alignment horizontal="center" vertical="center"/>
    </xf>
    <xf numFmtId="0" fontId="23" fillId="22" borderId="88" xfId="8" applyFont="1" applyFill="1" applyBorder="1" applyAlignment="1">
      <alignment horizontal="center" vertical="center"/>
    </xf>
    <xf numFmtId="0" fontId="23" fillId="22" borderId="186" xfId="8" applyFont="1" applyFill="1" applyBorder="1" applyAlignment="1">
      <alignment horizontal="center" vertical="center"/>
    </xf>
    <xf numFmtId="0" fontId="17" fillId="21" borderId="222" xfId="8" applyFont="1" applyFill="1" applyBorder="1" applyAlignment="1">
      <alignment horizontal="center" vertical="center" wrapText="1"/>
    </xf>
    <xf numFmtId="49" fontId="13" fillId="12" borderId="230" xfId="1" applyNumberFormat="1" applyFont="1" applyFill="1" applyBorder="1" applyAlignment="1" applyProtection="1">
      <alignment horizontal="center" wrapText="1"/>
      <protection locked="0"/>
    </xf>
    <xf numFmtId="49" fontId="13" fillId="12" borderId="242" xfId="1" applyNumberFormat="1" applyFont="1" applyFill="1" applyBorder="1" applyAlignment="1" applyProtection="1">
      <alignment horizontal="center" wrapText="1"/>
      <protection locked="0"/>
    </xf>
    <xf numFmtId="49" fontId="13" fillId="0" borderId="230" xfId="1" applyNumberFormat="1" applyFont="1" applyBorder="1" applyAlignment="1" applyProtection="1">
      <alignment horizontal="center" wrapText="1"/>
      <protection locked="0"/>
    </xf>
    <xf numFmtId="49" fontId="13" fillId="0" borderId="242" xfId="1" applyNumberFormat="1" applyFont="1" applyBorder="1" applyAlignment="1" applyProtection="1">
      <alignment horizontal="center" wrapText="1"/>
      <protection locked="0"/>
    </xf>
    <xf numFmtId="49" fontId="13" fillId="12" borderId="246" xfId="1" applyNumberFormat="1" applyFont="1" applyFill="1" applyBorder="1" applyAlignment="1" applyProtection="1">
      <alignment horizontal="center" wrapText="1"/>
      <protection locked="0"/>
    </xf>
    <xf numFmtId="49" fontId="13" fillId="12" borderId="245" xfId="1" applyNumberFormat="1" applyFont="1" applyFill="1" applyBorder="1" applyAlignment="1" applyProtection="1">
      <alignment horizontal="center" wrapText="1"/>
      <protection locked="0"/>
    </xf>
    <xf numFmtId="0" fontId="0" fillId="0" borderId="243" xfId="0" applyBorder="1" applyAlignment="1">
      <alignment horizontal="center"/>
    </xf>
    <xf numFmtId="0" fontId="0" fillId="0" borderId="244" xfId="0" applyBorder="1" applyAlignment="1">
      <alignment horizontal="center"/>
    </xf>
    <xf numFmtId="0" fontId="14" fillId="11" borderId="231" xfId="1" applyFont="1" applyFill="1" applyBorder="1" applyAlignment="1">
      <alignment horizontal="center" vertical="center" shrinkToFit="1"/>
    </xf>
    <xf numFmtId="0" fontId="14" fillId="11" borderId="232" xfId="1" applyFont="1" applyFill="1" applyBorder="1" applyAlignment="1">
      <alignment horizontal="center" vertical="center" shrinkToFit="1"/>
    </xf>
    <xf numFmtId="0" fontId="14" fillId="11" borderId="234" xfId="1" applyFont="1" applyFill="1" applyBorder="1" applyAlignment="1">
      <alignment horizontal="center" vertical="center" shrinkToFit="1"/>
    </xf>
    <xf numFmtId="0" fontId="16" fillId="19" borderId="233" xfId="1" applyFont="1" applyFill="1" applyBorder="1" applyAlignment="1">
      <alignment horizontal="center" vertical="center" shrinkToFit="1"/>
    </xf>
    <xf numFmtId="0" fontId="16" fillId="19" borderId="235" xfId="1" applyFont="1" applyFill="1" applyBorder="1" applyAlignment="1">
      <alignment horizontal="center" vertical="center" shrinkToFit="1"/>
    </xf>
    <xf numFmtId="0" fontId="14" fillId="20" borderId="0" xfId="1" applyFont="1" applyFill="1" applyAlignment="1">
      <alignment horizontal="center" vertical="center" shrinkToFit="1"/>
    </xf>
    <xf numFmtId="0" fontId="14" fillId="20" borderId="73" xfId="1" applyFont="1" applyFill="1" applyBorder="1" applyAlignment="1">
      <alignment horizontal="center" vertical="center" shrinkToFit="1"/>
    </xf>
    <xf numFmtId="0" fontId="14" fillId="20" borderId="183" xfId="1" applyFont="1" applyFill="1" applyBorder="1" applyAlignment="1">
      <alignment horizontal="center" vertical="center" shrinkToFit="1"/>
    </xf>
    <xf numFmtId="0" fontId="13" fillId="0" borderId="223" xfId="1" applyFont="1" applyBorder="1" applyAlignment="1">
      <alignment horizontal="center" shrinkToFit="1"/>
    </xf>
    <xf numFmtId="167" fontId="15" fillId="20" borderId="140" xfId="1" applyNumberFormat="1" applyFont="1" applyFill="1" applyBorder="1" applyAlignment="1">
      <alignment horizontal="center" shrinkToFit="1"/>
    </xf>
    <xf numFmtId="0" fontId="15" fillId="0" borderId="140" xfId="1" applyFont="1" applyBorder="1" applyAlignment="1">
      <alignment horizontal="center" shrinkToFit="1"/>
    </xf>
    <xf numFmtId="14" fontId="17" fillId="0" borderId="183" xfId="1" applyNumberFormat="1" applyFont="1" applyBorder="1" applyAlignment="1">
      <alignment horizontal="center" shrinkToFit="1"/>
    </xf>
    <xf numFmtId="0" fontId="17" fillId="20" borderId="60" xfId="1" applyFont="1" applyFill="1" applyBorder="1" applyAlignment="1">
      <alignment horizontal="center" shrinkToFit="1"/>
    </xf>
    <xf numFmtId="0" fontId="17" fillId="0" borderId="150" xfId="1" applyFont="1" applyBorder="1" applyAlignment="1">
      <alignment horizontal="center" shrinkToFit="1"/>
    </xf>
    <xf numFmtId="14" fontId="17" fillId="0" borderId="60" xfId="1" applyNumberFormat="1" applyFont="1" applyBorder="1" applyAlignment="1">
      <alignment horizontal="center" shrinkToFit="1"/>
    </xf>
    <xf numFmtId="0" fontId="20" fillId="4" borderId="148" xfId="1" applyFont="1" applyFill="1" applyBorder="1" applyAlignment="1">
      <alignment horizontal="center" vertical="center"/>
    </xf>
    <xf numFmtId="0" fontId="20" fillId="4" borderId="149" xfId="1" applyFont="1" applyFill="1" applyBorder="1" applyAlignment="1">
      <alignment horizontal="center" vertical="center"/>
    </xf>
    <xf numFmtId="0" fontId="17" fillId="0" borderId="124" xfId="1" applyFont="1" applyBorder="1" applyAlignment="1">
      <alignment horizontal="center" vertical="center"/>
    </xf>
    <xf numFmtId="167" fontId="15" fillId="20" borderId="223" xfId="1" applyNumberFormat="1" applyFont="1" applyFill="1" applyBorder="1" applyAlignment="1">
      <alignment horizontal="center" shrinkToFit="1"/>
    </xf>
    <xf numFmtId="0" fontId="17" fillId="20" borderId="183" xfId="1" applyFont="1" applyFill="1" applyBorder="1" applyAlignment="1">
      <alignment horizontal="center" shrinkToFit="1"/>
    </xf>
    <xf numFmtId="0" fontId="14" fillId="0" borderId="0" xfId="1" applyFont="1" applyAlignment="1">
      <alignment horizontal="center"/>
    </xf>
    <xf numFmtId="0" fontId="26" fillId="0" borderId="0" xfId="1" applyFont="1" applyAlignment="1">
      <alignment horizontal="center"/>
    </xf>
    <xf numFmtId="0" fontId="14" fillId="0" borderId="268" xfId="1" applyFont="1" applyBorder="1" applyAlignment="1">
      <alignment horizontal="center"/>
    </xf>
    <xf numFmtId="0" fontId="26" fillId="0" borderId="0" xfId="1" applyFont="1" applyAlignment="1">
      <alignment horizontal="center" shrinkToFit="1"/>
    </xf>
    <xf numFmtId="0" fontId="17" fillId="0" borderId="195" xfId="1" applyFont="1" applyBorder="1" applyAlignment="1">
      <alignment vertical="center"/>
    </xf>
    <xf numFmtId="0" fontId="17" fillId="0" borderId="81" xfId="1" applyFont="1" applyBorder="1" applyAlignment="1">
      <alignment vertical="center"/>
    </xf>
    <xf numFmtId="0" fontId="17" fillId="0" borderId="196" xfId="1" applyFont="1" applyBorder="1" applyAlignment="1">
      <alignment vertical="center"/>
    </xf>
    <xf numFmtId="0" fontId="17" fillId="21" borderId="193" xfId="1" applyFont="1" applyFill="1" applyBorder="1" applyAlignment="1">
      <alignment vertical="center"/>
    </xf>
    <xf numFmtId="0" fontId="17" fillId="21" borderId="191" xfId="1" applyFont="1" applyFill="1" applyBorder="1" applyAlignment="1">
      <alignment vertical="center"/>
    </xf>
    <xf numFmtId="0" fontId="17" fillId="21" borderId="194" xfId="1" applyFont="1" applyFill="1" applyBorder="1" applyAlignment="1">
      <alignment vertical="center"/>
    </xf>
    <xf numFmtId="0" fontId="17" fillId="21" borderId="70" xfId="1" applyFont="1" applyFill="1" applyBorder="1" applyAlignment="1">
      <alignment vertical="center"/>
    </xf>
    <xf numFmtId="0" fontId="17" fillId="21" borderId="197" xfId="1" applyFont="1" applyFill="1" applyBorder="1" applyAlignment="1">
      <alignment vertical="center"/>
    </xf>
    <xf numFmtId="0" fontId="17" fillId="21" borderId="198" xfId="1" applyFont="1" applyFill="1" applyBorder="1" applyAlignment="1">
      <alignment vertical="center"/>
    </xf>
    <xf numFmtId="49" fontId="17" fillId="18" borderId="187" xfId="1" applyNumberFormat="1" applyFont="1" applyFill="1" applyBorder="1" applyAlignment="1">
      <alignment horizontal="center" vertical="center"/>
    </xf>
    <xf numFmtId="49" fontId="17" fillId="18" borderId="188" xfId="1" applyNumberFormat="1" applyFont="1" applyFill="1" applyBorder="1" applyAlignment="1">
      <alignment horizontal="center" vertical="center"/>
    </xf>
    <xf numFmtId="49" fontId="17" fillId="18" borderId="189" xfId="1" applyNumberFormat="1" applyFont="1" applyFill="1" applyBorder="1" applyAlignment="1">
      <alignment horizontal="center" vertical="center"/>
    </xf>
    <xf numFmtId="49" fontId="17" fillId="18" borderId="190" xfId="1" applyNumberFormat="1" applyFont="1" applyFill="1" applyBorder="1" applyAlignment="1">
      <alignment horizontal="center" vertical="center"/>
    </xf>
    <xf numFmtId="0" fontId="17" fillId="0" borderId="0" xfId="1" applyFont="1" applyAlignment="1">
      <alignment horizontal="center" shrinkToFit="1"/>
    </xf>
    <xf numFmtId="0" fontId="17" fillId="0" borderId="32" xfId="1" applyFont="1" applyBorder="1" applyAlignment="1">
      <alignment horizontal="center" shrinkToFit="1"/>
    </xf>
    <xf numFmtId="0" fontId="17" fillId="0" borderId="191" xfId="1" applyFont="1" applyBorder="1" applyAlignment="1">
      <alignment horizontal="center" vertical="top" shrinkToFit="1"/>
    </xf>
    <xf numFmtId="0" fontId="17" fillId="9" borderId="0" xfId="1" applyFont="1" applyFill="1" applyAlignment="1">
      <alignment horizontal="center" vertical="center" shrinkToFit="1"/>
    </xf>
    <xf numFmtId="0" fontId="17" fillId="9" borderId="223" xfId="1" applyFont="1" applyFill="1" applyBorder="1" applyAlignment="1">
      <alignment horizontal="center" vertical="center" shrinkToFit="1"/>
    </xf>
    <xf numFmtId="0" fontId="20" fillId="4" borderId="150" xfId="1" applyFont="1" applyFill="1" applyBorder="1" applyAlignment="1">
      <alignment horizontal="center" vertical="center"/>
    </xf>
    <xf numFmtId="0" fontId="17" fillId="9" borderId="32" xfId="1" applyFont="1" applyFill="1" applyBorder="1" applyAlignment="1">
      <alignment horizontal="center" vertical="center" shrinkToFit="1"/>
    </xf>
    <xf numFmtId="0" fontId="17" fillId="0" borderId="31" xfId="1" applyFont="1" applyBorder="1" applyAlignment="1">
      <alignment vertical="center"/>
    </xf>
    <xf numFmtId="0" fontId="17" fillId="0" borderId="32" xfId="1" applyFont="1" applyBorder="1" applyAlignment="1">
      <alignment vertical="center"/>
    </xf>
    <xf numFmtId="0" fontId="17" fillId="0" borderId="192" xfId="1" applyFont="1" applyBorder="1" applyAlignment="1">
      <alignment vertical="center"/>
    </xf>
    <xf numFmtId="49" fontId="17" fillId="0" borderId="56" xfId="1" applyNumberFormat="1" applyFont="1" applyBorder="1" applyAlignment="1">
      <alignment horizontal="center" vertical="center"/>
    </xf>
    <xf numFmtId="49" fontId="17" fillId="0" borderId="54" xfId="1" applyNumberFormat="1" applyFont="1" applyBorder="1" applyAlignment="1">
      <alignment horizontal="center" vertical="center"/>
    </xf>
    <xf numFmtId="49" fontId="17" fillId="0" borderId="55" xfId="1" applyNumberFormat="1" applyFont="1" applyBorder="1" applyAlignment="1">
      <alignment horizontal="center" vertical="center"/>
    </xf>
    <xf numFmtId="0" fontId="14" fillId="9" borderId="0" xfId="1" applyFont="1" applyFill="1" applyAlignment="1">
      <alignment horizontal="center" vertical="center" shrinkToFit="1"/>
    </xf>
    <xf numFmtId="167" fontId="15" fillId="9" borderId="0" xfId="1" applyNumberFormat="1" applyFont="1" applyFill="1" applyAlignment="1">
      <alignment horizontal="center" shrinkToFit="1"/>
    </xf>
    <xf numFmtId="167" fontId="15" fillId="9" borderId="32" xfId="1" applyNumberFormat="1" applyFont="1" applyFill="1" applyBorder="1" applyAlignment="1">
      <alignment horizontal="center" shrinkToFit="1"/>
    </xf>
    <xf numFmtId="0" fontId="17" fillId="0" borderId="0" xfId="1" applyFont="1" applyAlignment="1">
      <alignment horizontal="right" vertical="center" shrinkToFit="1"/>
    </xf>
    <xf numFmtId="0" fontId="17" fillId="0" borderId="26" xfId="1" applyFont="1" applyBorder="1" applyAlignment="1">
      <alignment horizontal="center"/>
    </xf>
    <xf numFmtId="0" fontId="17" fillId="0" borderId="185" xfId="1" applyFont="1" applyBorder="1" applyAlignment="1">
      <alignment horizontal="center"/>
    </xf>
    <xf numFmtId="0" fontId="20" fillId="4" borderId="41" xfId="1" applyFont="1" applyFill="1" applyBorder="1" applyAlignment="1">
      <alignment horizontal="center" vertical="center"/>
    </xf>
    <xf numFmtId="0" fontId="17" fillId="0" borderId="30" xfId="1" applyFont="1" applyBorder="1" applyAlignment="1">
      <alignment vertical="center"/>
    </xf>
    <xf numFmtId="0" fontId="16" fillId="30" borderId="0" xfId="1" applyFont="1" applyFill="1" applyAlignment="1">
      <alignment horizontal="center" vertical="center" shrinkToFit="1"/>
    </xf>
    <xf numFmtId="0" fontId="20" fillId="4" borderId="1" xfId="1" applyFont="1" applyFill="1" applyBorder="1" applyAlignment="1">
      <alignment horizontal="center" vertical="center"/>
    </xf>
    <xf numFmtId="0" fontId="17" fillId="0" borderId="186" xfId="1" applyFont="1" applyBorder="1" applyAlignment="1">
      <alignment horizontal="center" vertical="center" wrapText="1"/>
    </xf>
    <xf numFmtId="0" fontId="17" fillId="0" borderId="34" xfId="1" applyFont="1" applyBorder="1" applyAlignment="1">
      <alignment horizontal="center" vertical="center" wrapText="1"/>
    </xf>
    <xf numFmtId="0" fontId="17" fillId="0" borderId="10" xfId="1" applyFont="1" applyBorder="1" applyAlignment="1">
      <alignment vertical="center"/>
    </xf>
    <xf numFmtId="0" fontId="20" fillId="4" borderId="0" xfId="1" applyFont="1" applyFill="1" applyAlignment="1">
      <alignment horizontal="center" vertical="center"/>
    </xf>
    <xf numFmtId="0" fontId="17" fillId="0" borderId="16" xfId="1" applyFont="1" applyBorder="1" applyAlignment="1">
      <alignment vertical="center"/>
    </xf>
    <xf numFmtId="0" fontId="17" fillId="0" borderId="5" xfId="1" applyFont="1" applyBorder="1" applyAlignment="1">
      <alignment vertical="center"/>
    </xf>
    <xf numFmtId="0" fontId="20" fillId="4" borderId="131" xfId="1" applyFont="1" applyFill="1" applyBorder="1" applyAlignment="1">
      <alignment horizontal="center" vertical="center"/>
    </xf>
    <xf numFmtId="0" fontId="20" fillId="4" borderId="0" xfId="1" applyFont="1" applyFill="1" applyAlignment="1">
      <alignment horizontal="center"/>
    </xf>
    <xf numFmtId="0" fontId="17" fillId="34" borderId="0" xfId="8" applyFont="1" applyFill="1" applyAlignment="1">
      <alignment horizontal="center" vertical="center"/>
    </xf>
    <xf numFmtId="49" fontId="17" fillId="34" borderId="0" xfId="8" applyNumberFormat="1" applyFont="1" applyFill="1" applyAlignment="1">
      <alignment horizontal="center" vertical="center"/>
    </xf>
    <xf numFmtId="0" fontId="17" fillId="34" borderId="0" xfId="8" applyFont="1" applyFill="1" applyAlignment="1">
      <alignment vertical="center"/>
    </xf>
    <xf numFmtId="0" fontId="17" fillId="0" borderId="0" xfId="8" applyFont="1" applyAlignment="1">
      <alignment horizontal="center" vertical="center"/>
    </xf>
    <xf numFmtId="49" fontId="17" fillId="0" borderId="0" xfId="8" applyNumberFormat="1" applyFont="1" applyAlignment="1">
      <alignment horizontal="center" vertical="center"/>
    </xf>
    <xf numFmtId="0" fontId="17" fillId="0" borderId="0" xfId="8" applyFont="1" applyAlignment="1">
      <alignment vertical="center"/>
    </xf>
    <xf numFmtId="0" fontId="17" fillId="49" borderId="165" xfId="8" applyFont="1" applyFill="1" applyBorder="1" applyAlignment="1">
      <alignment horizontal="center" wrapText="1"/>
    </xf>
    <xf numFmtId="0" fontId="17" fillId="48" borderId="0" xfId="8" applyFont="1" applyFill="1" applyAlignment="1">
      <alignment horizontal="center"/>
    </xf>
    <xf numFmtId="0" fontId="17" fillId="60" borderId="0" xfId="8" applyFont="1" applyFill="1" applyAlignment="1">
      <alignment horizontal="center" vertical="center" wrapText="1"/>
    </xf>
    <xf numFmtId="0" fontId="17" fillId="34" borderId="0" xfId="8" applyFont="1" applyFill="1" applyAlignment="1">
      <alignment horizontal="center" vertical="center" wrapText="1"/>
    </xf>
    <xf numFmtId="0" fontId="23" fillId="7" borderId="0" xfId="8" applyFont="1" applyFill="1" applyAlignment="1">
      <alignment horizontal="center" vertical="center"/>
    </xf>
    <xf numFmtId="0" fontId="23" fillId="32" borderId="0" xfId="1" applyFont="1" applyFill="1" applyAlignment="1">
      <alignment horizontal="center" vertical="center" wrapText="1"/>
    </xf>
    <xf numFmtId="0" fontId="17" fillId="37" borderId="0" xfId="1" applyFont="1" applyFill="1" applyAlignment="1">
      <alignment horizontal="center" vertical="center"/>
    </xf>
    <xf numFmtId="0" fontId="43" fillId="57" borderId="0" xfId="0" applyFont="1" applyFill="1" applyAlignment="1">
      <alignment horizontal="left"/>
    </xf>
    <xf numFmtId="0" fontId="17" fillId="57" borderId="0" xfId="0" applyFont="1" applyFill="1" applyAlignment="1">
      <alignment horizontal="left"/>
    </xf>
    <xf numFmtId="0" fontId="17" fillId="57" borderId="0" xfId="0" applyFont="1" applyFill="1" applyAlignment="1">
      <alignment horizontal="left" wrapText="1"/>
    </xf>
    <xf numFmtId="0" fontId="17" fillId="57" borderId="0" xfId="0" applyFont="1" applyFill="1" applyAlignment="1">
      <alignment wrapText="1"/>
    </xf>
    <xf numFmtId="0" fontId="23" fillId="57" borderId="0" xfId="0" applyFont="1" applyFill="1" applyAlignment="1">
      <alignment horizontal="left"/>
    </xf>
    <xf numFmtId="0" fontId="32" fillId="57" borderId="0" xfId="0" applyFont="1" applyFill="1" applyAlignment="1">
      <alignment horizontal="left"/>
    </xf>
    <xf numFmtId="0" fontId="25" fillId="57" borderId="0" xfId="0" applyFont="1" applyFill="1" applyAlignment="1">
      <alignment horizontal="left"/>
    </xf>
    <xf numFmtId="0" fontId="0" fillId="57" borderId="0" xfId="0" applyFill="1" applyAlignment="1">
      <alignment horizontal="left"/>
    </xf>
    <xf numFmtId="0" fontId="44" fillId="57" borderId="0" xfId="0" applyFont="1" applyFill="1" applyAlignment="1">
      <alignment horizontal="left"/>
    </xf>
    <xf numFmtId="0" fontId="17" fillId="0" borderId="0" xfId="0" applyFont="1" applyAlignment="1">
      <alignment horizontal="left" vertical="center" wrapText="1"/>
    </xf>
    <xf numFmtId="0" fontId="25" fillId="0" borderId="0" xfId="0" applyFont="1" applyAlignment="1">
      <alignment horizontal="left" vertical="center" wrapText="1"/>
    </xf>
    <xf numFmtId="15" fontId="23" fillId="0" borderId="0" xfId="0" applyNumberFormat="1" applyFont="1" applyAlignment="1">
      <alignment horizontal="left"/>
    </xf>
    <xf numFmtId="0" fontId="40" fillId="0" borderId="0" xfId="0" applyFont="1" applyAlignment="1">
      <alignment horizontal="left"/>
    </xf>
    <xf numFmtId="0" fontId="25" fillId="0" borderId="0" xfId="0" applyFont="1" applyAlignment="1">
      <alignment horizontal="left"/>
    </xf>
    <xf numFmtId="0" fontId="17" fillId="0" borderId="0" xfId="0" applyFont="1" applyAlignment="1">
      <alignment horizontal="left"/>
    </xf>
    <xf numFmtId="17" fontId="40" fillId="0" borderId="0" xfId="0" applyNumberFormat="1" applyFont="1" applyAlignment="1">
      <alignment horizontal="left"/>
    </xf>
    <xf numFmtId="14" fontId="25" fillId="0" borderId="0" xfId="0" applyNumberFormat="1" applyFont="1" applyAlignment="1">
      <alignment horizontal="center"/>
    </xf>
    <xf numFmtId="0" fontId="17" fillId="0" borderId="0" xfId="0" applyFont="1" applyAlignment="1">
      <alignment horizontal="left" wrapText="1"/>
    </xf>
    <xf numFmtId="0" fontId="25" fillId="0" borderId="0" xfId="0" applyFont="1" applyAlignment="1">
      <alignment horizontal="left" wrapText="1"/>
    </xf>
    <xf numFmtId="0" fontId="41" fillId="0" borderId="0" xfId="0" applyFont="1" applyAlignment="1">
      <alignment horizontal="left" vertical="center"/>
    </xf>
    <xf numFmtId="0" fontId="17" fillId="0" borderId="0" xfId="0" applyFont="1" applyAlignment="1">
      <alignment horizontal="left" vertical="top" wrapText="1"/>
    </xf>
    <xf numFmtId="0" fontId="25" fillId="0" borderId="0" xfId="0" applyFont="1" applyAlignment="1">
      <alignment horizontal="left" vertical="top" wrapText="1"/>
    </xf>
    <xf numFmtId="0" fontId="23" fillId="0" borderId="0" xfId="0" applyFont="1" applyAlignment="1">
      <alignment horizontal="left"/>
    </xf>
    <xf numFmtId="15" fontId="40" fillId="0" borderId="0" xfId="0" applyNumberFormat="1" applyFont="1" applyAlignment="1">
      <alignment horizontal="left"/>
    </xf>
    <xf numFmtId="0" fontId="17" fillId="0" borderId="0" xfId="0" applyFont="1" applyAlignment="1">
      <alignment vertical="top" wrapText="1"/>
    </xf>
    <xf numFmtId="0" fontId="17" fillId="0" borderId="0" xfId="0" applyFont="1" applyAlignment="1">
      <alignment wrapText="1"/>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CA2EB804-F311-4458-9268-76CF16817055}"/>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zoomScaleNormal="100" workbookViewId="0">
      <selection sqref="A1:K1"/>
    </sheetView>
  </sheetViews>
  <sheetFormatPr defaultColWidth="8.6640625" defaultRowHeight="13.8" x14ac:dyDescent="0.3"/>
  <cols>
    <col min="1" max="1" width="5.77734375" style="3" customWidth="1"/>
    <col min="2" max="2" width="16.109375" style="3" customWidth="1"/>
    <col min="3" max="10" width="6.77734375" style="3" customWidth="1"/>
    <col min="11" max="11" width="12.33203125" style="3" customWidth="1"/>
    <col min="12" max="95" width="9.109375" style="59" customWidth="1"/>
    <col min="96" max="16384" width="8.6640625" style="3"/>
  </cols>
  <sheetData>
    <row r="1" spans="1:12" ht="27" customHeight="1" x14ac:dyDescent="0.35">
      <c r="A1" s="770" t="s">
        <v>166</v>
      </c>
      <c r="B1" s="770"/>
      <c r="C1" s="770"/>
      <c r="D1" s="770"/>
      <c r="E1" s="770"/>
      <c r="F1" s="770"/>
      <c r="G1" s="770"/>
      <c r="H1" s="770"/>
      <c r="I1" s="770"/>
      <c r="J1" s="770"/>
      <c r="K1" s="771"/>
    </row>
    <row r="2" spans="1:12" ht="18" customHeight="1" x14ac:dyDescent="0.3">
      <c r="A2" s="772" t="s">
        <v>297</v>
      </c>
      <c r="B2" s="772"/>
      <c r="C2" s="772"/>
      <c r="D2" s="772"/>
      <c r="E2" s="772"/>
      <c r="F2" s="772"/>
      <c r="G2" s="772"/>
      <c r="H2" s="772"/>
      <c r="I2" s="772"/>
      <c r="J2" s="772"/>
      <c r="K2" s="773"/>
    </row>
    <row r="3" spans="1:12" ht="15.75" customHeight="1" x14ac:dyDescent="0.3">
      <c r="A3" s="774" t="s">
        <v>505</v>
      </c>
      <c r="B3" s="774"/>
      <c r="C3" s="774"/>
      <c r="D3" s="774"/>
      <c r="E3" s="774"/>
      <c r="F3" s="774"/>
      <c r="G3" s="774"/>
      <c r="H3" s="774"/>
      <c r="I3" s="774"/>
      <c r="J3" s="774"/>
      <c r="K3" s="775"/>
    </row>
    <row r="4" spans="1:12" ht="15.75" customHeight="1" x14ac:dyDescent="0.3">
      <c r="A4" s="776" t="s">
        <v>506</v>
      </c>
      <c r="B4" s="776"/>
      <c r="C4" s="776"/>
      <c r="D4" s="776"/>
      <c r="E4" s="776"/>
      <c r="F4" s="776"/>
      <c r="G4" s="776"/>
      <c r="H4" s="776"/>
      <c r="I4" s="776"/>
      <c r="J4" s="776"/>
      <c r="K4" s="777"/>
    </row>
    <row r="5" spans="1:12" ht="15.75" customHeight="1" x14ac:dyDescent="0.3">
      <c r="A5" s="769"/>
      <c r="B5" s="769"/>
      <c r="C5" s="769"/>
      <c r="D5" s="769"/>
      <c r="E5" s="769"/>
      <c r="F5" s="769"/>
      <c r="G5" s="769"/>
      <c r="H5" s="769"/>
      <c r="I5" s="769"/>
      <c r="J5" s="769"/>
      <c r="K5" s="769"/>
    </row>
    <row r="6" spans="1:12" ht="15.75" customHeight="1" x14ac:dyDescent="0.3">
      <c r="A6" s="778" t="s">
        <v>259</v>
      </c>
      <c r="B6" s="778"/>
      <c r="C6" s="778"/>
      <c r="D6" s="778"/>
      <c r="E6" s="778"/>
      <c r="F6" s="778"/>
      <c r="G6" s="778"/>
      <c r="H6" s="778"/>
      <c r="I6" s="778"/>
      <c r="J6" s="778"/>
      <c r="K6" s="778"/>
    </row>
    <row r="7" spans="1:12" ht="24" customHeight="1" x14ac:dyDescent="0.3">
      <c r="A7" s="167"/>
      <c r="B7" s="167"/>
      <c r="C7" s="167"/>
      <c r="D7" s="167"/>
      <c r="E7" s="167"/>
      <c r="F7" s="167"/>
      <c r="G7" s="167"/>
      <c r="H7" s="167"/>
      <c r="I7" s="167"/>
      <c r="J7" s="167"/>
      <c r="K7" s="167"/>
    </row>
    <row r="8" spans="1:12" ht="52.5" customHeight="1" x14ac:dyDescent="0.3">
      <c r="A8" s="768" t="s">
        <v>300</v>
      </c>
      <c r="B8" s="768"/>
      <c r="C8" s="768"/>
      <c r="D8" s="768"/>
      <c r="E8" s="768"/>
      <c r="F8" s="768"/>
      <c r="G8" s="768"/>
      <c r="H8" s="768"/>
      <c r="I8" s="768"/>
      <c r="J8" s="768"/>
      <c r="K8" s="768"/>
    </row>
    <row r="9" spans="1:12" ht="9" customHeight="1" thickBot="1" x14ac:dyDescent="0.35">
      <c r="A9" s="168"/>
      <c r="B9" s="168"/>
      <c r="C9" s="168"/>
      <c r="D9" s="168"/>
      <c r="E9" s="168"/>
      <c r="F9" s="168"/>
      <c r="G9" s="168"/>
      <c r="H9" s="168"/>
      <c r="I9" s="168"/>
      <c r="J9" s="168"/>
      <c r="K9" s="168"/>
    </row>
    <row r="10" spans="1:12" x14ac:dyDescent="0.3">
      <c r="A10" s="788" t="s">
        <v>372</v>
      </c>
      <c r="B10" s="789"/>
      <c r="C10" s="789"/>
      <c r="D10" s="789"/>
      <c r="E10" s="789"/>
      <c r="F10" s="789"/>
      <c r="G10" s="789"/>
      <c r="H10" s="789"/>
      <c r="I10" s="789"/>
      <c r="J10" s="789"/>
      <c r="K10" s="790"/>
    </row>
    <row r="11" spans="1:12" ht="27" customHeight="1" x14ac:dyDescent="0.3">
      <c r="A11" s="791" t="s">
        <v>390</v>
      </c>
      <c r="B11" s="792"/>
      <c r="C11" s="792"/>
      <c r="D11" s="792"/>
      <c r="E11" s="792"/>
      <c r="F11" s="792"/>
      <c r="G11" s="792"/>
      <c r="H11" s="792"/>
      <c r="I11" s="792"/>
      <c r="J11" s="792"/>
      <c r="K11" s="793"/>
    </row>
    <row r="12" spans="1:12" x14ac:dyDescent="0.3">
      <c r="A12" s="794" t="s">
        <v>374</v>
      </c>
      <c r="B12" s="784"/>
      <c r="C12" s="784"/>
      <c r="D12" s="784"/>
      <c r="E12" s="784"/>
      <c r="F12" s="784"/>
      <c r="G12" s="784"/>
      <c r="H12" s="784"/>
      <c r="I12" s="784"/>
      <c r="J12" s="784"/>
      <c r="K12" s="795"/>
      <c r="L12" s="503"/>
    </row>
    <row r="13" spans="1:12" ht="15" customHeight="1" thickBot="1" x14ac:dyDescent="0.35">
      <c r="A13" s="796"/>
      <c r="B13" s="797"/>
      <c r="C13" s="797"/>
      <c r="D13" s="797"/>
      <c r="E13" s="797"/>
      <c r="F13" s="797"/>
      <c r="G13" s="797"/>
      <c r="H13" s="797"/>
      <c r="I13" s="797"/>
      <c r="J13" s="797"/>
      <c r="K13" s="798"/>
    </row>
    <row r="14" spans="1:12" ht="15" customHeight="1" x14ac:dyDescent="0.3">
      <c r="A14" s="786" t="s">
        <v>167</v>
      </c>
      <c r="B14" s="786"/>
      <c r="C14" s="786"/>
      <c r="D14" s="786"/>
      <c r="E14" s="786"/>
      <c r="F14" s="786"/>
      <c r="G14" s="786"/>
      <c r="H14" s="786"/>
      <c r="I14" s="786"/>
      <c r="J14" s="786"/>
      <c r="K14" s="786"/>
    </row>
    <row r="15" spans="1:12" ht="15" customHeight="1" x14ac:dyDescent="0.3">
      <c r="A15" s="60"/>
      <c r="B15" s="60"/>
      <c r="C15" s="60"/>
      <c r="D15" s="60"/>
      <c r="E15" s="60"/>
      <c r="F15" s="60"/>
      <c r="G15" s="60"/>
      <c r="H15" s="60"/>
      <c r="I15" s="60"/>
      <c r="J15" s="60"/>
      <c r="K15" s="60"/>
    </row>
    <row r="16" spans="1:12" ht="15" customHeight="1" x14ac:dyDescent="0.3">
      <c r="A16" s="787" t="s">
        <v>371</v>
      </c>
      <c r="B16" s="787"/>
      <c r="C16" s="787"/>
      <c r="D16" s="787"/>
      <c r="E16" s="787"/>
      <c r="F16" s="787"/>
      <c r="G16" s="787"/>
      <c r="H16" s="787"/>
      <c r="I16" s="787"/>
      <c r="J16" s="787"/>
      <c r="K16" s="787"/>
    </row>
    <row r="17" spans="1:11" x14ac:dyDescent="0.3">
      <c r="A17" s="783" t="s">
        <v>373</v>
      </c>
      <c r="B17" s="783"/>
      <c r="C17" s="783"/>
      <c r="D17" s="783"/>
      <c r="E17" s="783"/>
      <c r="F17" s="783"/>
      <c r="G17" s="783"/>
      <c r="H17" s="783"/>
      <c r="I17" s="783"/>
      <c r="J17" s="783"/>
      <c r="K17" s="783"/>
    </row>
    <row r="18" spans="1:11" ht="16.2" customHeight="1" x14ac:dyDescent="0.3">
      <c r="A18" s="487"/>
      <c r="B18" s="783" t="s">
        <v>460</v>
      </c>
      <c r="C18" s="783"/>
      <c r="D18" s="783"/>
      <c r="E18" s="783"/>
      <c r="F18" s="783"/>
      <c r="G18" s="783"/>
      <c r="H18" s="783"/>
      <c r="I18" s="783"/>
      <c r="J18" s="487"/>
      <c r="K18" s="486"/>
    </row>
    <row r="19" spans="1:11" ht="18" customHeight="1" x14ac:dyDescent="0.3">
      <c r="A19" s="783" t="s">
        <v>298</v>
      </c>
      <c r="B19" s="783"/>
      <c r="C19" s="783"/>
      <c r="D19" s="783"/>
      <c r="E19" s="783"/>
      <c r="F19" s="783"/>
      <c r="G19" s="783"/>
      <c r="H19" s="783"/>
      <c r="I19" s="783"/>
      <c r="J19" s="783"/>
      <c r="K19" s="783"/>
    </row>
    <row r="20" spans="1:11" ht="17.55" customHeight="1" x14ac:dyDescent="0.3">
      <c r="A20" s="487"/>
      <c r="B20" s="783" t="s">
        <v>461</v>
      </c>
      <c r="C20" s="783"/>
      <c r="D20" s="783"/>
      <c r="E20" s="783"/>
      <c r="F20" s="783"/>
      <c r="G20" s="783"/>
      <c r="H20" s="783"/>
      <c r="I20" s="783"/>
      <c r="J20" s="783"/>
      <c r="K20" s="783"/>
    </row>
    <row r="21" spans="1:11" ht="15" customHeight="1" x14ac:dyDescent="0.3">
      <c r="A21" s="488"/>
      <c r="B21" s="488"/>
      <c r="C21" s="488"/>
      <c r="D21" s="488"/>
      <c r="E21" s="488"/>
      <c r="F21" s="488"/>
      <c r="G21" s="488"/>
      <c r="H21" s="488"/>
      <c r="I21" s="488"/>
      <c r="J21" s="488"/>
      <c r="K21" s="488"/>
    </row>
    <row r="22" spans="1:11" ht="15" customHeight="1" x14ac:dyDescent="0.3">
      <c r="A22" s="165"/>
      <c r="B22" s="486"/>
      <c r="C22" s="486"/>
      <c r="D22" s="61"/>
      <c r="E22" s="61"/>
      <c r="F22" s="61"/>
      <c r="G22" s="486"/>
      <c r="H22" s="486"/>
      <c r="I22" s="486"/>
      <c r="J22" s="486"/>
      <c r="K22" s="486"/>
    </row>
    <row r="23" spans="1:11" ht="15" customHeight="1" x14ac:dyDescent="0.3">
      <c r="A23" s="165" t="s">
        <v>375</v>
      </c>
      <c r="B23" s="487"/>
      <c r="C23" s="487"/>
      <c r="D23" s="487"/>
      <c r="E23" s="487"/>
      <c r="F23" s="487"/>
      <c r="G23" s="487"/>
      <c r="H23" s="487"/>
      <c r="I23" s="487"/>
      <c r="J23" s="487"/>
      <c r="K23" s="487"/>
    </row>
    <row r="24" spans="1:11" ht="28.5" customHeight="1" x14ac:dyDescent="0.3">
      <c r="A24" s="166" t="s">
        <v>168</v>
      </c>
      <c r="B24" s="785" t="s">
        <v>376</v>
      </c>
      <c r="C24" s="785"/>
      <c r="D24" s="785"/>
      <c r="E24" s="785"/>
      <c r="F24" s="785"/>
      <c r="G24" s="785"/>
      <c r="H24" s="785"/>
      <c r="I24" s="785"/>
      <c r="J24" s="785"/>
      <c r="K24" s="785"/>
    </row>
    <row r="25" spans="1:11" ht="15" customHeight="1" x14ac:dyDescent="0.3">
      <c r="A25" s="784" t="s">
        <v>377</v>
      </c>
      <c r="B25" s="784"/>
      <c r="C25" s="784"/>
      <c r="D25" s="784"/>
      <c r="E25" s="784"/>
      <c r="F25" s="784"/>
      <c r="G25" s="784"/>
      <c r="H25" s="784"/>
      <c r="I25" s="784"/>
      <c r="J25" s="784"/>
      <c r="K25" s="784"/>
    </row>
    <row r="26" spans="1:11" ht="15" customHeight="1" x14ac:dyDescent="0.3">
      <c r="A26" s="166"/>
      <c r="B26" s="63"/>
      <c r="C26" s="62"/>
      <c r="D26" s="62"/>
      <c r="E26" s="62"/>
      <c r="F26" s="62"/>
      <c r="G26" s="62"/>
      <c r="H26" s="62"/>
      <c r="I26" s="62"/>
      <c r="J26" s="62"/>
      <c r="K26" s="62"/>
    </row>
    <row r="27" spans="1:11" ht="16.2" customHeight="1" x14ac:dyDescent="0.3">
      <c r="A27" s="62"/>
      <c r="B27" s="782"/>
      <c r="C27" s="782"/>
      <c r="D27" s="782"/>
      <c r="E27" s="782"/>
      <c r="F27" s="782"/>
      <c r="G27" s="782"/>
      <c r="H27" s="782"/>
      <c r="I27" s="782"/>
      <c r="J27" s="782"/>
      <c r="K27" s="782"/>
    </row>
    <row r="28" spans="1:11" ht="16.2" customHeight="1" x14ac:dyDescent="0.3">
      <c r="A28" s="62"/>
      <c r="B28" s="488"/>
      <c r="C28" s="488"/>
      <c r="D28" s="488"/>
      <c r="E28" s="488"/>
      <c r="F28" s="488"/>
      <c r="G28" s="488"/>
      <c r="H28" s="488"/>
      <c r="I28" s="488"/>
      <c r="J28" s="488"/>
      <c r="K28" s="488"/>
    </row>
    <row r="29" spans="1:11" ht="47.55" customHeight="1" x14ac:dyDescent="0.3">
      <c r="A29" s="780" t="s">
        <v>315</v>
      </c>
      <c r="B29" s="780"/>
      <c r="C29" s="780"/>
      <c r="D29" s="780"/>
      <c r="E29" s="780"/>
      <c r="F29" s="780"/>
      <c r="G29" s="780"/>
      <c r="H29" s="780"/>
      <c r="I29" s="780"/>
      <c r="J29" s="780"/>
      <c r="K29" s="780"/>
    </row>
    <row r="30" spans="1:11" ht="47.55" customHeight="1" thickBot="1" x14ac:dyDescent="0.35">
      <c r="A30" s="781" t="s">
        <v>130</v>
      </c>
      <c r="B30" s="781"/>
      <c r="C30" s="781"/>
      <c r="D30" s="781"/>
      <c r="E30" s="781"/>
      <c r="F30" s="781"/>
      <c r="G30" s="781"/>
      <c r="H30" s="781"/>
      <c r="I30" s="781"/>
      <c r="J30" s="781"/>
      <c r="K30" s="781"/>
    </row>
    <row r="31" spans="1:11" ht="67.95" customHeight="1" x14ac:dyDescent="0.3">
      <c r="A31" s="779" t="s">
        <v>260</v>
      </c>
      <c r="B31" s="779"/>
      <c r="C31" s="779"/>
      <c r="D31" s="779"/>
      <c r="E31" s="779"/>
      <c r="F31" s="779"/>
      <c r="G31" s="779"/>
      <c r="H31" s="779"/>
      <c r="I31" s="779"/>
      <c r="J31" s="779"/>
      <c r="K31" s="779"/>
    </row>
    <row r="32" spans="1:11" ht="16.2" customHeight="1" x14ac:dyDescent="0.3">
      <c r="A32" s="59"/>
      <c r="B32" s="59"/>
      <c r="C32" s="59"/>
      <c r="D32" s="59"/>
      <c r="E32" s="59"/>
      <c r="F32" s="59"/>
      <c r="G32" s="59"/>
      <c r="H32" s="59"/>
      <c r="I32" s="59"/>
      <c r="J32" s="59"/>
      <c r="K32" s="59"/>
    </row>
    <row r="33" spans="1:11" ht="16.2" customHeight="1" x14ac:dyDescent="0.3">
      <c r="A33" s="59"/>
      <c r="B33" s="59"/>
      <c r="C33" s="59"/>
      <c r="D33" s="59"/>
      <c r="E33" s="59"/>
      <c r="F33" s="59"/>
      <c r="G33" s="59"/>
      <c r="H33" s="59"/>
      <c r="I33" s="59"/>
      <c r="J33" s="59"/>
      <c r="K33" s="59"/>
    </row>
    <row r="34" spans="1:11" ht="16.2" customHeight="1" x14ac:dyDescent="0.3">
      <c r="A34" s="59"/>
      <c r="B34" s="59"/>
      <c r="C34" s="59"/>
      <c r="D34" s="59"/>
      <c r="E34" s="59"/>
      <c r="F34" s="59"/>
      <c r="G34" s="59"/>
      <c r="H34" s="59"/>
      <c r="I34" s="59"/>
      <c r="J34" s="59"/>
      <c r="K34" s="59"/>
    </row>
    <row r="35" spans="1:11" ht="16.2" customHeight="1" x14ac:dyDescent="0.3">
      <c r="A35" s="59"/>
      <c r="B35" s="59"/>
      <c r="C35" s="59"/>
      <c r="D35" s="59"/>
      <c r="E35" s="59"/>
      <c r="F35" s="59"/>
      <c r="G35" s="59"/>
      <c r="H35" s="59"/>
      <c r="I35" s="59"/>
      <c r="J35" s="59"/>
      <c r="K35" s="59"/>
    </row>
    <row r="36" spans="1:11" ht="16.2" customHeight="1" x14ac:dyDescent="0.3">
      <c r="A36" s="59"/>
      <c r="B36" s="59"/>
      <c r="C36" s="59"/>
      <c r="D36" s="59"/>
      <c r="E36" s="59"/>
      <c r="F36" s="59"/>
      <c r="G36" s="59"/>
      <c r="H36" s="59"/>
      <c r="I36" s="59"/>
      <c r="J36" s="59"/>
      <c r="K36" s="59"/>
    </row>
    <row r="37" spans="1:11" ht="16.2" customHeight="1" x14ac:dyDescent="0.3">
      <c r="A37" s="59"/>
      <c r="B37" s="59"/>
      <c r="C37" s="59"/>
      <c r="D37" s="59"/>
      <c r="E37" s="59"/>
      <c r="F37" s="59"/>
      <c r="G37" s="59"/>
      <c r="H37" s="59"/>
      <c r="I37" s="59"/>
      <c r="J37" s="59"/>
      <c r="K37" s="59"/>
    </row>
    <row r="38" spans="1:11" ht="16.2" customHeight="1" x14ac:dyDescent="0.3">
      <c r="A38" s="59"/>
      <c r="B38" s="59"/>
      <c r="C38" s="59"/>
      <c r="D38" s="59"/>
      <c r="E38" s="59"/>
      <c r="F38" s="59"/>
      <c r="G38" s="59"/>
      <c r="H38" s="59"/>
      <c r="I38" s="59"/>
      <c r="J38" s="59"/>
      <c r="K38" s="59"/>
    </row>
    <row r="39" spans="1:11" ht="16.2" customHeight="1" x14ac:dyDescent="0.3">
      <c r="A39" s="59"/>
      <c r="B39" s="59"/>
      <c r="C39" s="59"/>
      <c r="D39" s="59"/>
      <c r="E39" s="59"/>
      <c r="F39" s="59"/>
      <c r="G39" s="59"/>
      <c r="H39" s="59"/>
      <c r="I39" s="59"/>
      <c r="J39" s="59"/>
      <c r="K39" s="59"/>
    </row>
    <row r="40" spans="1:11" ht="16.2" customHeight="1" x14ac:dyDescent="0.3">
      <c r="A40" s="59"/>
      <c r="B40" s="59"/>
      <c r="C40" s="59"/>
      <c r="D40" s="59"/>
      <c r="E40" s="59"/>
      <c r="F40" s="59"/>
      <c r="G40" s="59"/>
      <c r="H40" s="59"/>
      <c r="I40" s="59"/>
      <c r="J40" s="59"/>
      <c r="K40" s="59"/>
    </row>
    <row r="41" spans="1:11" ht="16.2" customHeight="1" x14ac:dyDescent="0.3">
      <c r="A41" s="59"/>
      <c r="B41" s="59"/>
      <c r="C41" s="59"/>
      <c r="D41" s="59"/>
      <c r="E41" s="59"/>
      <c r="F41" s="59"/>
      <c r="G41" s="59"/>
      <c r="H41" s="59"/>
      <c r="I41" s="59"/>
      <c r="J41" s="59"/>
      <c r="K41" s="59"/>
    </row>
    <row r="42" spans="1:11" ht="16.2" customHeight="1" x14ac:dyDescent="0.3">
      <c r="A42" s="59"/>
      <c r="B42" s="59"/>
      <c r="C42" s="59"/>
      <c r="D42" s="59"/>
      <c r="E42" s="59"/>
      <c r="F42" s="59"/>
      <c r="G42" s="59"/>
      <c r="H42" s="59"/>
      <c r="I42" s="59"/>
      <c r="J42" s="59"/>
      <c r="K42" s="59"/>
    </row>
    <row r="43" spans="1:11" ht="16.2" customHeight="1" x14ac:dyDescent="0.3">
      <c r="A43" s="59"/>
      <c r="B43" s="59"/>
      <c r="C43" s="59"/>
      <c r="D43" s="59"/>
      <c r="E43" s="59"/>
      <c r="F43" s="59"/>
      <c r="G43" s="59"/>
      <c r="H43" s="59"/>
      <c r="I43" s="59"/>
      <c r="J43" s="59"/>
      <c r="K43" s="59"/>
    </row>
    <row r="44" spans="1:11" ht="16.2" customHeight="1" x14ac:dyDescent="0.3">
      <c r="A44" s="59"/>
      <c r="B44" s="59"/>
      <c r="C44" s="59"/>
      <c r="D44" s="59"/>
      <c r="E44" s="59"/>
      <c r="F44" s="59"/>
      <c r="G44" s="59"/>
      <c r="H44" s="59"/>
      <c r="I44" s="59"/>
      <c r="J44" s="59"/>
      <c r="K44" s="59"/>
    </row>
    <row r="45" spans="1:11" ht="16.2" customHeight="1" x14ac:dyDescent="0.3">
      <c r="A45" s="59"/>
      <c r="B45" s="59"/>
      <c r="C45" s="59"/>
      <c r="D45" s="59"/>
      <c r="E45" s="59"/>
      <c r="F45" s="59"/>
      <c r="G45" s="59"/>
      <c r="H45" s="59"/>
      <c r="I45" s="59"/>
      <c r="J45" s="59"/>
      <c r="K45" s="59"/>
    </row>
    <row r="46" spans="1:11" ht="16.2" customHeight="1" x14ac:dyDescent="0.3">
      <c r="A46" s="59"/>
      <c r="B46" s="59"/>
      <c r="C46" s="59"/>
      <c r="D46" s="59"/>
      <c r="E46" s="59"/>
      <c r="F46" s="59"/>
      <c r="G46" s="59"/>
      <c r="H46" s="59"/>
      <c r="I46" s="59"/>
      <c r="J46" s="59"/>
      <c r="K46" s="59"/>
    </row>
    <row r="47" spans="1:11" ht="16.2" customHeight="1" x14ac:dyDescent="0.3">
      <c r="A47" s="59"/>
      <c r="B47" s="59"/>
      <c r="C47" s="59"/>
      <c r="D47" s="59"/>
      <c r="E47" s="59"/>
      <c r="F47" s="59"/>
      <c r="G47" s="59"/>
      <c r="H47" s="59"/>
      <c r="I47" s="59"/>
      <c r="J47" s="59"/>
      <c r="K47" s="59"/>
    </row>
    <row r="48" spans="1:11" ht="16.2" customHeight="1" x14ac:dyDescent="0.3">
      <c r="A48" s="59"/>
      <c r="B48" s="59"/>
      <c r="C48" s="59"/>
      <c r="D48" s="59"/>
      <c r="E48" s="59"/>
      <c r="F48" s="59"/>
      <c r="G48" s="59"/>
      <c r="H48" s="59"/>
      <c r="I48" s="59"/>
      <c r="J48" s="59"/>
      <c r="K48" s="59"/>
    </row>
    <row r="49" spans="1:11" ht="16.2" customHeight="1" x14ac:dyDescent="0.3">
      <c r="A49" s="59"/>
      <c r="B49" s="59"/>
      <c r="C49" s="59"/>
      <c r="D49" s="59"/>
      <c r="E49" s="59"/>
      <c r="F49" s="59"/>
      <c r="G49" s="59"/>
      <c r="H49" s="59"/>
      <c r="I49" s="59"/>
      <c r="J49" s="59"/>
      <c r="K49" s="59"/>
    </row>
    <row r="50" spans="1:11" ht="16.2" customHeight="1" x14ac:dyDescent="0.3">
      <c r="A50" s="59"/>
      <c r="B50" s="59"/>
      <c r="C50" s="59"/>
      <c r="D50" s="59"/>
      <c r="E50" s="59"/>
      <c r="F50" s="59"/>
      <c r="G50" s="59"/>
      <c r="H50" s="59"/>
      <c r="I50" s="59"/>
      <c r="J50" s="59"/>
      <c r="K50" s="59"/>
    </row>
    <row r="51" spans="1:11" ht="16.2" customHeight="1" x14ac:dyDescent="0.3">
      <c r="A51" s="59"/>
      <c r="B51" s="59"/>
      <c r="C51" s="59"/>
      <c r="D51" s="59"/>
      <c r="E51" s="59"/>
      <c r="F51" s="59"/>
      <c r="G51" s="59"/>
      <c r="H51" s="59"/>
      <c r="I51" s="59"/>
      <c r="J51" s="59"/>
      <c r="K51" s="59"/>
    </row>
    <row r="52" spans="1:11" ht="16.2" customHeight="1" x14ac:dyDescent="0.3">
      <c r="A52" s="59"/>
      <c r="B52" s="59"/>
      <c r="C52" s="59"/>
      <c r="D52" s="59"/>
      <c r="E52" s="59"/>
      <c r="F52" s="59"/>
      <c r="G52" s="59"/>
      <c r="H52" s="59"/>
      <c r="I52" s="59"/>
      <c r="J52" s="59"/>
      <c r="K52" s="59"/>
    </row>
    <row r="53" spans="1:11" ht="16.2" customHeight="1" x14ac:dyDescent="0.3">
      <c r="A53" s="59"/>
      <c r="B53" s="59"/>
      <c r="C53" s="59"/>
      <c r="D53" s="59"/>
      <c r="E53" s="59"/>
      <c r="F53" s="59"/>
      <c r="G53" s="59"/>
      <c r="H53" s="59"/>
      <c r="I53" s="59"/>
      <c r="J53" s="59"/>
      <c r="K53" s="59"/>
    </row>
    <row r="54" spans="1:11" ht="16.2" customHeight="1" x14ac:dyDescent="0.3">
      <c r="A54" s="59"/>
      <c r="B54" s="59"/>
      <c r="C54" s="59"/>
      <c r="D54" s="59"/>
      <c r="E54" s="59"/>
      <c r="F54" s="59"/>
      <c r="G54" s="59"/>
      <c r="H54" s="59"/>
      <c r="I54" s="59"/>
      <c r="J54" s="59"/>
      <c r="K54" s="59"/>
    </row>
    <row r="55" spans="1:11" ht="16.2" customHeight="1" x14ac:dyDescent="0.3">
      <c r="A55" s="59"/>
      <c r="B55" s="59"/>
      <c r="C55" s="59"/>
      <c r="D55" s="59"/>
      <c r="E55" s="59"/>
      <c r="F55" s="59"/>
      <c r="G55" s="59"/>
      <c r="H55" s="59"/>
      <c r="I55" s="59"/>
      <c r="J55" s="59"/>
      <c r="K55" s="59"/>
    </row>
    <row r="56" spans="1:11" ht="16.2" customHeight="1" x14ac:dyDescent="0.3">
      <c r="A56" s="59"/>
      <c r="B56" s="59"/>
      <c r="C56" s="59"/>
      <c r="D56" s="59"/>
      <c r="E56" s="59"/>
      <c r="F56" s="59"/>
      <c r="G56" s="59"/>
      <c r="H56" s="59"/>
      <c r="I56" s="59"/>
      <c r="J56" s="59"/>
      <c r="K56" s="59"/>
    </row>
    <row r="57" spans="1:11" ht="16.2" customHeight="1" x14ac:dyDescent="0.3">
      <c r="A57" s="59"/>
      <c r="B57" s="59"/>
      <c r="C57" s="59"/>
      <c r="D57" s="59"/>
      <c r="E57" s="59"/>
      <c r="F57" s="59"/>
      <c r="G57" s="59"/>
      <c r="H57" s="59"/>
      <c r="I57" s="59"/>
      <c r="J57" s="59"/>
      <c r="K57" s="59"/>
    </row>
    <row r="58" spans="1:11" ht="16.2" customHeight="1" x14ac:dyDescent="0.3">
      <c r="A58" s="59"/>
      <c r="B58" s="59"/>
      <c r="C58" s="59"/>
      <c r="D58" s="59"/>
      <c r="E58" s="59"/>
      <c r="F58" s="59"/>
      <c r="G58" s="59"/>
      <c r="H58" s="59"/>
      <c r="I58" s="59"/>
      <c r="J58" s="59"/>
      <c r="K58" s="59"/>
    </row>
    <row r="59" spans="1:11" ht="16.2" customHeight="1" x14ac:dyDescent="0.3">
      <c r="A59" s="59"/>
      <c r="B59" s="59"/>
      <c r="C59" s="59"/>
      <c r="D59" s="59"/>
      <c r="E59" s="59"/>
      <c r="F59" s="59"/>
      <c r="G59" s="59"/>
      <c r="H59" s="59"/>
      <c r="I59" s="59"/>
      <c r="J59" s="59"/>
      <c r="K59" s="59"/>
    </row>
    <row r="60" spans="1:11" ht="16.2" customHeight="1" x14ac:dyDescent="0.3">
      <c r="A60" s="59"/>
      <c r="B60" s="59"/>
      <c r="C60" s="59"/>
      <c r="D60" s="59"/>
      <c r="E60" s="59"/>
      <c r="F60" s="59"/>
      <c r="G60" s="59"/>
      <c r="H60" s="59"/>
      <c r="I60" s="59"/>
      <c r="J60" s="59"/>
      <c r="K60" s="59"/>
    </row>
    <row r="61" spans="1:11" ht="16.2" customHeight="1" x14ac:dyDescent="0.3">
      <c r="A61" s="59"/>
      <c r="B61" s="59"/>
      <c r="C61" s="59"/>
      <c r="D61" s="59"/>
      <c r="E61" s="59"/>
      <c r="F61" s="59"/>
      <c r="G61" s="59"/>
      <c r="H61" s="59"/>
      <c r="I61" s="59"/>
      <c r="J61" s="59"/>
      <c r="K61" s="59"/>
    </row>
    <row r="62" spans="1:11" ht="16.2" customHeight="1" x14ac:dyDescent="0.3">
      <c r="A62" s="59"/>
      <c r="B62" s="59"/>
      <c r="C62" s="59"/>
      <c r="D62" s="59"/>
      <c r="E62" s="59"/>
      <c r="F62" s="59"/>
      <c r="G62" s="59"/>
      <c r="H62" s="59"/>
      <c r="I62" s="59"/>
      <c r="J62" s="59"/>
      <c r="K62" s="59"/>
    </row>
    <row r="63" spans="1:11" ht="16.2" customHeight="1" x14ac:dyDescent="0.3">
      <c r="A63" s="59"/>
      <c r="B63" s="59"/>
      <c r="C63" s="59"/>
      <c r="D63" s="59"/>
      <c r="E63" s="59"/>
      <c r="F63" s="59"/>
      <c r="G63" s="59"/>
      <c r="H63" s="59"/>
      <c r="I63" s="59"/>
      <c r="J63" s="59"/>
      <c r="K63" s="59"/>
    </row>
    <row r="64" spans="1:11" ht="16.2" customHeight="1" x14ac:dyDescent="0.3">
      <c r="A64" s="59"/>
      <c r="B64" s="59"/>
      <c r="C64" s="59"/>
      <c r="D64" s="59"/>
      <c r="E64" s="59"/>
      <c r="F64" s="59"/>
      <c r="G64" s="59"/>
      <c r="H64" s="59"/>
      <c r="I64" s="59"/>
      <c r="J64" s="59"/>
      <c r="K64" s="59"/>
    </row>
    <row r="65" spans="1:11" ht="16.2" customHeight="1" x14ac:dyDescent="0.3">
      <c r="A65" s="59"/>
      <c r="B65" s="59"/>
      <c r="C65" s="59"/>
      <c r="D65" s="59"/>
      <c r="E65" s="59"/>
      <c r="F65" s="59"/>
      <c r="G65" s="59"/>
      <c r="H65" s="59"/>
      <c r="I65" s="59"/>
      <c r="J65" s="59"/>
      <c r="K65" s="59"/>
    </row>
    <row r="66" spans="1:11" ht="16.2" customHeight="1" x14ac:dyDescent="0.3">
      <c r="A66" s="59"/>
      <c r="B66" s="59"/>
      <c r="C66" s="59"/>
      <c r="D66" s="59"/>
      <c r="E66" s="59"/>
      <c r="F66" s="59"/>
      <c r="G66" s="59"/>
      <c r="H66" s="59"/>
      <c r="I66" s="59"/>
      <c r="J66" s="59"/>
      <c r="K66" s="59"/>
    </row>
    <row r="67" spans="1:11" ht="16.2" customHeight="1" x14ac:dyDescent="0.3">
      <c r="A67" s="59"/>
      <c r="B67" s="59"/>
      <c r="C67" s="59"/>
      <c r="D67" s="59"/>
      <c r="E67" s="59"/>
      <c r="F67" s="59"/>
      <c r="G67" s="59"/>
      <c r="H67" s="59"/>
      <c r="I67" s="59"/>
      <c r="J67" s="59"/>
      <c r="K67" s="59"/>
    </row>
    <row r="68" spans="1:11" ht="16.2" customHeight="1" x14ac:dyDescent="0.3">
      <c r="A68" s="59"/>
      <c r="B68" s="59"/>
      <c r="C68" s="59"/>
      <c r="D68" s="59"/>
      <c r="E68" s="59"/>
      <c r="F68" s="59"/>
      <c r="G68" s="59"/>
      <c r="H68" s="59"/>
      <c r="I68" s="59"/>
      <c r="J68" s="59"/>
      <c r="K68" s="59"/>
    </row>
    <row r="69" spans="1:11" ht="16.2" customHeight="1" x14ac:dyDescent="0.3">
      <c r="A69" s="59"/>
      <c r="B69" s="59"/>
      <c r="C69" s="59"/>
      <c r="D69" s="59"/>
      <c r="E69" s="59"/>
      <c r="F69" s="59"/>
      <c r="G69" s="59"/>
      <c r="H69" s="59"/>
      <c r="I69" s="59"/>
      <c r="J69" s="59"/>
      <c r="K69" s="59"/>
    </row>
    <row r="70" spans="1:11" ht="16.2" customHeight="1" x14ac:dyDescent="0.3">
      <c r="A70" s="59"/>
      <c r="B70" s="59"/>
      <c r="C70" s="59"/>
      <c r="D70" s="59"/>
      <c r="E70" s="59"/>
      <c r="F70" s="59"/>
      <c r="G70" s="59"/>
      <c r="H70" s="59"/>
      <c r="I70" s="59"/>
      <c r="J70" s="59"/>
      <c r="K70" s="59"/>
    </row>
    <row r="71" spans="1:11" x14ac:dyDescent="0.3">
      <c r="A71" s="59"/>
      <c r="B71" s="59"/>
      <c r="C71" s="59"/>
      <c r="D71" s="59"/>
      <c r="E71" s="59"/>
      <c r="F71" s="59"/>
      <c r="G71" s="59"/>
      <c r="H71" s="59"/>
      <c r="I71" s="59"/>
      <c r="J71" s="59"/>
      <c r="K71" s="59"/>
    </row>
    <row r="72" spans="1:11" x14ac:dyDescent="0.3">
      <c r="A72" s="59"/>
      <c r="B72" s="59"/>
      <c r="C72" s="59"/>
      <c r="D72" s="59"/>
      <c r="E72" s="59"/>
      <c r="F72" s="59"/>
      <c r="G72" s="59"/>
      <c r="H72" s="59"/>
      <c r="I72" s="59"/>
      <c r="J72" s="59"/>
      <c r="K72" s="59"/>
    </row>
    <row r="73" spans="1:11" x14ac:dyDescent="0.3">
      <c r="A73" s="59"/>
      <c r="B73" s="59"/>
      <c r="C73" s="59"/>
      <c r="D73" s="59"/>
      <c r="E73" s="59"/>
      <c r="F73" s="59"/>
      <c r="G73" s="59"/>
      <c r="H73" s="59"/>
      <c r="I73" s="59"/>
      <c r="J73" s="59"/>
      <c r="K73" s="59"/>
    </row>
    <row r="74" spans="1:11" x14ac:dyDescent="0.3">
      <c r="A74" s="59"/>
      <c r="B74" s="59"/>
      <c r="C74" s="59"/>
      <c r="D74" s="59"/>
      <c r="E74" s="59"/>
      <c r="F74" s="59"/>
      <c r="G74" s="59"/>
      <c r="H74" s="59"/>
      <c r="I74" s="59"/>
      <c r="J74" s="59"/>
      <c r="K74" s="59"/>
    </row>
    <row r="75" spans="1:11" x14ac:dyDescent="0.3">
      <c r="A75" s="59"/>
      <c r="B75" s="59"/>
      <c r="C75" s="59"/>
      <c r="D75" s="59"/>
      <c r="E75" s="59"/>
      <c r="F75" s="59"/>
      <c r="G75" s="59"/>
      <c r="H75" s="59"/>
      <c r="I75" s="59"/>
      <c r="J75" s="59"/>
      <c r="K75" s="59"/>
    </row>
    <row r="76" spans="1:11" x14ac:dyDescent="0.3">
      <c r="A76" s="59"/>
      <c r="B76" s="59"/>
      <c r="C76" s="59"/>
      <c r="D76" s="59"/>
      <c r="E76" s="59"/>
      <c r="F76" s="59"/>
      <c r="G76" s="59"/>
      <c r="H76" s="59"/>
      <c r="I76" s="59"/>
      <c r="J76" s="59"/>
      <c r="K76" s="59"/>
    </row>
    <row r="77" spans="1:11" x14ac:dyDescent="0.3">
      <c r="A77" s="59"/>
      <c r="B77" s="59"/>
      <c r="C77" s="59"/>
      <c r="D77" s="59"/>
      <c r="E77" s="59"/>
      <c r="F77" s="59"/>
      <c r="G77" s="59"/>
      <c r="H77" s="59"/>
      <c r="I77" s="59"/>
      <c r="J77" s="59"/>
      <c r="K77" s="59"/>
    </row>
    <row r="78" spans="1:11" x14ac:dyDescent="0.3">
      <c r="A78" s="59"/>
      <c r="B78" s="59"/>
      <c r="C78" s="59"/>
      <c r="D78" s="59"/>
      <c r="E78" s="59"/>
      <c r="F78" s="59"/>
      <c r="G78" s="59"/>
      <c r="H78" s="59"/>
      <c r="I78" s="59"/>
      <c r="J78" s="59"/>
      <c r="K78" s="59"/>
    </row>
    <row r="79" spans="1:11" x14ac:dyDescent="0.3">
      <c r="A79" s="59"/>
      <c r="B79" s="59"/>
      <c r="C79" s="59"/>
      <c r="D79" s="59"/>
      <c r="E79" s="59"/>
      <c r="F79" s="59"/>
      <c r="G79" s="59"/>
      <c r="H79" s="59"/>
      <c r="I79" s="59"/>
      <c r="J79" s="59"/>
      <c r="K79" s="59"/>
    </row>
    <row r="80" spans="1:11" x14ac:dyDescent="0.3">
      <c r="A80" s="59"/>
      <c r="B80" s="59"/>
      <c r="C80" s="59"/>
      <c r="D80" s="59"/>
      <c r="E80" s="59"/>
      <c r="F80" s="59"/>
      <c r="G80" s="59"/>
      <c r="H80" s="59"/>
      <c r="I80" s="59"/>
      <c r="J80" s="59"/>
      <c r="K80" s="59"/>
    </row>
    <row r="81" spans="1:11" x14ac:dyDescent="0.3">
      <c r="A81" s="59"/>
      <c r="B81" s="59"/>
      <c r="C81" s="59"/>
      <c r="D81" s="59"/>
      <c r="E81" s="59"/>
      <c r="F81" s="59"/>
      <c r="G81" s="59"/>
      <c r="H81" s="59"/>
      <c r="I81" s="59"/>
      <c r="J81" s="59"/>
      <c r="K81" s="59"/>
    </row>
    <row r="82" spans="1:11" x14ac:dyDescent="0.3">
      <c r="A82" s="59"/>
      <c r="B82" s="59"/>
      <c r="C82" s="59"/>
      <c r="D82" s="59"/>
      <c r="E82" s="59"/>
      <c r="F82" s="59"/>
      <c r="G82" s="59"/>
      <c r="H82" s="59"/>
      <c r="I82" s="59"/>
      <c r="J82" s="59"/>
      <c r="K82" s="59"/>
    </row>
    <row r="83" spans="1:11" x14ac:dyDescent="0.3">
      <c r="A83" s="59"/>
      <c r="B83" s="59"/>
      <c r="C83" s="59"/>
      <c r="D83" s="59"/>
      <c r="E83" s="59"/>
      <c r="F83" s="59"/>
      <c r="G83" s="59"/>
      <c r="H83" s="59"/>
      <c r="I83" s="59"/>
      <c r="J83" s="59"/>
      <c r="K83" s="59"/>
    </row>
    <row r="84" spans="1:11" x14ac:dyDescent="0.3">
      <c r="A84" s="59"/>
      <c r="B84" s="59"/>
      <c r="C84" s="59"/>
      <c r="D84" s="59"/>
      <c r="E84" s="59"/>
      <c r="F84" s="59"/>
      <c r="G84" s="59"/>
      <c r="H84" s="59"/>
      <c r="I84" s="59"/>
      <c r="J84" s="59"/>
      <c r="K84" s="59"/>
    </row>
    <row r="85" spans="1:11" x14ac:dyDescent="0.3">
      <c r="A85" s="59"/>
      <c r="B85" s="59"/>
      <c r="C85" s="59"/>
      <c r="D85" s="59"/>
      <c r="E85" s="59"/>
      <c r="F85" s="59"/>
      <c r="G85" s="59"/>
      <c r="H85" s="59"/>
      <c r="I85" s="59"/>
      <c r="J85" s="59"/>
      <c r="K85" s="59"/>
    </row>
    <row r="86" spans="1:11" x14ac:dyDescent="0.3">
      <c r="A86" s="59"/>
      <c r="B86" s="59"/>
      <c r="C86" s="59"/>
      <c r="D86" s="59"/>
      <c r="E86" s="59"/>
      <c r="F86" s="59"/>
      <c r="G86" s="59"/>
      <c r="H86" s="59"/>
      <c r="I86" s="59"/>
      <c r="J86" s="59"/>
      <c r="K86" s="59"/>
    </row>
    <row r="87" spans="1:11" x14ac:dyDescent="0.3">
      <c r="A87" s="59"/>
      <c r="B87" s="59"/>
      <c r="C87" s="59"/>
      <c r="D87" s="59"/>
      <c r="E87" s="59"/>
      <c r="F87" s="59"/>
      <c r="G87" s="59"/>
      <c r="H87" s="59"/>
      <c r="I87" s="59"/>
      <c r="J87" s="59"/>
      <c r="K87" s="59"/>
    </row>
    <row r="88" spans="1:11" x14ac:dyDescent="0.3">
      <c r="A88" s="59"/>
      <c r="B88" s="59"/>
      <c r="C88" s="59"/>
      <c r="D88" s="59"/>
      <c r="E88" s="59"/>
      <c r="F88" s="59"/>
      <c r="G88" s="59"/>
      <c r="H88" s="59"/>
      <c r="I88" s="59"/>
      <c r="J88" s="59"/>
      <c r="K88" s="59"/>
    </row>
    <row r="89" spans="1:11" x14ac:dyDescent="0.3">
      <c r="A89" s="59"/>
      <c r="B89" s="59"/>
      <c r="C89" s="59"/>
      <c r="D89" s="59"/>
      <c r="E89" s="59"/>
      <c r="F89" s="59"/>
      <c r="G89" s="59"/>
      <c r="H89" s="59"/>
      <c r="I89" s="59"/>
      <c r="J89" s="59"/>
      <c r="K89" s="59"/>
    </row>
    <row r="90" spans="1:11" x14ac:dyDescent="0.3">
      <c r="A90" s="59"/>
      <c r="B90" s="59"/>
      <c r="C90" s="59"/>
      <c r="D90" s="59"/>
      <c r="E90" s="59"/>
      <c r="F90" s="59"/>
      <c r="G90" s="59"/>
      <c r="H90" s="59"/>
      <c r="I90" s="59"/>
      <c r="J90" s="59"/>
      <c r="K90" s="59"/>
    </row>
    <row r="91" spans="1:11" x14ac:dyDescent="0.3">
      <c r="A91" s="59"/>
      <c r="B91" s="59"/>
      <c r="C91" s="59"/>
      <c r="D91" s="59"/>
      <c r="E91" s="59"/>
      <c r="F91" s="59"/>
      <c r="G91" s="59"/>
      <c r="H91" s="59"/>
      <c r="I91" s="59"/>
      <c r="J91" s="59"/>
      <c r="K91" s="59"/>
    </row>
    <row r="92" spans="1:11" x14ac:dyDescent="0.3">
      <c r="A92" s="59"/>
      <c r="B92" s="59"/>
      <c r="C92" s="59"/>
      <c r="D92" s="59"/>
      <c r="E92" s="59"/>
      <c r="F92" s="59"/>
      <c r="G92" s="59"/>
      <c r="H92" s="59"/>
      <c r="I92" s="59"/>
      <c r="J92" s="59"/>
      <c r="K92" s="59"/>
    </row>
    <row r="93" spans="1:11" x14ac:dyDescent="0.3">
      <c r="A93" s="59"/>
      <c r="B93" s="59"/>
      <c r="C93" s="59"/>
      <c r="D93" s="59"/>
      <c r="E93" s="59"/>
      <c r="F93" s="59"/>
      <c r="G93" s="59"/>
      <c r="H93" s="59"/>
      <c r="I93" s="59"/>
      <c r="J93" s="59"/>
      <c r="K93" s="59"/>
    </row>
    <row r="94" spans="1:11" x14ac:dyDescent="0.3">
      <c r="A94" s="59"/>
      <c r="B94" s="59"/>
      <c r="C94" s="59"/>
      <c r="D94" s="59"/>
      <c r="E94" s="59"/>
      <c r="F94" s="59"/>
      <c r="G94" s="59"/>
      <c r="H94" s="59"/>
      <c r="I94" s="59"/>
      <c r="J94" s="59"/>
      <c r="K94" s="59"/>
    </row>
    <row r="95" spans="1:11" x14ac:dyDescent="0.3">
      <c r="A95" s="59"/>
      <c r="B95" s="59"/>
      <c r="C95" s="59"/>
      <c r="D95" s="59"/>
      <c r="E95" s="59"/>
      <c r="F95" s="59"/>
      <c r="G95" s="59"/>
      <c r="H95" s="59"/>
      <c r="I95" s="59"/>
      <c r="J95" s="59"/>
      <c r="K95" s="59"/>
    </row>
    <row r="96" spans="1:11" x14ac:dyDescent="0.3">
      <c r="A96" s="59"/>
      <c r="B96" s="59"/>
      <c r="C96" s="59"/>
      <c r="D96" s="59"/>
      <c r="E96" s="59"/>
      <c r="F96" s="59"/>
      <c r="G96" s="59"/>
      <c r="H96" s="59"/>
      <c r="I96" s="59"/>
      <c r="J96" s="59"/>
      <c r="K96" s="59"/>
    </row>
    <row r="97" spans="1:11" x14ac:dyDescent="0.3">
      <c r="A97" s="59"/>
      <c r="B97" s="59"/>
      <c r="C97" s="59"/>
      <c r="D97" s="59"/>
      <c r="E97" s="59"/>
      <c r="F97" s="59"/>
      <c r="G97" s="59"/>
      <c r="H97" s="59"/>
      <c r="I97" s="59"/>
      <c r="J97" s="59"/>
      <c r="K97" s="59"/>
    </row>
    <row r="98" spans="1:11" x14ac:dyDescent="0.3">
      <c r="A98" s="59"/>
      <c r="B98" s="59"/>
      <c r="C98" s="59"/>
      <c r="D98" s="59"/>
      <c r="E98" s="59"/>
      <c r="F98" s="59"/>
      <c r="G98" s="59"/>
      <c r="H98" s="59"/>
      <c r="I98" s="59"/>
      <c r="J98" s="59"/>
      <c r="K98" s="59"/>
    </row>
    <row r="99" spans="1:11" x14ac:dyDescent="0.3">
      <c r="A99" s="59"/>
      <c r="B99" s="59"/>
      <c r="C99" s="59"/>
      <c r="D99" s="59"/>
      <c r="E99" s="59"/>
      <c r="F99" s="59"/>
      <c r="G99" s="59"/>
      <c r="H99" s="59"/>
      <c r="I99" s="59"/>
      <c r="J99" s="59"/>
      <c r="K99" s="59"/>
    </row>
    <row r="100" spans="1:11" x14ac:dyDescent="0.3">
      <c r="A100" s="59"/>
      <c r="B100" s="59"/>
      <c r="C100" s="59"/>
      <c r="D100" s="59"/>
      <c r="E100" s="59"/>
      <c r="F100" s="59"/>
      <c r="G100" s="59"/>
      <c r="H100" s="59"/>
      <c r="I100" s="59"/>
      <c r="J100" s="59"/>
      <c r="K100" s="59"/>
    </row>
    <row r="101" spans="1:11" x14ac:dyDescent="0.3">
      <c r="A101" s="59"/>
      <c r="B101" s="59"/>
      <c r="C101" s="59"/>
      <c r="D101" s="59"/>
      <c r="E101" s="59"/>
      <c r="F101" s="59"/>
      <c r="G101" s="59"/>
      <c r="H101" s="59"/>
      <c r="I101" s="59"/>
      <c r="J101" s="59"/>
      <c r="K101" s="59"/>
    </row>
    <row r="102" spans="1:11" x14ac:dyDescent="0.3">
      <c r="A102" s="59"/>
      <c r="B102" s="59"/>
      <c r="C102" s="59"/>
      <c r="D102" s="59"/>
      <c r="E102" s="59"/>
      <c r="F102" s="59"/>
      <c r="G102" s="59"/>
      <c r="H102" s="59"/>
      <c r="I102" s="59"/>
      <c r="J102" s="59"/>
      <c r="K102" s="59"/>
    </row>
    <row r="103" spans="1:11" x14ac:dyDescent="0.3">
      <c r="A103" s="59"/>
      <c r="B103" s="59"/>
      <c r="C103" s="59"/>
      <c r="D103" s="59"/>
      <c r="E103" s="59"/>
      <c r="F103" s="59"/>
      <c r="G103" s="59"/>
      <c r="H103" s="59"/>
      <c r="I103" s="59"/>
      <c r="J103" s="59"/>
      <c r="K103" s="59"/>
    </row>
    <row r="104" spans="1:11" x14ac:dyDescent="0.3">
      <c r="A104" s="59"/>
      <c r="B104" s="59"/>
      <c r="C104" s="59"/>
      <c r="D104" s="59"/>
      <c r="E104" s="59"/>
      <c r="F104" s="59"/>
      <c r="G104" s="59"/>
      <c r="H104" s="59"/>
      <c r="I104" s="59"/>
      <c r="J104" s="59"/>
      <c r="K104" s="59"/>
    </row>
    <row r="105" spans="1:11" x14ac:dyDescent="0.3">
      <c r="A105" s="59"/>
      <c r="B105" s="59"/>
      <c r="C105" s="59"/>
      <c r="D105" s="59"/>
      <c r="E105" s="59"/>
      <c r="F105" s="59"/>
      <c r="G105" s="59"/>
      <c r="H105" s="59"/>
      <c r="I105" s="59"/>
      <c r="J105" s="59"/>
      <c r="K105" s="59"/>
    </row>
    <row r="106" spans="1:11" x14ac:dyDescent="0.3">
      <c r="A106" s="59"/>
      <c r="B106" s="59"/>
      <c r="C106" s="59"/>
      <c r="D106" s="59"/>
      <c r="E106" s="59"/>
      <c r="F106" s="59"/>
      <c r="G106" s="59"/>
      <c r="H106" s="59"/>
      <c r="I106" s="59"/>
      <c r="J106" s="59"/>
      <c r="K106" s="59"/>
    </row>
    <row r="107" spans="1:11" x14ac:dyDescent="0.3">
      <c r="A107" s="59"/>
      <c r="B107" s="59"/>
      <c r="C107" s="59"/>
      <c r="D107" s="59"/>
      <c r="E107" s="59"/>
      <c r="F107" s="59"/>
      <c r="G107" s="59"/>
      <c r="H107" s="59"/>
      <c r="I107" s="59"/>
      <c r="J107" s="59"/>
      <c r="K107" s="59"/>
    </row>
    <row r="108" spans="1:11" x14ac:dyDescent="0.3">
      <c r="A108" s="59"/>
      <c r="B108" s="59"/>
      <c r="C108" s="59"/>
      <c r="D108" s="59"/>
      <c r="E108" s="59"/>
      <c r="F108" s="59"/>
      <c r="G108" s="59"/>
      <c r="H108" s="59"/>
      <c r="I108" s="59"/>
      <c r="J108" s="59"/>
      <c r="K108" s="59"/>
    </row>
    <row r="109" spans="1:11" x14ac:dyDescent="0.3">
      <c r="A109" s="59"/>
      <c r="B109" s="59"/>
      <c r="C109" s="59"/>
      <c r="D109" s="59"/>
      <c r="E109" s="59"/>
      <c r="F109" s="59"/>
      <c r="G109" s="59"/>
      <c r="H109" s="59"/>
      <c r="I109" s="59"/>
      <c r="J109" s="59"/>
      <c r="K109" s="59"/>
    </row>
    <row r="110" spans="1:11" x14ac:dyDescent="0.3">
      <c r="A110" s="59"/>
      <c r="B110" s="59"/>
      <c r="C110" s="59"/>
      <c r="D110" s="59"/>
      <c r="E110" s="59"/>
      <c r="F110" s="59"/>
      <c r="G110" s="59"/>
      <c r="H110" s="59"/>
      <c r="I110" s="59"/>
      <c r="J110" s="59"/>
      <c r="K110" s="59"/>
    </row>
    <row r="111" spans="1:11" x14ac:dyDescent="0.3">
      <c r="A111" s="59"/>
      <c r="B111" s="59"/>
      <c r="C111" s="59"/>
      <c r="D111" s="59"/>
      <c r="E111" s="59"/>
      <c r="F111" s="59"/>
      <c r="G111" s="59"/>
      <c r="H111" s="59"/>
      <c r="I111" s="59"/>
      <c r="J111" s="59"/>
      <c r="K111" s="59"/>
    </row>
    <row r="112" spans="1:11" x14ac:dyDescent="0.3">
      <c r="A112" s="59"/>
      <c r="B112" s="59"/>
      <c r="C112" s="59"/>
      <c r="D112" s="59"/>
      <c r="E112" s="59"/>
      <c r="F112" s="59"/>
      <c r="G112" s="59"/>
      <c r="H112" s="59"/>
      <c r="I112" s="59"/>
      <c r="J112" s="59"/>
      <c r="K112" s="59"/>
    </row>
    <row r="113" spans="1:11" x14ac:dyDescent="0.3">
      <c r="A113" s="59"/>
      <c r="B113" s="59"/>
      <c r="C113" s="59"/>
      <c r="D113" s="59"/>
      <c r="E113" s="59"/>
      <c r="F113" s="59"/>
      <c r="G113" s="59"/>
      <c r="H113" s="59"/>
      <c r="I113" s="59"/>
      <c r="J113" s="59"/>
      <c r="K113" s="59"/>
    </row>
    <row r="114" spans="1:11" x14ac:dyDescent="0.3">
      <c r="A114" s="59"/>
      <c r="B114" s="59"/>
      <c r="C114" s="59"/>
      <c r="D114" s="59"/>
      <c r="E114" s="59"/>
      <c r="F114" s="59"/>
      <c r="G114" s="59"/>
      <c r="H114" s="59"/>
      <c r="I114" s="59"/>
      <c r="J114" s="59"/>
      <c r="K114" s="59"/>
    </row>
    <row r="115" spans="1:11" x14ac:dyDescent="0.3">
      <c r="A115" s="59"/>
      <c r="B115" s="59"/>
      <c r="C115" s="59"/>
      <c r="D115" s="59"/>
      <c r="E115" s="59"/>
      <c r="F115" s="59"/>
      <c r="G115" s="59"/>
      <c r="H115" s="59"/>
      <c r="I115" s="59"/>
      <c r="J115" s="59"/>
      <c r="K115" s="59"/>
    </row>
    <row r="116" spans="1:11" x14ac:dyDescent="0.3">
      <c r="A116" s="59"/>
      <c r="B116" s="59"/>
      <c r="C116" s="59"/>
      <c r="D116" s="59"/>
      <c r="E116" s="59"/>
      <c r="F116" s="59"/>
      <c r="G116" s="59"/>
      <c r="H116" s="59"/>
      <c r="I116" s="59"/>
      <c r="J116" s="59"/>
      <c r="K116" s="59"/>
    </row>
    <row r="117" spans="1:11" x14ac:dyDescent="0.3">
      <c r="A117" s="59"/>
      <c r="B117" s="59"/>
      <c r="C117" s="59"/>
      <c r="D117" s="59"/>
      <c r="E117" s="59"/>
      <c r="F117" s="59"/>
      <c r="G117" s="59"/>
      <c r="H117" s="59"/>
      <c r="I117" s="59"/>
      <c r="J117" s="59"/>
      <c r="K117" s="59"/>
    </row>
    <row r="118" spans="1:11" x14ac:dyDescent="0.3">
      <c r="A118" s="59"/>
      <c r="B118" s="59"/>
      <c r="C118" s="59"/>
      <c r="D118" s="59"/>
      <c r="E118" s="59"/>
      <c r="F118" s="59"/>
      <c r="G118" s="59"/>
      <c r="H118" s="59"/>
      <c r="I118" s="59"/>
      <c r="J118" s="59"/>
      <c r="K118" s="59"/>
    </row>
    <row r="119" spans="1:11" x14ac:dyDescent="0.3">
      <c r="A119" s="59"/>
      <c r="B119" s="59"/>
      <c r="C119" s="59"/>
      <c r="D119" s="59"/>
      <c r="E119" s="59"/>
      <c r="F119" s="59"/>
      <c r="G119" s="59"/>
      <c r="H119" s="59"/>
      <c r="I119" s="59"/>
      <c r="J119" s="59"/>
      <c r="K119" s="59"/>
    </row>
    <row r="120" spans="1:11" x14ac:dyDescent="0.3">
      <c r="A120" s="59"/>
      <c r="B120" s="59"/>
      <c r="C120" s="59"/>
      <c r="D120" s="59"/>
      <c r="E120" s="59"/>
      <c r="F120" s="59"/>
      <c r="G120" s="59"/>
      <c r="H120" s="59"/>
      <c r="I120" s="59"/>
      <c r="J120" s="59"/>
      <c r="K120" s="59"/>
    </row>
    <row r="121" spans="1:11" x14ac:dyDescent="0.3">
      <c r="A121" s="59"/>
      <c r="B121" s="59"/>
      <c r="C121" s="59"/>
      <c r="D121" s="59"/>
      <c r="E121" s="59"/>
      <c r="F121" s="59"/>
      <c r="G121" s="59"/>
      <c r="H121" s="59"/>
      <c r="I121" s="59"/>
      <c r="J121" s="59"/>
      <c r="K121" s="59"/>
    </row>
    <row r="122" spans="1:11" x14ac:dyDescent="0.3">
      <c r="A122" s="59"/>
      <c r="B122" s="59"/>
      <c r="C122" s="59"/>
      <c r="D122" s="59"/>
      <c r="E122" s="59"/>
      <c r="F122" s="59"/>
      <c r="G122" s="59"/>
      <c r="H122" s="59"/>
      <c r="I122" s="59"/>
      <c r="J122" s="59"/>
      <c r="K122" s="59"/>
    </row>
    <row r="123" spans="1:11" x14ac:dyDescent="0.3">
      <c r="A123" s="59"/>
      <c r="B123" s="59"/>
      <c r="C123" s="59"/>
      <c r="D123" s="59"/>
      <c r="E123" s="59"/>
      <c r="F123" s="59"/>
      <c r="G123" s="59"/>
      <c r="H123" s="59"/>
      <c r="I123" s="59"/>
      <c r="J123" s="59"/>
      <c r="K123" s="59"/>
    </row>
    <row r="124" spans="1:11" x14ac:dyDescent="0.3">
      <c r="A124" s="59"/>
      <c r="B124" s="59"/>
      <c r="C124" s="59"/>
      <c r="D124" s="59"/>
      <c r="E124" s="59"/>
      <c r="F124" s="59"/>
      <c r="G124" s="59"/>
      <c r="H124" s="59"/>
      <c r="I124" s="59"/>
      <c r="J124" s="59"/>
      <c r="K124" s="59"/>
    </row>
    <row r="125" spans="1:11" x14ac:dyDescent="0.3">
      <c r="A125" s="59"/>
      <c r="B125" s="59"/>
      <c r="C125" s="59"/>
      <c r="D125" s="59"/>
      <c r="E125" s="59"/>
      <c r="F125" s="59"/>
      <c r="G125" s="59"/>
      <c r="H125" s="59"/>
      <c r="I125" s="59"/>
      <c r="J125" s="59"/>
      <c r="K125" s="59"/>
    </row>
    <row r="126" spans="1:11" x14ac:dyDescent="0.3">
      <c r="A126" s="59"/>
      <c r="B126" s="59"/>
      <c r="C126" s="59"/>
      <c r="D126" s="59"/>
      <c r="E126" s="59"/>
      <c r="F126" s="59"/>
      <c r="G126" s="59"/>
      <c r="H126" s="59"/>
      <c r="I126" s="59"/>
      <c r="J126" s="59"/>
      <c r="K126" s="59"/>
    </row>
    <row r="127" spans="1:11" x14ac:dyDescent="0.3">
      <c r="A127" s="59"/>
      <c r="B127" s="59"/>
      <c r="C127" s="59"/>
      <c r="D127" s="59"/>
      <c r="E127" s="59"/>
      <c r="F127" s="59"/>
      <c r="G127" s="59"/>
      <c r="H127" s="59"/>
      <c r="I127" s="59"/>
      <c r="J127" s="59"/>
      <c r="K127" s="59"/>
    </row>
    <row r="128" spans="1:11" x14ac:dyDescent="0.3">
      <c r="A128" s="59"/>
      <c r="B128" s="59"/>
      <c r="C128" s="59"/>
      <c r="D128" s="59"/>
      <c r="E128" s="59"/>
      <c r="F128" s="59"/>
      <c r="G128" s="59"/>
      <c r="H128" s="59"/>
      <c r="I128" s="59"/>
      <c r="J128" s="59"/>
      <c r="K128" s="59"/>
    </row>
    <row r="129" spans="1:11" x14ac:dyDescent="0.3">
      <c r="A129" s="59"/>
      <c r="B129" s="59"/>
      <c r="C129" s="59"/>
      <c r="D129" s="59"/>
      <c r="E129" s="59"/>
      <c r="F129" s="59"/>
      <c r="G129" s="59"/>
      <c r="H129" s="59"/>
      <c r="I129" s="59"/>
      <c r="J129" s="59"/>
      <c r="K129" s="59"/>
    </row>
    <row r="130" spans="1:11" x14ac:dyDescent="0.3">
      <c r="A130" s="59"/>
      <c r="B130" s="59"/>
      <c r="C130" s="59"/>
      <c r="D130" s="59"/>
      <c r="E130" s="59"/>
      <c r="F130" s="59"/>
      <c r="G130" s="59"/>
      <c r="H130" s="59"/>
      <c r="I130" s="59"/>
      <c r="J130" s="59"/>
      <c r="K130" s="59"/>
    </row>
    <row r="131" spans="1:11" x14ac:dyDescent="0.3">
      <c r="A131" s="59"/>
      <c r="B131" s="59"/>
      <c r="C131" s="59"/>
      <c r="D131" s="59"/>
      <c r="E131" s="59"/>
      <c r="F131" s="59"/>
      <c r="G131" s="59"/>
      <c r="H131" s="59"/>
      <c r="I131" s="59"/>
      <c r="J131" s="59"/>
      <c r="K131" s="59"/>
    </row>
    <row r="132" spans="1:11" x14ac:dyDescent="0.3">
      <c r="A132" s="59"/>
      <c r="B132" s="59"/>
      <c r="C132" s="59"/>
      <c r="D132" s="59"/>
      <c r="E132" s="59"/>
      <c r="F132" s="59"/>
      <c r="G132" s="59"/>
      <c r="H132" s="59"/>
      <c r="I132" s="59"/>
      <c r="J132" s="59"/>
      <c r="K132" s="59"/>
    </row>
    <row r="133" spans="1:11" x14ac:dyDescent="0.3">
      <c r="A133" s="59"/>
      <c r="B133" s="59"/>
      <c r="C133" s="59"/>
      <c r="D133" s="59"/>
      <c r="E133" s="59"/>
      <c r="F133" s="59"/>
      <c r="G133" s="59"/>
      <c r="H133" s="59"/>
      <c r="I133" s="59"/>
      <c r="J133" s="59"/>
      <c r="K133" s="59"/>
    </row>
    <row r="134" spans="1:11" x14ac:dyDescent="0.3">
      <c r="A134" s="59"/>
      <c r="B134" s="59"/>
      <c r="C134" s="59"/>
      <c r="D134" s="59"/>
      <c r="E134" s="59"/>
      <c r="F134" s="59"/>
      <c r="G134" s="59"/>
      <c r="H134" s="59"/>
      <c r="I134" s="59"/>
      <c r="J134" s="59"/>
      <c r="K134" s="59"/>
    </row>
    <row r="135" spans="1:11" x14ac:dyDescent="0.3">
      <c r="A135" s="59"/>
      <c r="B135" s="59"/>
      <c r="C135" s="59"/>
      <c r="D135" s="59"/>
      <c r="E135" s="59"/>
      <c r="F135" s="59"/>
      <c r="G135" s="59"/>
      <c r="H135" s="59"/>
      <c r="I135" s="59"/>
      <c r="J135" s="59"/>
      <c r="K135" s="59"/>
    </row>
    <row r="136" spans="1:11" x14ac:dyDescent="0.3">
      <c r="A136" s="59"/>
      <c r="B136" s="59"/>
      <c r="C136" s="59"/>
      <c r="D136" s="59"/>
      <c r="E136" s="59"/>
      <c r="F136" s="59"/>
      <c r="G136" s="59"/>
      <c r="H136" s="59"/>
      <c r="I136" s="59"/>
      <c r="J136" s="59"/>
      <c r="K136" s="59"/>
    </row>
    <row r="137" spans="1:11" x14ac:dyDescent="0.3">
      <c r="A137" s="59"/>
      <c r="B137" s="59"/>
      <c r="C137" s="59"/>
      <c r="D137" s="59"/>
      <c r="E137" s="59"/>
      <c r="F137" s="59"/>
      <c r="G137" s="59"/>
      <c r="H137" s="59"/>
      <c r="I137" s="59"/>
      <c r="J137" s="59"/>
      <c r="K137" s="59"/>
    </row>
    <row r="138" spans="1:11" x14ac:dyDescent="0.3">
      <c r="A138" s="59"/>
      <c r="B138" s="59"/>
      <c r="C138" s="59"/>
      <c r="D138" s="59"/>
      <c r="E138" s="59"/>
      <c r="F138" s="59"/>
      <c r="G138" s="59"/>
      <c r="H138" s="59"/>
      <c r="I138" s="59"/>
      <c r="J138" s="59"/>
      <c r="K138" s="59"/>
    </row>
    <row r="139" spans="1:11" x14ac:dyDescent="0.3">
      <c r="A139" s="59"/>
      <c r="B139" s="59"/>
      <c r="C139" s="59"/>
      <c r="D139" s="59"/>
      <c r="E139" s="59"/>
      <c r="F139" s="59"/>
      <c r="G139" s="59"/>
      <c r="H139" s="59"/>
      <c r="I139" s="59"/>
      <c r="J139" s="59"/>
      <c r="K139" s="59"/>
    </row>
    <row r="140" spans="1:11" x14ac:dyDescent="0.3">
      <c r="A140" s="59"/>
      <c r="B140" s="59"/>
      <c r="C140" s="59"/>
      <c r="D140" s="59"/>
      <c r="E140" s="59"/>
      <c r="F140" s="59"/>
      <c r="G140" s="59"/>
      <c r="H140" s="59"/>
      <c r="I140" s="59"/>
      <c r="J140" s="59"/>
      <c r="K140" s="59"/>
    </row>
    <row r="141" spans="1:11" x14ac:dyDescent="0.3">
      <c r="A141" s="59"/>
      <c r="B141" s="59"/>
      <c r="C141" s="59"/>
      <c r="D141" s="59"/>
      <c r="E141" s="59"/>
      <c r="F141" s="59"/>
      <c r="G141" s="59"/>
      <c r="H141" s="59"/>
      <c r="I141" s="59"/>
      <c r="J141" s="59"/>
      <c r="K141" s="59"/>
    </row>
    <row r="142" spans="1:11" x14ac:dyDescent="0.3">
      <c r="A142" s="59"/>
      <c r="B142" s="59"/>
      <c r="C142" s="59"/>
      <c r="D142" s="59"/>
      <c r="E142" s="59"/>
      <c r="F142" s="59"/>
      <c r="G142" s="59"/>
      <c r="H142" s="59"/>
      <c r="I142" s="59"/>
      <c r="J142" s="59"/>
      <c r="K142" s="59"/>
    </row>
    <row r="143" spans="1:11" x14ac:dyDescent="0.3">
      <c r="A143" s="59"/>
      <c r="B143" s="59"/>
      <c r="C143" s="59"/>
      <c r="D143" s="59"/>
      <c r="E143" s="59"/>
      <c r="F143" s="59"/>
      <c r="G143" s="59"/>
      <c r="H143" s="59"/>
      <c r="I143" s="59"/>
      <c r="J143" s="59"/>
      <c r="K143" s="59"/>
    </row>
    <row r="144" spans="1:11" x14ac:dyDescent="0.3">
      <c r="A144" s="59"/>
      <c r="B144" s="59"/>
      <c r="C144" s="59"/>
      <c r="D144" s="59"/>
      <c r="E144" s="59"/>
      <c r="F144" s="59"/>
      <c r="G144" s="59"/>
      <c r="H144" s="59"/>
      <c r="I144" s="59"/>
      <c r="J144" s="59"/>
      <c r="K144" s="59"/>
    </row>
    <row r="145" spans="1:11" x14ac:dyDescent="0.3">
      <c r="A145" s="59"/>
      <c r="B145" s="59"/>
      <c r="C145" s="59"/>
      <c r="D145" s="59"/>
      <c r="E145" s="59"/>
      <c r="F145" s="59"/>
      <c r="G145" s="59"/>
      <c r="H145" s="59"/>
      <c r="I145" s="59"/>
      <c r="J145" s="59"/>
      <c r="K145" s="59"/>
    </row>
    <row r="146" spans="1:11" x14ac:dyDescent="0.3">
      <c r="A146" s="59"/>
      <c r="B146" s="59"/>
      <c r="C146" s="59"/>
      <c r="D146" s="59"/>
      <c r="E146" s="59"/>
      <c r="F146" s="59"/>
      <c r="G146" s="59"/>
      <c r="H146" s="59"/>
      <c r="I146" s="59"/>
      <c r="J146" s="59"/>
      <c r="K146" s="59"/>
    </row>
    <row r="147" spans="1:11" x14ac:dyDescent="0.3">
      <c r="A147" s="59"/>
      <c r="B147" s="59"/>
      <c r="C147" s="59"/>
      <c r="D147" s="59"/>
      <c r="E147" s="59"/>
      <c r="F147" s="59"/>
      <c r="G147" s="59"/>
      <c r="H147" s="59"/>
      <c r="I147" s="59"/>
      <c r="J147" s="59"/>
      <c r="K147" s="59"/>
    </row>
    <row r="148" spans="1:11" x14ac:dyDescent="0.3">
      <c r="A148" s="59"/>
      <c r="B148" s="59"/>
      <c r="C148" s="59"/>
      <c r="D148" s="59"/>
      <c r="E148" s="59"/>
      <c r="F148" s="59"/>
      <c r="G148" s="59"/>
      <c r="H148" s="59"/>
      <c r="I148" s="59"/>
      <c r="J148" s="59"/>
      <c r="K148" s="59"/>
    </row>
    <row r="149" spans="1:11" x14ac:dyDescent="0.3">
      <c r="A149" s="59"/>
      <c r="B149" s="59"/>
      <c r="C149" s="59"/>
      <c r="D149" s="59"/>
      <c r="E149" s="59"/>
      <c r="F149" s="59"/>
      <c r="G149" s="59"/>
      <c r="H149" s="59"/>
      <c r="I149" s="59"/>
      <c r="J149" s="59"/>
      <c r="K149" s="59"/>
    </row>
    <row r="150" spans="1:11" x14ac:dyDescent="0.3">
      <c r="A150" s="59"/>
      <c r="B150" s="59"/>
      <c r="C150" s="59"/>
      <c r="D150" s="59"/>
      <c r="E150" s="59"/>
      <c r="F150" s="59"/>
      <c r="G150" s="59"/>
      <c r="H150" s="59"/>
      <c r="I150" s="59"/>
      <c r="J150" s="59"/>
      <c r="K150" s="59"/>
    </row>
    <row r="151" spans="1:11" x14ac:dyDescent="0.3">
      <c r="A151" s="59"/>
      <c r="B151" s="59"/>
      <c r="C151" s="59"/>
      <c r="D151" s="59"/>
      <c r="E151" s="59"/>
      <c r="F151" s="59"/>
      <c r="G151" s="59"/>
      <c r="H151" s="59"/>
      <c r="I151" s="59"/>
      <c r="J151" s="59"/>
      <c r="K151" s="59"/>
    </row>
    <row r="152" spans="1:11" x14ac:dyDescent="0.3">
      <c r="A152" s="59"/>
      <c r="B152" s="59"/>
      <c r="C152" s="59"/>
      <c r="D152" s="59"/>
      <c r="E152" s="59"/>
      <c r="F152" s="59"/>
      <c r="G152" s="59"/>
      <c r="H152" s="59"/>
      <c r="I152" s="59"/>
      <c r="J152" s="59"/>
      <c r="K152" s="59"/>
    </row>
    <row r="153" spans="1:11" x14ac:dyDescent="0.3">
      <c r="A153" s="59"/>
      <c r="B153" s="59"/>
      <c r="C153" s="59"/>
      <c r="D153" s="59"/>
      <c r="E153" s="59"/>
      <c r="F153" s="59"/>
      <c r="G153" s="59"/>
      <c r="H153" s="59"/>
      <c r="I153" s="59"/>
      <c r="J153" s="59"/>
      <c r="K153" s="59"/>
    </row>
    <row r="154" spans="1:11" x14ac:dyDescent="0.3">
      <c r="A154" s="59"/>
      <c r="B154" s="59"/>
      <c r="C154" s="59"/>
      <c r="D154" s="59"/>
      <c r="E154" s="59"/>
      <c r="F154" s="59"/>
      <c r="G154" s="59"/>
      <c r="H154" s="59"/>
      <c r="I154" s="59"/>
      <c r="J154" s="59"/>
      <c r="K154" s="59"/>
    </row>
    <row r="155" spans="1:11" x14ac:dyDescent="0.3">
      <c r="A155" s="59"/>
      <c r="B155" s="59"/>
      <c r="C155" s="59"/>
      <c r="D155" s="59"/>
      <c r="E155" s="59"/>
      <c r="F155" s="59"/>
      <c r="G155" s="59"/>
      <c r="H155" s="59"/>
      <c r="I155" s="59"/>
      <c r="J155" s="59"/>
      <c r="K155" s="59"/>
    </row>
    <row r="156" spans="1:11" x14ac:dyDescent="0.3">
      <c r="A156" s="59"/>
      <c r="B156" s="59"/>
      <c r="C156" s="59"/>
      <c r="D156" s="59"/>
      <c r="E156" s="59"/>
      <c r="F156" s="59"/>
      <c r="G156" s="59"/>
      <c r="H156" s="59"/>
      <c r="I156" s="59"/>
      <c r="J156" s="59"/>
      <c r="K156" s="59"/>
    </row>
    <row r="157" spans="1:11" x14ac:dyDescent="0.3">
      <c r="A157" s="59"/>
      <c r="B157" s="59"/>
      <c r="C157" s="59"/>
      <c r="D157" s="59"/>
      <c r="E157" s="59"/>
      <c r="F157" s="59"/>
      <c r="G157" s="59"/>
      <c r="H157" s="59"/>
      <c r="I157" s="59"/>
      <c r="J157" s="59"/>
      <c r="K157" s="59"/>
    </row>
    <row r="158" spans="1:11" x14ac:dyDescent="0.3">
      <c r="A158" s="59"/>
      <c r="B158" s="59"/>
      <c r="C158" s="59"/>
      <c r="D158" s="59"/>
      <c r="E158" s="59"/>
      <c r="F158" s="59"/>
      <c r="G158" s="59"/>
      <c r="H158" s="59"/>
      <c r="I158" s="59"/>
      <c r="J158" s="59"/>
      <c r="K158" s="59"/>
    </row>
    <row r="159" spans="1:11" x14ac:dyDescent="0.3">
      <c r="A159" s="59"/>
      <c r="B159" s="59"/>
      <c r="C159" s="59"/>
      <c r="D159" s="59"/>
      <c r="E159" s="59"/>
      <c r="F159" s="59"/>
      <c r="G159" s="59"/>
      <c r="H159" s="59"/>
      <c r="I159" s="59"/>
      <c r="J159" s="59"/>
      <c r="K159" s="59"/>
    </row>
  </sheetData>
  <sheetProtection selectLockedCells="1" selectUnlockedCells="1"/>
  <mergeCells count="23">
    <mergeCell ref="A14:K14"/>
    <mergeCell ref="A16:K16"/>
    <mergeCell ref="A10:K10"/>
    <mergeCell ref="A19:K19"/>
    <mergeCell ref="A17:K17"/>
    <mergeCell ref="A11:K11"/>
    <mergeCell ref="A12:K12"/>
    <mergeCell ref="A13:K13"/>
    <mergeCell ref="A31:K31"/>
    <mergeCell ref="A29:K29"/>
    <mergeCell ref="A30:K30"/>
    <mergeCell ref="B27:K27"/>
    <mergeCell ref="B18:I18"/>
    <mergeCell ref="B20:K20"/>
    <mergeCell ref="A25:K25"/>
    <mergeCell ref="B24:K24"/>
    <mergeCell ref="A8:K8"/>
    <mergeCell ref="A5:K5"/>
    <mergeCell ref="A1:K1"/>
    <mergeCell ref="A2:K2"/>
    <mergeCell ref="A3:K3"/>
    <mergeCell ref="A4:K4"/>
    <mergeCell ref="A6:K6"/>
  </mergeCells>
  <phoneticPr fontId="8"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defaultColWidth="8.6640625" defaultRowHeight="21" customHeight="1" x14ac:dyDescent="0.3"/>
  <cols>
    <col min="1" max="3" width="6.6640625" style="3" customWidth="1"/>
    <col min="4" max="4" width="6.77734375" style="3" customWidth="1"/>
    <col min="5" max="5" width="13.44140625" style="3" customWidth="1"/>
    <col min="6" max="6" width="4.77734375" style="3" customWidth="1"/>
    <col min="7" max="12" width="9.44140625" style="3" customWidth="1"/>
    <col min="13" max="13" width="2.44140625" style="3" customWidth="1"/>
    <col min="14" max="15" width="3.6640625" style="3" customWidth="1"/>
    <col min="16" max="16" width="2.44140625" style="3" customWidth="1"/>
    <col min="17" max="17" width="16.33203125" style="58" customWidth="1"/>
    <col min="18" max="20" width="6.6640625" style="3" customWidth="1"/>
    <col min="21" max="21" width="6.77734375" style="3" customWidth="1"/>
    <col min="22" max="22" width="13.44140625" style="3" customWidth="1"/>
    <col min="23" max="23" width="4.77734375" style="3" customWidth="1"/>
    <col min="24" max="29" width="9.44140625" style="3" customWidth="1"/>
    <col min="30" max="30" width="2.44140625" style="3" customWidth="1"/>
    <col min="31" max="32" width="3.6640625" style="3" customWidth="1"/>
    <col min="33" max="33" width="2.44140625" style="3" customWidth="1"/>
    <col min="34" max="34" width="16.33203125" style="58" customWidth="1"/>
    <col min="35" max="16384" width="8.6640625" style="3"/>
  </cols>
  <sheetData>
    <row r="1" spans="1:34" ht="30" customHeight="1" x14ac:dyDescent="0.45">
      <c r="A1" s="1138" t="str">
        <f>Score!$A$1</f>
        <v>Black Rose Rollers / All Stars</v>
      </c>
      <c r="B1" s="1138"/>
      <c r="C1" s="1138"/>
      <c r="D1" s="1138"/>
      <c r="E1" s="1138"/>
      <c r="F1" s="1138"/>
      <c r="G1" s="1138"/>
      <c r="H1" s="1141" t="str">
        <f>IF(ISBLANK(IGRF!$B$12), "", IGRF!$B$12)</f>
        <v>Black</v>
      </c>
      <c r="I1" s="1141"/>
      <c r="J1" s="1142">
        <f>IF(ISBLANK(IGRF!$B$7), "", IGRF!$B$7)</f>
        <v>45144</v>
      </c>
      <c r="K1" s="1142"/>
      <c r="L1" s="1143" t="s">
        <v>532</v>
      </c>
      <c r="M1" s="1143"/>
      <c r="N1" s="1143"/>
      <c r="O1" s="1143"/>
      <c r="P1" s="1143"/>
      <c r="Q1" s="1143"/>
      <c r="R1" s="1138" t="str">
        <f>Score!$T$1</f>
        <v>Steel City Roller Derby / Steel Hurtin'</v>
      </c>
      <c r="S1" s="1138"/>
      <c r="T1" s="1138"/>
      <c r="U1" s="1138"/>
      <c r="V1" s="1138"/>
      <c r="W1" s="1138"/>
      <c r="X1" s="1138"/>
      <c r="Y1" s="1141" t="str">
        <f>IF(ISBLANK(IGRF!$I$12), "", IGRF!$I$12)</f>
        <v>Yellow</v>
      </c>
      <c r="Z1" s="1141"/>
      <c r="AA1" s="1142">
        <f>IF(ISBLANK(IGRF!$B$7), "", IGRF!$B$7)</f>
        <v>45144</v>
      </c>
      <c r="AB1" s="1142"/>
      <c r="AC1" s="1143" t="s">
        <v>531</v>
      </c>
      <c r="AD1" s="1143"/>
      <c r="AE1" s="1143"/>
      <c r="AF1" s="1143"/>
      <c r="AG1" s="1143"/>
      <c r="AH1" s="1143"/>
    </row>
    <row r="2" spans="1:34" ht="11.25" customHeight="1" thickBot="1" x14ac:dyDescent="0.35">
      <c r="A2" s="1139"/>
      <c r="B2" s="1139"/>
      <c r="C2" s="1140"/>
      <c r="D2" s="1139"/>
      <c r="E2" s="1139"/>
      <c r="F2" s="1139"/>
      <c r="G2" s="1139"/>
      <c r="H2" s="1147" t="s">
        <v>181</v>
      </c>
      <c r="I2" s="1147"/>
      <c r="J2" s="1145" t="s">
        <v>184</v>
      </c>
      <c r="K2" s="1145"/>
      <c r="L2" s="1146" t="s">
        <v>178</v>
      </c>
      <c r="M2" s="1146"/>
      <c r="N2" s="1146"/>
      <c r="O2" s="1146"/>
      <c r="P2" s="1146"/>
      <c r="Q2" s="130" t="str">
        <f>IF(ISBLANK(IGRF!$L$3), "", "GAME " &amp; IGRF!$L$3)</f>
        <v/>
      </c>
      <c r="R2" s="1139"/>
      <c r="S2" s="1139"/>
      <c r="T2" s="1140"/>
      <c r="U2" s="1139"/>
      <c r="V2" s="1139"/>
      <c r="W2" s="1139"/>
      <c r="X2" s="1139"/>
      <c r="Y2" s="1147" t="s">
        <v>181</v>
      </c>
      <c r="Z2" s="1147"/>
      <c r="AA2" s="1145" t="s">
        <v>184</v>
      </c>
      <c r="AB2" s="1145"/>
      <c r="AC2" s="1146" t="s">
        <v>178</v>
      </c>
      <c r="AD2" s="1146"/>
      <c r="AE2" s="1146"/>
      <c r="AF2" s="1146"/>
      <c r="AG2" s="1146"/>
      <c r="AH2" s="130" t="str">
        <f>Q2</f>
        <v/>
      </c>
    </row>
    <row r="3" spans="1:34" s="20" customFormat="1" ht="25.5" customHeight="1" thickBot="1" x14ac:dyDescent="0.3">
      <c r="A3" s="475" t="s">
        <v>169</v>
      </c>
      <c r="B3" s="49" t="s">
        <v>4</v>
      </c>
      <c r="C3" s="461" t="s">
        <v>312</v>
      </c>
      <c r="D3" s="49" t="s">
        <v>55</v>
      </c>
      <c r="E3" s="49" t="s">
        <v>140</v>
      </c>
      <c r="F3" s="49" t="s">
        <v>0</v>
      </c>
      <c r="G3" s="49" t="s">
        <v>1</v>
      </c>
      <c r="H3" s="49" t="s">
        <v>2</v>
      </c>
      <c r="I3" s="49" t="s">
        <v>3</v>
      </c>
      <c r="J3" s="1148" t="s">
        <v>467</v>
      </c>
      <c r="K3" s="1148"/>
      <c r="L3" s="1149"/>
      <c r="N3" s="1150" t="s">
        <v>4</v>
      </c>
      <c r="O3" s="1150"/>
      <c r="Q3" s="50" t="s">
        <v>301</v>
      </c>
      <c r="R3" s="48" t="s">
        <v>169</v>
      </c>
      <c r="S3" s="49" t="s">
        <v>4</v>
      </c>
      <c r="T3" s="461" t="s">
        <v>312</v>
      </c>
      <c r="U3" s="49" t="s">
        <v>55</v>
      </c>
      <c r="V3" s="49" t="s">
        <v>140</v>
      </c>
      <c r="W3" s="49" t="s">
        <v>0</v>
      </c>
      <c r="X3" s="49" t="s">
        <v>1</v>
      </c>
      <c r="Y3" s="49" t="s">
        <v>2</v>
      </c>
      <c r="Z3" s="49" t="s">
        <v>3</v>
      </c>
      <c r="AA3" s="1148" t="s">
        <v>467</v>
      </c>
      <c r="AB3" s="1148"/>
      <c r="AC3" s="1149"/>
      <c r="AE3" s="1150" t="s">
        <v>4</v>
      </c>
      <c r="AF3" s="1150"/>
      <c r="AH3" s="50" t="str">
        <f>Q3</f>
        <v>Total Penalties</v>
      </c>
    </row>
    <row r="4" spans="1:34" ht="24" customHeight="1" x14ac:dyDescent="0.45">
      <c r="A4" s="51"/>
      <c r="B4" s="52"/>
      <c r="C4" s="52"/>
      <c r="D4" s="41"/>
      <c r="E4" s="531"/>
      <c r="F4" s="41"/>
      <c r="G4" s="52"/>
      <c r="H4" s="52"/>
      <c r="I4" s="52"/>
      <c r="J4" s="41"/>
      <c r="K4" s="41"/>
      <c r="L4" s="53"/>
      <c r="N4" s="54">
        <v>1</v>
      </c>
      <c r="O4" s="54">
        <f t="shared" ref="O4:O28" si="0">N4</f>
        <v>1</v>
      </c>
      <c r="Q4" s="648" t="str">
        <f>IF(IGRF!B14="","",IGRF!B14)</f>
        <v>101</v>
      </c>
      <c r="R4" s="51"/>
      <c r="S4" s="52"/>
      <c r="T4" s="52"/>
      <c r="U4" s="41"/>
      <c r="V4" s="531"/>
      <c r="W4" s="41"/>
      <c r="X4" s="52"/>
      <c r="Y4" s="52"/>
      <c r="Z4" s="52"/>
      <c r="AA4" s="41"/>
      <c r="AB4" s="41"/>
      <c r="AC4" s="53"/>
      <c r="AE4" s="54">
        <v>1</v>
      </c>
      <c r="AF4" s="54">
        <f t="shared" ref="AF4:AF28" si="1">AE4</f>
        <v>1</v>
      </c>
      <c r="AH4" s="648" t="str">
        <f>IF(IGRF!I14="","",IGRF!I14)</f>
        <v>12</v>
      </c>
    </row>
    <row r="5" spans="1:34" ht="24" customHeight="1" x14ac:dyDescent="0.45">
      <c r="A5" s="55"/>
      <c r="B5" s="56"/>
      <c r="C5" s="56"/>
      <c r="D5" s="26"/>
      <c r="E5" s="532"/>
      <c r="F5" s="26"/>
      <c r="G5" s="56"/>
      <c r="H5" s="56"/>
      <c r="I5" s="56"/>
      <c r="J5" s="26"/>
      <c r="K5" s="26"/>
      <c r="L5" s="57"/>
      <c r="N5" s="54">
        <f t="shared" ref="N5:N28" si="2">N4+1</f>
        <v>2</v>
      </c>
      <c r="O5" s="54">
        <f t="shared" si="0"/>
        <v>2</v>
      </c>
      <c r="Q5" s="649"/>
      <c r="R5" s="55"/>
      <c r="S5" s="56"/>
      <c r="T5" s="56"/>
      <c r="U5" s="26"/>
      <c r="V5" s="532"/>
      <c r="W5" s="26"/>
      <c r="X5" s="56"/>
      <c r="Y5" s="56"/>
      <c r="Z5" s="56"/>
      <c r="AA5" s="26"/>
      <c r="AB5" s="26"/>
      <c r="AC5" s="57"/>
      <c r="AE5" s="54">
        <f t="shared" ref="AE5:AE28" si="3">AE4+1</f>
        <v>2</v>
      </c>
      <c r="AF5" s="54">
        <f t="shared" si="1"/>
        <v>2</v>
      </c>
      <c r="AH5" s="649"/>
    </row>
    <row r="6" spans="1:34" ht="24" customHeight="1" x14ac:dyDescent="0.45">
      <c r="A6" s="51"/>
      <c r="B6" s="52"/>
      <c r="C6" s="52"/>
      <c r="D6" s="41"/>
      <c r="E6" s="531"/>
      <c r="F6" s="41"/>
      <c r="G6" s="52"/>
      <c r="H6" s="52"/>
      <c r="I6" s="52"/>
      <c r="J6" s="41"/>
      <c r="K6" s="41"/>
      <c r="L6" s="53"/>
      <c r="N6" s="54">
        <f t="shared" si="2"/>
        <v>3</v>
      </c>
      <c r="O6" s="54">
        <f t="shared" si="0"/>
        <v>3</v>
      </c>
      <c r="Q6" s="648" t="str">
        <f>IF(IGRF!B15="","",IGRF!B15)</f>
        <v>123</v>
      </c>
      <c r="R6" s="51"/>
      <c r="S6" s="52"/>
      <c r="T6" s="52"/>
      <c r="U6" s="41"/>
      <c r="V6" s="531"/>
      <c r="W6" s="41"/>
      <c r="X6" s="52"/>
      <c r="Y6" s="52"/>
      <c r="Z6" s="52"/>
      <c r="AA6" s="41"/>
      <c r="AB6" s="41"/>
      <c r="AC6" s="53"/>
      <c r="AE6" s="54">
        <f t="shared" si="3"/>
        <v>3</v>
      </c>
      <c r="AF6" s="54">
        <f t="shared" si="1"/>
        <v>3</v>
      </c>
      <c r="AH6" s="648" t="str">
        <f>IF(IGRF!I15="","",IGRF!I15)</f>
        <v>16</v>
      </c>
    </row>
    <row r="7" spans="1:34" ht="24" customHeight="1" x14ac:dyDescent="0.45">
      <c r="A7" s="55"/>
      <c r="B7" s="56"/>
      <c r="C7" s="56"/>
      <c r="D7" s="26"/>
      <c r="E7" s="532"/>
      <c r="F7" s="26"/>
      <c r="G7" s="56"/>
      <c r="H7" s="56"/>
      <c r="I7" s="56"/>
      <c r="J7" s="26"/>
      <c r="K7" s="26"/>
      <c r="L7" s="57"/>
      <c r="N7" s="54">
        <f t="shared" si="2"/>
        <v>4</v>
      </c>
      <c r="O7" s="54">
        <f t="shared" si="0"/>
        <v>4</v>
      </c>
      <c r="Q7" s="649"/>
      <c r="R7" s="55"/>
      <c r="S7" s="56"/>
      <c r="T7" s="56"/>
      <c r="U7" s="26"/>
      <c r="V7" s="532"/>
      <c r="W7" s="26"/>
      <c r="X7" s="56"/>
      <c r="Y7" s="56"/>
      <c r="Z7" s="56"/>
      <c r="AA7" s="26"/>
      <c r="AB7" s="26"/>
      <c r="AC7" s="57"/>
      <c r="AE7" s="54">
        <f t="shared" si="3"/>
        <v>4</v>
      </c>
      <c r="AF7" s="54">
        <f t="shared" si="1"/>
        <v>4</v>
      </c>
      <c r="AH7" s="649"/>
    </row>
    <row r="8" spans="1:34" ht="24" customHeight="1" x14ac:dyDescent="0.45">
      <c r="A8" s="51"/>
      <c r="B8" s="52"/>
      <c r="C8" s="52"/>
      <c r="D8" s="41"/>
      <c r="E8" s="531"/>
      <c r="F8" s="41"/>
      <c r="G8" s="52"/>
      <c r="H8" s="52"/>
      <c r="I8" s="52"/>
      <c r="J8" s="41"/>
      <c r="K8" s="41"/>
      <c r="L8" s="53"/>
      <c r="N8" s="54">
        <f t="shared" si="2"/>
        <v>5</v>
      </c>
      <c r="O8" s="54">
        <f t="shared" si="0"/>
        <v>5</v>
      </c>
      <c r="Q8" s="648" t="str">
        <f>IF(IGRF!B16="","",IGRF!B16)</f>
        <v>1760</v>
      </c>
      <c r="R8" s="51"/>
      <c r="S8" s="52"/>
      <c r="T8" s="52"/>
      <c r="U8" s="41"/>
      <c r="V8" s="531"/>
      <c r="W8" s="41"/>
      <c r="X8" s="52"/>
      <c r="Y8" s="52"/>
      <c r="Z8" s="52"/>
      <c r="AA8" s="41"/>
      <c r="AB8" s="41"/>
      <c r="AC8" s="53"/>
      <c r="AE8" s="54">
        <f t="shared" si="3"/>
        <v>5</v>
      </c>
      <c r="AF8" s="54">
        <f t="shared" si="1"/>
        <v>5</v>
      </c>
      <c r="AH8" s="648" t="str">
        <f>IF(IGRF!I16="","",IGRF!I16)</f>
        <v>17</v>
      </c>
    </row>
    <row r="9" spans="1:34" ht="24" customHeight="1" x14ac:dyDescent="0.45">
      <c r="A9" s="55"/>
      <c r="B9" s="56"/>
      <c r="C9" s="56"/>
      <c r="D9" s="26"/>
      <c r="E9" s="532"/>
      <c r="F9" s="26"/>
      <c r="G9" s="56"/>
      <c r="H9" s="56"/>
      <c r="I9" s="56"/>
      <c r="J9" s="26"/>
      <c r="K9" s="26"/>
      <c r="L9" s="57"/>
      <c r="N9" s="54">
        <f t="shared" si="2"/>
        <v>6</v>
      </c>
      <c r="O9" s="54">
        <f t="shared" si="0"/>
        <v>6</v>
      </c>
      <c r="Q9" s="649"/>
      <c r="R9" s="55"/>
      <c r="S9" s="56"/>
      <c r="T9" s="56"/>
      <c r="U9" s="26"/>
      <c r="V9" s="532"/>
      <c r="W9" s="26"/>
      <c r="X9" s="56"/>
      <c r="Y9" s="56"/>
      <c r="Z9" s="56"/>
      <c r="AA9" s="26"/>
      <c r="AB9" s="26"/>
      <c r="AC9" s="57"/>
      <c r="AE9" s="54">
        <f t="shared" si="3"/>
        <v>6</v>
      </c>
      <c r="AF9" s="54">
        <f t="shared" si="1"/>
        <v>6</v>
      </c>
      <c r="AH9" s="649"/>
    </row>
    <row r="10" spans="1:34" ht="24" customHeight="1" x14ac:dyDescent="0.45">
      <c r="A10" s="51"/>
      <c r="B10" s="52"/>
      <c r="C10" s="52"/>
      <c r="D10" s="41"/>
      <c r="E10" s="531"/>
      <c r="F10" s="41"/>
      <c r="G10" s="52"/>
      <c r="H10" s="52"/>
      <c r="I10" s="52"/>
      <c r="J10" s="41"/>
      <c r="K10" s="41"/>
      <c r="L10" s="53"/>
      <c r="N10" s="54">
        <f t="shared" si="2"/>
        <v>7</v>
      </c>
      <c r="O10" s="54">
        <f t="shared" si="0"/>
        <v>7</v>
      </c>
      <c r="Q10" s="648" t="str">
        <f>IF(IGRF!B17="","",IGRF!B17)</f>
        <v>202</v>
      </c>
      <c r="R10" s="51"/>
      <c r="S10" s="52"/>
      <c r="T10" s="52"/>
      <c r="U10" s="41"/>
      <c r="V10" s="531"/>
      <c r="W10" s="41"/>
      <c r="X10" s="52"/>
      <c r="Y10" s="52"/>
      <c r="Z10" s="52"/>
      <c r="AA10" s="41"/>
      <c r="AB10" s="41"/>
      <c r="AC10" s="53"/>
      <c r="AE10" s="54">
        <f t="shared" si="3"/>
        <v>7</v>
      </c>
      <c r="AF10" s="54">
        <f t="shared" si="1"/>
        <v>7</v>
      </c>
      <c r="AH10" s="648" t="str">
        <f>IF(IGRF!I17="","",IGRF!I17)</f>
        <v>2</v>
      </c>
    </row>
    <row r="11" spans="1:34" ht="24" customHeight="1" x14ac:dyDescent="0.45">
      <c r="A11" s="55"/>
      <c r="B11" s="56"/>
      <c r="C11" s="56"/>
      <c r="D11" s="26"/>
      <c r="E11" s="532"/>
      <c r="F11" s="26"/>
      <c r="G11" s="56"/>
      <c r="H11" s="56"/>
      <c r="I11" s="56"/>
      <c r="J11" s="26"/>
      <c r="K11" s="26"/>
      <c r="L11" s="57"/>
      <c r="N11" s="54">
        <f t="shared" si="2"/>
        <v>8</v>
      </c>
      <c r="O11" s="54">
        <f t="shared" si="0"/>
        <v>8</v>
      </c>
      <c r="Q11" s="649"/>
      <c r="R11" s="55"/>
      <c r="S11" s="56"/>
      <c r="T11" s="56"/>
      <c r="U11" s="26"/>
      <c r="V11" s="532"/>
      <c r="W11" s="26"/>
      <c r="X11" s="56"/>
      <c r="Y11" s="56"/>
      <c r="Z11" s="56"/>
      <c r="AA11" s="26"/>
      <c r="AB11" s="26"/>
      <c r="AC11" s="57"/>
      <c r="AE11" s="54">
        <f t="shared" si="3"/>
        <v>8</v>
      </c>
      <c r="AF11" s="54">
        <f t="shared" si="1"/>
        <v>8</v>
      </c>
      <c r="AH11" s="649"/>
    </row>
    <row r="12" spans="1:34" ht="24" customHeight="1" x14ac:dyDescent="0.45">
      <c r="A12" s="51"/>
      <c r="B12" s="52"/>
      <c r="C12" s="52"/>
      <c r="D12" s="41"/>
      <c r="E12" s="531"/>
      <c r="F12" s="41"/>
      <c r="G12" s="52"/>
      <c r="H12" s="52"/>
      <c r="I12" s="52"/>
      <c r="J12" s="41"/>
      <c r="K12" s="41"/>
      <c r="L12" s="53"/>
      <c r="N12" s="54">
        <f t="shared" si="2"/>
        <v>9</v>
      </c>
      <c r="O12" s="54">
        <f t="shared" si="0"/>
        <v>9</v>
      </c>
      <c r="Q12" s="648" t="str">
        <f>IF(IGRF!B18="","",IGRF!B18)</f>
        <v>22</v>
      </c>
      <c r="R12" s="51"/>
      <c r="S12" s="52"/>
      <c r="T12" s="52"/>
      <c r="U12" s="41"/>
      <c r="V12" s="531"/>
      <c r="W12" s="41"/>
      <c r="X12" s="52"/>
      <c r="Y12" s="52"/>
      <c r="Z12" s="52"/>
      <c r="AA12" s="41"/>
      <c r="AB12" s="41"/>
      <c r="AC12" s="53"/>
      <c r="AE12" s="54">
        <f t="shared" si="3"/>
        <v>9</v>
      </c>
      <c r="AF12" s="54">
        <f t="shared" si="1"/>
        <v>9</v>
      </c>
      <c r="AH12" s="648" t="str">
        <f>IF(IGRF!I18="","",IGRF!I18)</f>
        <v>219</v>
      </c>
    </row>
    <row r="13" spans="1:34" ht="24" customHeight="1" x14ac:dyDescent="0.45">
      <c r="A13" s="55"/>
      <c r="B13" s="56"/>
      <c r="C13" s="56"/>
      <c r="D13" s="26"/>
      <c r="E13" s="532"/>
      <c r="F13" s="26"/>
      <c r="G13" s="56"/>
      <c r="H13" s="56"/>
      <c r="I13" s="56"/>
      <c r="J13" s="26"/>
      <c r="K13" s="26"/>
      <c r="L13" s="57"/>
      <c r="N13" s="54">
        <f t="shared" si="2"/>
        <v>10</v>
      </c>
      <c r="O13" s="54">
        <f t="shared" si="0"/>
        <v>10</v>
      </c>
      <c r="Q13" s="649"/>
      <c r="R13" s="55"/>
      <c r="S13" s="56"/>
      <c r="T13" s="56"/>
      <c r="U13" s="26"/>
      <c r="V13" s="532"/>
      <c r="W13" s="26"/>
      <c r="X13" s="56"/>
      <c r="Y13" s="56"/>
      <c r="Z13" s="56"/>
      <c r="AA13" s="26"/>
      <c r="AB13" s="26"/>
      <c r="AC13" s="57"/>
      <c r="AE13" s="54">
        <f t="shared" si="3"/>
        <v>10</v>
      </c>
      <c r="AF13" s="54">
        <f t="shared" si="1"/>
        <v>10</v>
      </c>
      <c r="AH13" s="649"/>
    </row>
    <row r="14" spans="1:34" ht="24" customHeight="1" x14ac:dyDescent="0.45">
      <c r="A14" s="51"/>
      <c r="B14" s="52"/>
      <c r="C14" s="52"/>
      <c r="D14" s="41"/>
      <c r="E14" s="531"/>
      <c r="F14" s="41"/>
      <c r="G14" s="52"/>
      <c r="H14" s="52"/>
      <c r="I14" s="52"/>
      <c r="J14" s="41"/>
      <c r="K14" s="41"/>
      <c r="L14" s="53"/>
      <c r="N14" s="54">
        <f t="shared" si="2"/>
        <v>11</v>
      </c>
      <c r="O14" s="54">
        <f t="shared" si="0"/>
        <v>11</v>
      </c>
      <c r="Q14" s="648" t="str">
        <f>IF(IGRF!B19="","",IGRF!B19)</f>
        <v>221*</v>
      </c>
      <c r="R14" s="51"/>
      <c r="S14" s="52"/>
      <c r="T14" s="52"/>
      <c r="U14" s="41"/>
      <c r="V14" s="531"/>
      <c r="W14" s="41"/>
      <c r="X14" s="52"/>
      <c r="Y14" s="52"/>
      <c r="Z14" s="52"/>
      <c r="AA14" s="41"/>
      <c r="AB14" s="41"/>
      <c r="AC14" s="53"/>
      <c r="AE14" s="54">
        <f t="shared" si="3"/>
        <v>11</v>
      </c>
      <c r="AF14" s="54">
        <f t="shared" si="1"/>
        <v>11</v>
      </c>
      <c r="AH14" s="648" t="str">
        <f>IF(IGRF!I19="","",IGRF!I19)</f>
        <v>22</v>
      </c>
    </row>
    <row r="15" spans="1:34" ht="24" customHeight="1" x14ac:dyDescent="0.45">
      <c r="A15" s="55"/>
      <c r="B15" s="56"/>
      <c r="C15" s="56"/>
      <c r="D15" s="26"/>
      <c r="E15" s="532"/>
      <c r="F15" s="26"/>
      <c r="G15" s="56"/>
      <c r="H15" s="56"/>
      <c r="I15" s="56"/>
      <c r="J15" s="26"/>
      <c r="K15" s="26"/>
      <c r="L15" s="57"/>
      <c r="N15" s="54">
        <f t="shared" si="2"/>
        <v>12</v>
      </c>
      <c r="O15" s="54">
        <f t="shared" si="0"/>
        <v>12</v>
      </c>
      <c r="Q15" s="649"/>
      <c r="R15" s="55"/>
      <c r="S15" s="56"/>
      <c r="T15" s="56"/>
      <c r="U15" s="26"/>
      <c r="V15" s="532"/>
      <c r="W15" s="26"/>
      <c r="X15" s="56"/>
      <c r="Y15" s="56"/>
      <c r="Z15" s="56"/>
      <c r="AA15" s="26"/>
      <c r="AB15" s="26"/>
      <c r="AC15" s="57"/>
      <c r="AE15" s="54">
        <f t="shared" si="3"/>
        <v>12</v>
      </c>
      <c r="AF15" s="54">
        <f t="shared" si="1"/>
        <v>12</v>
      </c>
      <c r="AH15" s="649"/>
    </row>
    <row r="16" spans="1:34" ht="24" customHeight="1" x14ac:dyDescent="0.45">
      <c r="A16" s="51"/>
      <c r="B16" s="52"/>
      <c r="C16" s="52"/>
      <c r="D16" s="41"/>
      <c r="E16" s="531"/>
      <c r="F16" s="41"/>
      <c r="G16" s="52"/>
      <c r="H16" s="52"/>
      <c r="I16" s="52"/>
      <c r="J16" s="41"/>
      <c r="K16" s="41"/>
      <c r="L16" s="53"/>
      <c r="N16" s="54">
        <f t="shared" si="2"/>
        <v>13</v>
      </c>
      <c r="O16" s="54">
        <f t="shared" si="0"/>
        <v>13</v>
      </c>
      <c r="Q16" s="648" t="str">
        <f>IF(IGRF!B20="","",IGRF!B20)</f>
        <v>229</v>
      </c>
      <c r="R16" s="51"/>
      <c r="S16" s="52"/>
      <c r="T16" s="52"/>
      <c r="U16" s="41"/>
      <c r="V16" s="531"/>
      <c r="W16" s="41"/>
      <c r="X16" s="52"/>
      <c r="Y16" s="52"/>
      <c r="Z16" s="52"/>
      <c r="AA16" s="41"/>
      <c r="AB16" s="41"/>
      <c r="AC16" s="53"/>
      <c r="AE16" s="54">
        <f t="shared" si="3"/>
        <v>13</v>
      </c>
      <c r="AF16" s="54">
        <f t="shared" si="1"/>
        <v>13</v>
      </c>
      <c r="AH16" s="648" t="str">
        <f>IF(IGRF!I20="","",IGRF!I20)</f>
        <v>223</v>
      </c>
    </row>
    <row r="17" spans="1:34" ht="24" customHeight="1" x14ac:dyDescent="0.45">
      <c r="A17" s="55"/>
      <c r="B17" s="56"/>
      <c r="C17" s="56"/>
      <c r="D17" s="26"/>
      <c r="E17" s="532"/>
      <c r="F17" s="26"/>
      <c r="G17" s="56"/>
      <c r="H17" s="56"/>
      <c r="I17" s="56"/>
      <c r="J17" s="26"/>
      <c r="K17" s="26"/>
      <c r="L17" s="57"/>
      <c r="N17" s="54">
        <f t="shared" si="2"/>
        <v>14</v>
      </c>
      <c r="O17" s="54">
        <f t="shared" si="0"/>
        <v>14</v>
      </c>
      <c r="Q17" s="649"/>
      <c r="R17" s="55"/>
      <c r="S17" s="56"/>
      <c r="T17" s="56"/>
      <c r="U17" s="26"/>
      <c r="V17" s="532"/>
      <c r="W17" s="26"/>
      <c r="X17" s="56"/>
      <c r="Y17" s="56"/>
      <c r="Z17" s="56"/>
      <c r="AA17" s="26"/>
      <c r="AB17" s="26"/>
      <c r="AC17" s="57"/>
      <c r="AE17" s="54">
        <f t="shared" si="3"/>
        <v>14</v>
      </c>
      <c r="AF17" s="54">
        <f t="shared" si="1"/>
        <v>14</v>
      </c>
      <c r="AH17" s="649"/>
    </row>
    <row r="18" spans="1:34" ht="24" customHeight="1" x14ac:dyDescent="0.45">
      <c r="A18" s="51"/>
      <c r="B18" s="52"/>
      <c r="C18" s="52"/>
      <c r="D18" s="41"/>
      <c r="E18" s="531"/>
      <c r="F18" s="41"/>
      <c r="G18" s="52"/>
      <c r="H18" s="52"/>
      <c r="I18" s="52"/>
      <c r="J18" s="41"/>
      <c r="K18" s="41"/>
      <c r="L18" s="53"/>
      <c r="N18" s="54">
        <f t="shared" si="2"/>
        <v>15</v>
      </c>
      <c r="O18" s="54">
        <f t="shared" si="0"/>
        <v>15</v>
      </c>
      <c r="Q18" s="648" t="str">
        <f>IF(IGRF!B21="","",IGRF!B21)</f>
        <v>237</v>
      </c>
      <c r="R18" s="51"/>
      <c r="S18" s="52"/>
      <c r="T18" s="52"/>
      <c r="U18" s="41"/>
      <c r="V18" s="531"/>
      <c r="W18" s="41"/>
      <c r="X18" s="52"/>
      <c r="Y18" s="52"/>
      <c r="Z18" s="52"/>
      <c r="AA18" s="41"/>
      <c r="AB18" s="41"/>
      <c r="AC18" s="53"/>
      <c r="AE18" s="54">
        <f t="shared" si="3"/>
        <v>15</v>
      </c>
      <c r="AF18" s="54">
        <f t="shared" si="1"/>
        <v>15</v>
      </c>
      <c r="AH18" s="648" t="str">
        <f>IF(IGRF!I21="","",IGRF!I21)</f>
        <v>23</v>
      </c>
    </row>
    <row r="19" spans="1:34" ht="24" customHeight="1" x14ac:dyDescent="0.45">
      <c r="A19" s="55"/>
      <c r="B19" s="56"/>
      <c r="C19" s="56"/>
      <c r="D19" s="26"/>
      <c r="E19" s="532"/>
      <c r="F19" s="26"/>
      <c r="G19" s="56"/>
      <c r="H19" s="56"/>
      <c r="I19" s="56"/>
      <c r="J19" s="26"/>
      <c r="K19" s="26"/>
      <c r="L19" s="57"/>
      <c r="N19" s="54">
        <f t="shared" si="2"/>
        <v>16</v>
      </c>
      <c r="O19" s="54">
        <f t="shared" si="0"/>
        <v>16</v>
      </c>
      <c r="Q19" s="649"/>
      <c r="R19" s="55"/>
      <c r="S19" s="56"/>
      <c r="T19" s="56"/>
      <c r="U19" s="26"/>
      <c r="V19" s="532"/>
      <c r="W19" s="26"/>
      <c r="X19" s="56"/>
      <c r="Y19" s="56"/>
      <c r="Z19" s="56"/>
      <c r="AA19" s="26"/>
      <c r="AB19" s="26"/>
      <c r="AC19" s="57"/>
      <c r="AE19" s="54">
        <f t="shared" si="3"/>
        <v>16</v>
      </c>
      <c r="AF19" s="54">
        <f t="shared" si="1"/>
        <v>16</v>
      </c>
      <c r="AH19" s="649"/>
    </row>
    <row r="20" spans="1:34" ht="24" customHeight="1" x14ac:dyDescent="0.45">
      <c r="A20" s="51"/>
      <c r="B20" s="52"/>
      <c r="C20" s="52"/>
      <c r="D20" s="41"/>
      <c r="E20" s="531"/>
      <c r="F20" s="41"/>
      <c r="G20" s="52"/>
      <c r="H20" s="52"/>
      <c r="I20" s="52"/>
      <c r="J20" s="41"/>
      <c r="K20" s="41"/>
      <c r="L20" s="53"/>
      <c r="N20" s="54">
        <f t="shared" si="2"/>
        <v>17</v>
      </c>
      <c r="O20" s="54">
        <f t="shared" si="0"/>
        <v>17</v>
      </c>
      <c r="Q20" s="648" t="str">
        <f>IF(IGRF!B22="","",IGRF!B22)</f>
        <v>282*</v>
      </c>
      <c r="R20" s="51"/>
      <c r="S20" s="52"/>
      <c r="T20" s="52"/>
      <c r="U20" s="41"/>
      <c r="V20" s="531"/>
      <c r="W20" s="41"/>
      <c r="X20" s="52"/>
      <c r="Y20" s="52"/>
      <c r="Z20" s="52"/>
      <c r="AA20" s="41"/>
      <c r="AB20" s="41"/>
      <c r="AC20" s="53"/>
      <c r="AE20" s="54">
        <f t="shared" si="3"/>
        <v>17</v>
      </c>
      <c r="AF20" s="54">
        <f t="shared" si="1"/>
        <v>17</v>
      </c>
      <c r="AH20" s="648" t="str">
        <f>IF(IGRF!I22="","",IGRF!I22)</f>
        <v>25</v>
      </c>
    </row>
    <row r="21" spans="1:34" ht="24" customHeight="1" x14ac:dyDescent="0.45">
      <c r="A21" s="55"/>
      <c r="B21" s="56"/>
      <c r="C21" s="56"/>
      <c r="D21" s="26"/>
      <c r="E21" s="532"/>
      <c r="F21" s="26"/>
      <c r="G21" s="56"/>
      <c r="H21" s="56"/>
      <c r="I21" s="56"/>
      <c r="J21" s="26"/>
      <c r="K21" s="26"/>
      <c r="L21" s="57"/>
      <c r="N21" s="54">
        <f t="shared" si="2"/>
        <v>18</v>
      </c>
      <c r="O21" s="54">
        <f t="shared" si="0"/>
        <v>18</v>
      </c>
      <c r="Q21" s="649"/>
      <c r="R21" s="55"/>
      <c r="S21" s="56"/>
      <c r="T21" s="56"/>
      <c r="U21" s="26"/>
      <c r="V21" s="532"/>
      <c r="W21" s="26"/>
      <c r="X21" s="56"/>
      <c r="Y21" s="56"/>
      <c r="Z21" s="56"/>
      <c r="AA21" s="26"/>
      <c r="AB21" s="26"/>
      <c r="AC21" s="57"/>
      <c r="AE21" s="54">
        <f t="shared" si="3"/>
        <v>18</v>
      </c>
      <c r="AF21" s="54">
        <f t="shared" si="1"/>
        <v>18</v>
      </c>
      <c r="AH21" s="649"/>
    </row>
    <row r="22" spans="1:34" ht="24" customHeight="1" x14ac:dyDescent="0.45">
      <c r="A22" s="51"/>
      <c r="B22" s="52"/>
      <c r="C22" s="52"/>
      <c r="D22" s="41"/>
      <c r="E22" s="531"/>
      <c r="F22" s="41"/>
      <c r="G22" s="52"/>
      <c r="H22" s="52"/>
      <c r="I22" s="52"/>
      <c r="J22" s="41"/>
      <c r="K22" s="41"/>
      <c r="L22" s="53"/>
      <c r="N22" s="54">
        <f t="shared" si="2"/>
        <v>19</v>
      </c>
      <c r="O22" s="54">
        <f t="shared" si="0"/>
        <v>19</v>
      </c>
      <c r="Q22" s="648" t="str">
        <f>IF(IGRF!B23="","",IGRF!B23)</f>
        <v>337</v>
      </c>
      <c r="R22" s="51"/>
      <c r="S22" s="52"/>
      <c r="T22" s="52"/>
      <c r="U22" s="41"/>
      <c r="V22" s="531"/>
      <c r="W22" s="41"/>
      <c r="X22" s="52"/>
      <c r="Y22" s="52"/>
      <c r="Z22" s="52"/>
      <c r="AA22" s="41"/>
      <c r="AB22" s="41"/>
      <c r="AC22" s="53"/>
      <c r="AE22" s="54">
        <f t="shared" si="3"/>
        <v>19</v>
      </c>
      <c r="AF22" s="54">
        <f t="shared" si="1"/>
        <v>19</v>
      </c>
      <c r="AH22" s="648" t="str">
        <f>IF(IGRF!I23="","",IGRF!I23)</f>
        <v>26</v>
      </c>
    </row>
    <row r="23" spans="1:34" ht="24" customHeight="1" x14ac:dyDescent="0.45">
      <c r="A23" s="55"/>
      <c r="B23" s="56"/>
      <c r="C23" s="56"/>
      <c r="D23" s="26"/>
      <c r="E23" s="532"/>
      <c r="F23" s="26"/>
      <c r="G23" s="56"/>
      <c r="H23" s="56"/>
      <c r="I23" s="56"/>
      <c r="J23" s="26"/>
      <c r="K23" s="26"/>
      <c r="L23" s="57"/>
      <c r="N23" s="54">
        <f t="shared" si="2"/>
        <v>20</v>
      </c>
      <c r="O23" s="54">
        <f t="shared" si="0"/>
        <v>20</v>
      </c>
      <c r="Q23" s="649"/>
      <c r="R23" s="55"/>
      <c r="S23" s="56"/>
      <c r="T23" s="56"/>
      <c r="U23" s="26"/>
      <c r="V23" s="532"/>
      <c r="W23" s="26"/>
      <c r="X23" s="56"/>
      <c r="Y23" s="56"/>
      <c r="Z23" s="56"/>
      <c r="AA23" s="26"/>
      <c r="AB23" s="26"/>
      <c r="AC23" s="57"/>
      <c r="AE23" s="54">
        <f t="shared" si="3"/>
        <v>20</v>
      </c>
      <c r="AF23" s="54">
        <f t="shared" si="1"/>
        <v>20</v>
      </c>
      <c r="AH23" s="649"/>
    </row>
    <row r="24" spans="1:34" ht="24" customHeight="1" x14ac:dyDescent="0.45">
      <c r="A24" s="51"/>
      <c r="B24" s="52"/>
      <c r="C24" s="52"/>
      <c r="D24" s="41"/>
      <c r="E24" s="531"/>
      <c r="F24" s="41"/>
      <c r="G24" s="52"/>
      <c r="H24" s="52"/>
      <c r="I24" s="52"/>
      <c r="J24" s="41"/>
      <c r="K24" s="41"/>
      <c r="L24" s="53"/>
      <c r="N24" s="54">
        <f t="shared" si="2"/>
        <v>21</v>
      </c>
      <c r="O24" s="54">
        <f t="shared" si="0"/>
        <v>21</v>
      </c>
      <c r="Q24" s="648" t="str">
        <f>IF(IGRF!B24="","",IGRF!B24)</f>
        <v>352</v>
      </c>
      <c r="R24" s="51"/>
      <c r="S24" s="52"/>
      <c r="T24" s="52"/>
      <c r="U24" s="41"/>
      <c r="V24" s="531"/>
      <c r="W24" s="41"/>
      <c r="X24" s="52"/>
      <c r="Y24" s="52"/>
      <c r="Z24" s="52"/>
      <c r="AA24" s="41"/>
      <c r="AB24" s="41"/>
      <c r="AC24" s="53"/>
      <c r="AE24" s="54">
        <f t="shared" si="3"/>
        <v>21</v>
      </c>
      <c r="AF24" s="54">
        <f t="shared" si="1"/>
        <v>21</v>
      </c>
      <c r="AH24" s="648" t="str">
        <f>IF(IGRF!I24="","",IGRF!I24)</f>
        <v>49</v>
      </c>
    </row>
    <row r="25" spans="1:34" ht="24" customHeight="1" x14ac:dyDescent="0.45">
      <c r="A25" s="55"/>
      <c r="B25" s="56"/>
      <c r="C25" s="56"/>
      <c r="D25" s="26"/>
      <c r="E25" s="532"/>
      <c r="F25" s="26"/>
      <c r="G25" s="56"/>
      <c r="H25" s="56"/>
      <c r="I25" s="56"/>
      <c r="J25" s="26"/>
      <c r="K25" s="26"/>
      <c r="L25" s="57"/>
      <c r="N25" s="54">
        <f t="shared" si="2"/>
        <v>22</v>
      </c>
      <c r="O25" s="54">
        <f t="shared" si="0"/>
        <v>22</v>
      </c>
      <c r="Q25" s="649"/>
      <c r="R25" s="55"/>
      <c r="S25" s="56"/>
      <c r="T25" s="56"/>
      <c r="U25" s="26"/>
      <c r="V25" s="532"/>
      <c r="W25" s="26"/>
      <c r="X25" s="56"/>
      <c r="Y25" s="56"/>
      <c r="Z25" s="56"/>
      <c r="AA25" s="26"/>
      <c r="AB25" s="26"/>
      <c r="AC25" s="57"/>
      <c r="AE25" s="54">
        <f t="shared" si="3"/>
        <v>22</v>
      </c>
      <c r="AF25" s="54">
        <f t="shared" si="1"/>
        <v>22</v>
      </c>
      <c r="AH25" s="649"/>
    </row>
    <row r="26" spans="1:34" ht="24" customHeight="1" x14ac:dyDescent="0.45">
      <c r="A26" s="51"/>
      <c r="B26" s="52"/>
      <c r="C26" s="52"/>
      <c r="D26" s="41"/>
      <c r="E26" s="531"/>
      <c r="F26" s="41"/>
      <c r="G26" s="52"/>
      <c r="H26" s="52"/>
      <c r="I26" s="52"/>
      <c r="J26" s="41"/>
      <c r="K26" s="41"/>
      <c r="L26" s="53"/>
      <c r="N26" s="54">
        <f t="shared" si="2"/>
        <v>23</v>
      </c>
      <c r="O26" s="54">
        <f t="shared" si="0"/>
        <v>23</v>
      </c>
      <c r="Q26" s="648" t="str">
        <f>IF(IGRF!B25="","",IGRF!B25)</f>
        <v>36</v>
      </c>
      <c r="R26" s="51"/>
      <c r="S26" s="52"/>
      <c r="T26" s="52"/>
      <c r="U26" s="41"/>
      <c r="V26" s="531"/>
      <c r="W26" s="41"/>
      <c r="X26" s="52"/>
      <c r="Y26" s="52"/>
      <c r="Z26" s="52"/>
      <c r="AA26" s="41"/>
      <c r="AB26" s="41"/>
      <c r="AC26" s="53"/>
      <c r="AE26" s="54">
        <f t="shared" si="3"/>
        <v>23</v>
      </c>
      <c r="AF26" s="54">
        <f t="shared" si="1"/>
        <v>23</v>
      </c>
      <c r="AH26" s="648" t="str">
        <f>IF(IGRF!I25="","",IGRF!I25)</f>
        <v>78</v>
      </c>
    </row>
    <row r="27" spans="1:34" ht="24" customHeight="1" x14ac:dyDescent="0.45">
      <c r="A27" s="55"/>
      <c r="B27" s="56"/>
      <c r="C27" s="56"/>
      <c r="D27" s="26"/>
      <c r="E27" s="532"/>
      <c r="F27" s="26"/>
      <c r="G27" s="56"/>
      <c r="H27" s="56"/>
      <c r="I27" s="56"/>
      <c r="J27" s="26"/>
      <c r="K27" s="26"/>
      <c r="L27" s="57"/>
      <c r="N27" s="54">
        <f t="shared" si="2"/>
        <v>24</v>
      </c>
      <c r="O27" s="54">
        <f t="shared" si="0"/>
        <v>24</v>
      </c>
      <c r="Q27" s="649"/>
      <c r="R27" s="55"/>
      <c r="S27" s="56"/>
      <c r="T27" s="56"/>
      <c r="U27" s="26"/>
      <c r="V27" s="532"/>
      <c r="W27" s="26"/>
      <c r="X27" s="56"/>
      <c r="Y27" s="56"/>
      <c r="Z27" s="56"/>
      <c r="AA27" s="26"/>
      <c r="AB27" s="26"/>
      <c r="AC27" s="57"/>
      <c r="AE27" s="54">
        <f t="shared" si="3"/>
        <v>24</v>
      </c>
      <c r="AF27" s="54">
        <f t="shared" si="1"/>
        <v>24</v>
      </c>
      <c r="AH27" s="649"/>
    </row>
    <row r="28" spans="1:34" ht="24" customHeight="1" x14ac:dyDescent="0.45">
      <c r="A28" s="51"/>
      <c r="B28" s="52"/>
      <c r="C28" s="52"/>
      <c r="D28" s="41"/>
      <c r="E28" s="531"/>
      <c r="F28" s="41"/>
      <c r="G28" s="52"/>
      <c r="H28" s="52"/>
      <c r="I28" s="52"/>
      <c r="J28" s="41"/>
      <c r="K28" s="41"/>
      <c r="L28" s="53"/>
      <c r="N28" s="54">
        <f t="shared" si="2"/>
        <v>25</v>
      </c>
      <c r="O28" s="54">
        <f t="shared" si="0"/>
        <v>25</v>
      </c>
      <c r="Q28" s="648" t="str">
        <f>IF(IGRF!B26="","",IGRF!B26)</f>
        <v>64</v>
      </c>
      <c r="R28" s="51"/>
      <c r="S28" s="52"/>
      <c r="T28" s="52"/>
      <c r="U28" s="41"/>
      <c r="V28" s="531"/>
      <c r="W28" s="41"/>
      <c r="X28" s="52"/>
      <c r="Y28" s="52"/>
      <c r="Z28" s="52"/>
      <c r="AA28" s="41"/>
      <c r="AB28" s="41"/>
      <c r="AC28" s="53"/>
      <c r="AE28" s="54">
        <f t="shared" si="3"/>
        <v>25</v>
      </c>
      <c r="AF28" s="54">
        <f t="shared" si="1"/>
        <v>25</v>
      </c>
      <c r="AH28" s="648" t="str">
        <f>IF(IGRF!I26="","",IGRF!I26)</f>
        <v>8*</v>
      </c>
    </row>
    <row r="29" spans="1:34" ht="24" customHeight="1" x14ac:dyDescent="0.45">
      <c r="A29" s="55"/>
      <c r="B29" s="56"/>
      <c r="C29" s="56"/>
      <c r="D29" s="26"/>
      <c r="E29" s="532"/>
      <c r="F29" s="26"/>
      <c r="G29" s="56"/>
      <c r="H29" s="56"/>
      <c r="I29" s="56"/>
      <c r="J29" s="26"/>
      <c r="K29" s="26"/>
      <c r="L29" s="57"/>
      <c r="N29" s="54">
        <v>26</v>
      </c>
      <c r="O29" s="54">
        <v>26</v>
      </c>
      <c r="Q29" s="649"/>
      <c r="R29" s="55"/>
      <c r="S29" s="56"/>
      <c r="T29" s="56"/>
      <c r="U29" s="26"/>
      <c r="V29" s="532"/>
      <c r="W29" s="26"/>
      <c r="X29" s="56"/>
      <c r="Y29" s="56"/>
      <c r="Z29" s="56"/>
      <c r="AA29" s="26"/>
      <c r="AB29" s="26"/>
      <c r="AC29" s="57"/>
      <c r="AE29" s="54">
        <v>26</v>
      </c>
      <c r="AF29" s="54">
        <v>26</v>
      </c>
      <c r="AH29" s="649"/>
    </row>
    <row r="30" spans="1:34" ht="24" customHeight="1" x14ac:dyDescent="0.45">
      <c r="A30" s="51"/>
      <c r="B30" s="52"/>
      <c r="C30" s="52"/>
      <c r="D30" s="41"/>
      <c r="E30" s="531"/>
      <c r="F30" s="41"/>
      <c r="G30" s="52"/>
      <c r="H30" s="52"/>
      <c r="I30" s="52"/>
      <c r="J30" s="41"/>
      <c r="K30" s="41"/>
      <c r="L30" s="53"/>
      <c r="N30" s="54">
        <v>27</v>
      </c>
      <c r="O30" s="54">
        <v>27</v>
      </c>
      <c r="Q30" s="648" t="str">
        <f>IF(IGRF!B27="","",IGRF!B27)</f>
        <v>825</v>
      </c>
      <c r="R30" s="51"/>
      <c r="S30" s="52"/>
      <c r="T30" s="52"/>
      <c r="U30" s="41"/>
      <c r="V30" s="531"/>
      <c r="W30" s="41"/>
      <c r="X30" s="52"/>
      <c r="Y30" s="52"/>
      <c r="Z30" s="52"/>
      <c r="AA30" s="41"/>
      <c r="AB30" s="41"/>
      <c r="AC30" s="53"/>
      <c r="AE30" s="54">
        <v>27</v>
      </c>
      <c r="AF30" s="54">
        <v>27</v>
      </c>
      <c r="AH30" s="648" t="str">
        <f>IF(IGRF!I27="","",IGRF!I27)</f>
        <v>800</v>
      </c>
    </row>
    <row r="31" spans="1:34" ht="24" customHeight="1" x14ac:dyDescent="0.45">
      <c r="A31" s="55"/>
      <c r="B31" s="56"/>
      <c r="C31" s="56"/>
      <c r="D31" s="26"/>
      <c r="E31" s="532"/>
      <c r="F31" s="26"/>
      <c r="G31" s="56"/>
      <c r="H31" s="56"/>
      <c r="I31" s="56"/>
      <c r="J31" s="26"/>
      <c r="K31" s="26"/>
      <c r="L31" s="57"/>
      <c r="N31" s="54">
        <v>28</v>
      </c>
      <c r="O31" s="54">
        <v>28</v>
      </c>
      <c r="Q31" s="649"/>
      <c r="R31" s="55"/>
      <c r="S31" s="56"/>
      <c r="T31" s="56"/>
      <c r="U31" s="26"/>
      <c r="V31" s="532"/>
      <c r="W31" s="26"/>
      <c r="X31" s="56"/>
      <c r="Y31" s="56"/>
      <c r="Z31" s="56"/>
      <c r="AA31" s="26"/>
      <c r="AB31" s="26"/>
      <c r="AC31" s="57"/>
      <c r="AE31" s="54">
        <v>28</v>
      </c>
      <c r="AF31" s="54">
        <v>28</v>
      </c>
      <c r="AH31" s="649"/>
    </row>
    <row r="32" spans="1:34" ht="24" customHeight="1" x14ac:dyDescent="0.45">
      <c r="A32" s="51"/>
      <c r="B32" s="52"/>
      <c r="C32" s="52"/>
      <c r="D32" s="41"/>
      <c r="E32" s="531"/>
      <c r="F32" s="41"/>
      <c r="G32" s="52"/>
      <c r="H32" s="52"/>
      <c r="I32" s="52"/>
      <c r="J32" s="41"/>
      <c r="K32" s="41"/>
      <c r="L32" s="53"/>
      <c r="N32" s="54">
        <v>29</v>
      </c>
      <c r="O32" s="54">
        <v>29</v>
      </c>
      <c r="Q32" s="648" t="str">
        <f>IF(IGRF!B28="","",IGRF!B28)</f>
        <v>83</v>
      </c>
      <c r="R32" s="51"/>
      <c r="S32" s="52"/>
      <c r="T32" s="52"/>
      <c r="U32" s="41"/>
      <c r="V32" s="531"/>
      <c r="W32" s="41"/>
      <c r="X32" s="52"/>
      <c r="Y32" s="52"/>
      <c r="Z32" s="52"/>
      <c r="AA32" s="41"/>
      <c r="AB32" s="41"/>
      <c r="AC32" s="53"/>
      <c r="AE32" s="54">
        <v>29</v>
      </c>
      <c r="AF32" s="54">
        <v>29</v>
      </c>
      <c r="AH32" s="648" t="str">
        <f>IF(IGRF!I28="","",IGRF!I28)</f>
        <v>88*</v>
      </c>
    </row>
    <row r="33" spans="1:34" ht="24" customHeight="1" x14ac:dyDescent="0.45">
      <c r="A33" s="55"/>
      <c r="B33" s="56"/>
      <c r="C33" s="56"/>
      <c r="D33" s="26"/>
      <c r="E33" s="532"/>
      <c r="F33" s="26"/>
      <c r="G33" s="56"/>
      <c r="H33" s="56"/>
      <c r="I33" s="56"/>
      <c r="J33" s="26"/>
      <c r="K33" s="26"/>
      <c r="L33" s="57"/>
      <c r="N33" s="54">
        <v>30</v>
      </c>
      <c r="O33" s="54">
        <v>30</v>
      </c>
      <c r="Q33" s="649"/>
      <c r="R33" s="55"/>
      <c r="S33" s="56"/>
      <c r="T33" s="56"/>
      <c r="U33" s="26"/>
      <c r="V33" s="532"/>
      <c r="W33" s="26"/>
      <c r="X33" s="56"/>
      <c r="Y33" s="56"/>
      <c r="Z33" s="56"/>
      <c r="AA33" s="26"/>
      <c r="AB33" s="26"/>
      <c r="AC33" s="57"/>
      <c r="AE33" s="54">
        <v>30</v>
      </c>
      <c r="AF33" s="54">
        <v>30</v>
      </c>
      <c r="AH33" s="649"/>
    </row>
    <row r="34" spans="1:34" ht="24" customHeight="1" x14ac:dyDescent="0.45">
      <c r="A34" s="51"/>
      <c r="B34" s="52"/>
      <c r="C34" s="52"/>
      <c r="D34" s="41"/>
      <c r="E34" s="531"/>
      <c r="F34" s="41"/>
      <c r="G34" s="52"/>
      <c r="H34" s="52"/>
      <c r="I34" s="52"/>
      <c r="J34" s="41"/>
      <c r="K34" s="41"/>
      <c r="L34" s="53"/>
      <c r="N34" s="54">
        <v>31</v>
      </c>
      <c r="O34" s="54">
        <v>31</v>
      </c>
      <c r="Q34" s="648" t="str">
        <f>IF(IGRF!B29="","",IGRF!B29)</f>
        <v>84</v>
      </c>
      <c r="R34" s="51"/>
      <c r="S34" s="52"/>
      <c r="T34" s="52"/>
      <c r="U34" s="41"/>
      <c r="V34" s="531"/>
      <c r="W34" s="41"/>
      <c r="X34" s="52"/>
      <c r="Y34" s="52"/>
      <c r="Z34" s="52"/>
      <c r="AA34" s="41"/>
      <c r="AB34" s="41"/>
      <c r="AC34" s="53"/>
      <c r="AE34" s="54">
        <v>31</v>
      </c>
      <c r="AF34" s="54">
        <v>31</v>
      </c>
      <c r="AH34" s="648" t="str">
        <f>IF(IGRF!I29="","",IGRF!I29)</f>
        <v>911</v>
      </c>
    </row>
    <row r="35" spans="1:34" ht="24" customHeight="1" x14ac:dyDescent="0.45">
      <c r="A35" s="55"/>
      <c r="B35" s="56"/>
      <c r="C35" s="56"/>
      <c r="D35" s="26"/>
      <c r="E35" s="532"/>
      <c r="F35" s="26"/>
      <c r="G35" s="56"/>
      <c r="H35" s="56"/>
      <c r="I35" s="56"/>
      <c r="J35" s="26"/>
      <c r="K35" s="26"/>
      <c r="L35" s="57"/>
      <c r="N35" s="54">
        <v>32</v>
      </c>
      <c r="O35" s="54">
        <v>32</v>
      </c>
      <c r="Q35" s="649"/>
      <c r="R35" s="55"/>
      <c r="S35" s="56"/>
      <c r="T35" s="56"/>
      <c r="U35" s="26"/>
      <c r="V35" s="532"/>
      <c r="W35" s="26"/>
      <c r="X35" s="56"/>
      <c r="Y35" s="56"/>
      <c r="Z35" s="56"/>
      <c r="AA35" s="26"/>
      <c r="AB35" s="26"/>
      <c r="AC35" s="57"/>
      <c r="AE35" s="54">
        <v>32</v>
      </c>
      <c r="AF35" s="54">
        <v>32</v>
      </c>
      <c r="AH35" s="649"/>
    </row>
    <row r="36" spans="1:34" ht="24" customHeight="1" x14ac:dyDescent="0.45">
      <c r="A36" s="51"/>
      <c r="B36" s="52"/>
      <c r="C36" s="52"/>
      <c r="D36" s="41"/>
      <c r="E36" s="531"/>
      <c r="F36" s="41"/>
      <c r="G36" s="52"/>
      <c r="H36" s="52"/>
      <c r="I36" s="52"/>
      <c r="J36" s="41"/>
      <c r="K36" s="41"/>
      <c r="L36" s="53"/>
      <c r="N36" s="54">
        <v>33</v>
      </c>
      <c r="O36" s="54">
        <v>33</v>
      </c>
      <c r="Q36" s="648" t="str">
        <f>IF(IGRF!B30="","",IGRF!B30)</f>
        <v>86</v>
      </c>
      <c r="R36" s="51"/>
      <c r="S36" s="52"/>
      <c r="T36" s="52"/>
      <c r="U36" s="41"/>
      <c r="V36" s="531"/>
      <c r="W36" s="41"/>
      <c r="X36" s="52"/>
      <c r="Y36" s="52"/>
      <c r="Z36" s="52"/>
      <c r="AA36" s="41"/>
      <c r="AB36" s="41"/>
      <c r="AC36" s="53"/>
      <c r="AE36" s="54">
        <v>33</v>
      </c>
      <c r="AF36" s="54">
        <v>33</v>
      </c>
      <c r="AH36" s="648" t="str">
        <f>IF(IGRF!I30="","",IGRF!I30)</f>
        <v>94</v>
      </c>
    </row>
    <row r="37" spans="1:34" ht="24" customHeight="1" x14ac:dyDescent="0.45">
      <c r="A37" s="55"/>
      <c r="B37" s="56"/>
      <c r="C37" s="56"/>
      <c r="D37" s="26"/>
      <c r="E37" s="532"/>
      <c r="F37" s="26"/>
      <c r="G37" s="56"/>
      <c r="H37" s="56"/>
      <c r="I37" s="56"/>
      <c r="J37" s="26"/>
      <c r="K37" s="26"/>
      <c r="L37" s="57"/>
      <c r="N37" s="54">
        <v>34</v>
      </c>
      <c r="O37" s="54">
        <v>34</v>
      </c>
      <c r="Q37" s="649"/>
      <c r="R37" s="55"/>
      <c r="S37" s="56"/>
      <c r="T37" s="56"/>
      <c r="U37" s="26"/>
      <c r="V37" s="532"/>
      <c r="W37" s="26"/>
      <c r="X37" s="56"/>
      <c r="Y37" s="56"/>
      <c r="Z37" s="56"/>
      <c r="AA37" s="26"/>
      <c r="AB37" s="26"/>
      <c r="AC37" s="57"/>
      <c r="AE37" s="54">
        <v>34</v>
      </c>
      <c r="AF37" s="54">
        <v>34</v>
      </c>
      <c r="AH37" s="649"/>
    </row>
    <row r="38" spans="1:34" ht="24" customHeight="1" x14ac:dyDescent="0.45">
      <c r="A38" s="51"/>
      <c r="B38" s="52"/>
      <c r="C38" s="52"/>
      <c r="D38" s="41"/>
      <c r="E38" s="531"/>
      <c r="F38" s="41"/>
      <c r="G38" s="52"/>
      <c r="H38" s="52"/>
      <c r="I38" s="52"/>
      <c r="J38" s="41"/>
      <c r="K38" s="41"/>
      <c r="L38" s="53"/>
      <c r="N38" s="54">
        <v>35</v>
      </c>
      <c r="O38" s="54">
        <v>35</v>
      </c>
      <c r="Q38" s="648" t="str">
        <f>IF(IGRF!B31="","",IGRF!B31)</f>
        <v/>
      </c>
      <c r="R38" s="51"/>
      <c r="S38" s="52"/>
      <c r="T38" s="52"/>
      <c r="U38" s="41"/>
      <c r="V38" s="531"/>
      <c r="W38" s="41"/>
      <c r="X38" s="52"/>
      <c r="Y38" s="52"/>
      <c r="Z38" s="52"/>
      <c r="AA38" s="41"/>
      <c r="AB38" s="41"/>
      <c r="AC38" s="53"/>
      <c r="AE38" s="54">
        <v>35</v>
      </c>
      <c r="AF38" s="54">
        <v>35</v>
      </c>
      <c r="AH38" s="648" t="str">
        <f>IF(IGRF!I31="","",IGRF!I31)</f>
        <v/>
      </c>
    </row>
    <row r="39" spans="1:34" ht="24" customHeight="1" x14ac:dyDescent="0.45">
      <c r="A39" s="55"/>
      <c r="B39" s="56"/>
      <c r="C39" s="56"/>
      <c r="D39" s="26"/>
      <c r="E39" s="532"/>
      <c r="F39" s="26"/>
      <c r="G39" s="56"/>
      <c r="H39" s="56"/>
      <c r="I39" s="56"/>
      <c r="J39" s="26"/>
      <c r="K39" s="26"/>
      <c r="L39" s="57"/>
      <c r="N39" s="54">
        <v>36</v>
      </c>
      <c r="O39" s="54">
        <v>36</v>
      </c>
      <c r="Q39" s="649"/>
      <c r="R39" s="55"/>
      <c r="S39" s="56"/>
      <c r="T39" s="56"/>
      <c r="U39" s="26"/>
      <c r="V39" s="532"/>
      <c r="W39" s="26"/>
      <c r="X39" s="56"/>
      <c r="Y39" s="56"/>
      <c r="Z39" s="56"/>
      <c r="AA39" s="26"/>
      <c r="AB39" s="26"/>
      <c r="AC39" s="57"/>
      <c r="AE39" s="54">
        <v>36</v>
      </c>
      <c r="AF39" s="54">
        <v>36</v>
      </c>
      <c r="AH39" s="649"/>
    </row>
    <row r="40" spans="1:34" ht="24" customHeight="1" x14ac:dyDescent="0.45">
      <c r="A40" s="51"/>
      <c r="B40" s="52"/>
      <c r="C40" s="52"/>
      <c r="D40" s="41"/>
      <c r="E40" s="531"/>
      <c r="F40" s="41"/>
      <c r="G40" s="52"/>
      <c r="H40" s="52"/>
      <c r="I40" s="52"/>
      <c r="J40" s="41"/>
      <c r="K40" s="41"/>
      <c r="L40" s="53"/>
      <c r="N40" s="54">
        <v>37</v>
      </c>
      <c r="O40" s="54">
        <v>37</v>
      </c>
      <c r="Q40" s="648" t="str">
        <f>IF(IGRF!B32="","",IGRF!B32)</f>
        <v/>
      </c>
      <c r="R40" s="51"/>
      <c r="S40" s="52"/>
      <c r="T40" s="52"/>
      <c r="U40" s="41"/>
      <c r="V40" s="531"/>
      <c r="W40" s="41"/>
      <c r="X40" s="52"/>
      <c r="Y40" s="52"/>
      <c r="Z40" s="52"/>
      <c r="AA40" s="41"/>
      <c r="AB40" s="41"/>
      <c r="AC40" s="53"/>
      <c r="AE40" s="54">
        <v>37</v>
      </c>
      <c r="AF40" s="54">
        <v>37</v>
      </c>
      <c r="AH40" s="648" t="str">
        <f>IF(IGRF!I32="","",IGRF!I32)</f>
        <v/>
      </c>
    </row>
    <row r="41" spans="1:34" ht="24" customHeight="1" x14ac:dyDescent="0.45">
      <c r="A41" s="55"/>
      <c r="B41" s="56"/>
      <c r="C41" s="56"/>
      <c r="D41" s="26"/>
      <c r="E41" s="532"/>
      <c r="F41" s="26"/>
      <c r="G41" s="56"/>
      <c r="H41" s="56"/>
      <c r="I41" s="56"/>
      <c r="J41" s="26"/>
      <c r="K41" s="26"/>
      <c r="L41" s="57"/>
      <c r="N41" s="54">
        <v>38</v>
      </c>
      <c r="O41" s="54">
        <v>38</v>
      </c>
      <c r="Q41" s="649"/>
      <c r="R41" s="55"/>
      <c r="S41" s="56"/>
      <c r="T41" s="56"/>
      <c r="U41" s="26"/>
      <c r="V41" s="532"/>
      <c r="W41" s="26"/>
      <c r="X41" s="56"/>
      <c r="Y41" s="56"/>
      <c r="Z41" s="56"/>
      <c r="AA41" s="26"/>
      <c r="AB41" s="26"/>
      <c r="AC41" s="57"/>
      <c r="AE41" s="54">
        <v>38</v>
      </c>
      <c r="AF41" s="54">
        <v>38</v>
      </c>
      <c r="AH41" s="649"/>
    </row>
    <row r="42" spans="1:34" ht="24" customHeight="1" x14ac:dyDescent="0.45">
      <c r="A42" s="51"/>
      <c r="B42" s="52"/>
      <c r="C42" s="52"/>
      <c r="D42" s="41"/>
      <c r="E42" s="531"/>
      <c r="F42" s="41"/>
      <c r="G42" s="52"/>
      <c r="H42" s="52"/>
      <c r="I42" s="52"/>
      <c r="J42" s="41"/>
      <c r="K42" s="41"/>
      <c r="L42" s="53"/>
      <c r="N42" s="20"/>
      <c r="O42" s="20"/>
      <c r="Q42" s="648" t="str">
        <f>IF(IGRF!B33="","",IGRF!B33)</f>
        <v/>
      </c>
      <c r="R42" s="51"/>
      <c r="S42" s="52"/>
      <c r="T42" s="52"/>
      <c r="U42" s="41"/>
      <c r="V42" s="531"/>
      <c r="W42" s="41"/>
      <c r="X42" s="52"/>
      <c r="Y42" s="52"/>
      <c r="Z42" s="52"/>
      <c r="AA42" s="41"/>
      <c r="AB42" s="41"/>
      <c r="AC42" s="53"/>
      <c r="AE42" s="20"/>
      <c r="AF42" s="20"/>
      <c r="AH42" s="648" t="str">
        <f>IF(IGRF!I33="","",IGRF!I33)</f>
        <v/>
      </c>
    </row>
    <row r="43" spans="1:34" ht="24" customHeight="1" thickBot="1" x14ac:dyDescent="0.5">
      <c r="A43" s="471"/>
      <c r="B43" s="472"/>
      <c r="C43" s="472"/>
      <c r="D43" s="473"/>
      <c r="E43" s="533"/>
      <c r="F43" s="473"/>
      <c r="G43" s="472"/>
      <c r="H43" s="472"/>
      <c r="I43" s="472"/>
      <c r="J43" s="473"/>
      <c r="K43" s="473"/>
      <c r="L43" s="474"/>
      <c r="M43" s="32"/>
      <c r="N43" s="20"/>
      <c r="O43" s="20"/>
      <c r="Q43" s="650"/>
      <c r="R43" s="471"/>
      <c r="S43" s="472"/>
      <c r="T43" s="472"/>
      <c r="U43" s="473"/>
      <c r="V43" s="533"/>
      <c r="W43" s="473"/>
      <c r="X43" s="472"/>
      <c r="Y43" s="472"/>
      <c r="Z43" s="472"/>
      <c r="AA43" s="473"/>
      <c r="AB43" s="473"/>
      <c r="AC43" s="474"/>
      <c r="AE43" s="20"/>
      <c r="AF43" s="20"/>
      <c r="AH43" s="651"/>
    </row>
    <row r="44" spans="1:34" ht="30" customHeight="1" x14ac:dyDescent="0.45">
      <c r="A44" s="1138" t="str">
        <f>A1</f>
        <v>Black Rose Rollers / All Stars</v>
      </c>
      <c r="B44" s="1138"/>
      <c r="C44" s="1138"/>
      <c r="D44" s="1138"/>
      <c r="E44" s="1138"/>
      <c r="F44" s="1138"/>
      <c r="G44" s="1138"/>
      <c r="H44" s="1141" t="str">
        <f>H1</f>
        <v>Black</v>
      </c>
      <c r="I44" s="1141"/>
      <c r="J44" s="1151">
        <f>IF(ISBLANK(IGRF!$B$7), "", IGRF!$B$7)</f>
        <v>45144</v>
      </c>
      <c r="K44" s="1151"/>
      <c r="L44" s="1143" t="s">
        <v>532</v>
      </c>
      <c r="M44" s="1143"/>
      <c r="N44" s="1143"/>
      <c r="O44" s="1143"/>
      <c r="P44" s="1143"/>
      <c r="Q44" s="1143"/>
      <c r="R44" s="1138" t="str">
        <f>R1</f>
        <v>Steel City Roller Derby / Steel Hurtin'</v>
      </c>
      <c r="S44" s="1138"/>
      <c r="T44" s="1138"/>
      <c r="U44" s="1138"/>
      <c r="V44" s="1138"/>
      <c r="W44" s="1138"/>
      <c r="X44" s="1138"/>
      <c r="Y44" s="1141" t="str">
        <f>Y1</f>
        <v>Yellow</v>
      </c>
      <c r="Z44" s="1141"/>
      <c r="AA44" s="1142">
        <f>IF(ISBLANK(IGRF!$B$7), "", IGRF!$B$7)</f>
        <v>45144</v>
      </c>
      <c r="AB44" s="1142"/>
      <c r="AC44" s="1143" t="s">
        <v>531</v>
      </c>
      <c r="AD44" s="1143"/>
      <c r="AE44" s="1143"/>
      <c r="AF44" s="1143"/>
      <c r="AG44" s="1143"/>
      <c r="AH44" s="1143"/>
    </row>
    <row r="45" spans="1:34" ht="11.25" customHeight="1" thickBot="1" x14ac:dyDescent="0.35">
      <c r="A45" s="1139"/>
      <c r="B45" s="1139"/>
      <c r="C45" s="1140"/>
      <c r="D45" s="1139"/>
      <c r="E45" s="1139"/>
      <c r="F45" s="1139"/>
      <c r="G45" s="1139"/>
      <c r="H45" s="1144" t="s">
        <v>181</v>
      </c>
      <c r="I45" s="1144"/>
      <c r="J45" s="1152" t="s">
        <v>184</v>
      </c>
      <c r="K45" s="1152"/>
      <c r="L45" s="1146" t="s">
        <v>178</v>
      </c>
      <c r="M45" s="1146"/>
      <c r="N45" s="1146"/>
      <c r="O45" s="1146"/>
      <c r="P45" s="1146"/>
      <c r="Q45" s="130" t="str">
        <f>Q2</f>
        <v/>
      </c>
      <c r="R45" s="1139"/>
      <c r="S45" s="1139"/>
      <c r="T45" s="1140"/>
      <c r="U45" s="1139"/>
      <c r="V45" s="1139"/>
      <c r="W45" s="1139"/>
      <c r="X45" s="1139"/>
      <c r="Y45" s="1144" t="s">
        <v>181</v>
      </c>
      <c r="Z45" s="1144"/>
      <c r="AA45" s="1145" t="s">
        <v>184</v>
      </c>
      <c r="AB45" s="1145"/>
      <c r="AC45" s="1146" t="s">
        <v>178</v>
      </c>
      <c r="AD45" s="1146"/>
      <c r="AE45" s="1146"/>
      <c r="AF45" s="1146"/>
      <c r="AG45" s="1146"/>
      <c r="AH45" s="130" t="str">
        <f>Q2</f>
        <v/>
      </c>
    </row>
    <row r="46" spans="1:34" s="20" customFormat="1" ht="25.5" customHeight="1" thickBot="1" x14ac:dyDescent="0.3">
      <c r="A46" s="48" t="s">
        <v>169</v>
      </c>
      <c r="B46" s="49" t="s">
        <v>4</v>
      </c>
      <c r="C46" s="461" t="s">
        <v>312</v>
      </c>
      <c r="D46" s="49" t="s">
        <v>55</v>
      </c>
      <c r="E46" s="49" t="s">
        <v>140</v>
      </c>
      <c r="F46" s="49" t="s">
        <v>0</v>
      </c>
      <c r="G46" s="49" t="s">
        <v>1</v>
      </c>
      <c r="H46" s="49" t="s">
        <v>2</v>
      </c>
      <c r="I46" s="49" t="s">
        <v>3</v>
      </c>
      <c r="J46" s="1148" t="s">
        <v>467</v>
      </c>
      <c r="K46" s="1148"/>
      <c r="L46" s="1149"/>
      <c r="N46" s="1150" t="s">
        <v>4</v>
      </c>
      <c r="O46" s="1150"/>
      <c r="Q46" s="50" t="str">
        <f>Q3</f>
        <v>Total Penalties</v>
      </c>
      <c r="R46" s="48" t="s">
        <v>169</v>
      </c>
      <c r="S46" s="49" t="s">
        <v>4</v>
      </c>
      <c r="T46" s="461" t="s">
        <v>312</v>
      </c>
      <c r="U46" s="49" t="s">
        <v>55</v>
      </c>
      <c r="V46" s="49" t="s">
        <v>140</v>
      </c>
      <c r="W46" s="49" t="s">
        <v>0</v>
      </c>
      <c r="X46" s="49" t="s">
        <v>1</v>
      </c>
      <c r="Y46" s="49" t="s">
        <v>2</v>
      </c>
      <c r="Z46" s="49" t="s">
        <v>3</v>
      </c>
      <c r="AA46" s="1148" t="s">
        <v>467</v>
      </c>
      <c r="AB46" s="1148"/>
      <c r="AC46" s="1149"/>
      <c r="AE46" s="1150" t="s">
        <v>4</v>
      </c>
      <c r="AF46" s="1150"/>
      <c r="AH46" s="50" t="str">
        <f>AH3</f>
        <v>Total Penalties</v>
      </c>
    </row>
    <row r="47" spans="1:34" ht="24" customHeight="1" x14ac:dyDescent="0.45">
      <c r="A47" s="51"/>
      <c r="B47" s="52"/>
      <c r="C47" s="52"/>
      <c r="D47" s="41"/>
      <c r="E47" s="531"/>
      <c r="F47" s="41"/>
      <c r="G47" s="52"/>
      <c r="H47" s="52"/>
      <c r="I47" s="52"/>
      <c r="J47" s="41"/>
      <c r="K47" s="41"/>
      <c r="L47" s="53"/>
      <c r="N47" s="54">
        <v>1</v>
      </c>
      <c r="O47" s="54">
        <f t="shared" ref="O47:O71" si="4">N47</f>
        <v>1</v>
      </c>
      <c r="Q47" s="648" t="str">
        <f>Q4</f>
        <v>101</v>
      </c>
      <c r="R47" s="51"/>
      <c r="S47" s="52"/>
      <c r="T47" s="52"/>
      <c r="U47" s="41"/>
      <c r="V47" s="531"/>
      <c r="W47" s="41"/>
      <c r="X47" s="52"/>
      <c r="Y47" s="52"/>
      <c r="Z47" s="52"/>
      <c r="AA47" s="41"/>
      <c r="AB47" s="41"/>
      <c r="AC47" s="53"/>
      <c r="AE47" s="54">
        <v>1</v>
      </c>
      <c r="AF47" s="54">
        <f t="shared" ref="AF47:AF71" si="5">AE47</f>
        <v>1</v>
      </c>
      <c r="AH47" s="648" t="str">
        <f>AH4</f>
        <v>12</v>
      </c>
    </row>
    <row r="48" spans="1:34" ht="24" customHeight="1" x14ac:dyDescent="0.45">
      <c r="A48" s="55"/>
      <c r="B48" s="56"/>
      <c r="C48" s="56"/>
      <c r="D48" s="26"/>
      <c r="E48" s="532"/>
      <c r="F48" s="26"/>
      <c r="G48" s="56"/>
      <c r="H48" s="56"/>
      <c r="I48" s="56"/>
      <c r="J48" s="26"/>
      <c r="K48" s="26"/>
      <c r="L48" s="57"/>
      <c r="N48" s="54">
        <f t="shared" ref="N48:N71" si="6">N47+1</f>
        <v>2</v>
      </c>
      <c r="O48" s="54">
        <f t="shared" si="4"/>
        <v>2</v>
      </c>
      <c r="Q48" s="649"/>
      <c r="R48" s="55"/>
      <c r="S48" s="56"/>
      <c r="T48" s="56"/>
      <c r="U48" s="26"/>
      <c r="V48" s="532"/>
      <c r="W48" s="26"/>
      <c r="X48" s="56"/>
      <c r="Y48" s="56"/>
      <c r="Z48" s="56"/>
      <c r="AA48" s="26"/>
      <c r="AB48" s="26"/>
      <c r="AC48" s="57"/>
      <c r="AE48" s="54">
        <f t="shared" ref="AE48:AE71" si="7">AE47+1</f>
        <v>2</v>
      </c>
      <c r="AF48" s="54">
        <f t="shared" si="5"/>
        <v>2</v>
      </c>
      <c r="AH48" s="649"/>
    </row>
    <row r="49" spans="1:34" ht="24" customHeight="1" x14ac:dyDescent="0.45">
      <c r="A49" s="51"/>
      <c r="B49" s="52"/>
      <c r="C49" s="52"/>
      <c r="D49" s="41"/>
      <c r="E49" s="531"/>
      <c r="F49" s="41"/>
      <c r="G49" s="52"/>
      <c r="H49" s="52"/>
      <c r="I49" s="52"/>
      <c r="J49" s="41"/>
      <c r="K49" s="41"/>
      <c r="L49" s="53"/>
      <c r="N49" s="54">
        <f t="shared" si="6"/>
        <v>3</v>
      </c>
      <c r="O49" s="54">
        <f t="shared" si="4"/>
        <v>3</v>
      </c>
      <c r="Q49" s="648" t="str">
        <f>Q6</f>
        <v>123</v>
      </c>
      <c r="R49" s="51"/>
      <c r="S49" s="52"/>
      <c r="T49" s="52"/>
      <c r="U49" s="41"/>
      <c r="V49" s="531"/>
      <c r="W49" s="41"/>
      <c r="X49" s="52"/>
      <c r="Y49" s="52"/>
      <c r="Z49" s="52"/>
      <c r="AA49" s="41"/>
      <c r="AB49" s="41"/>
      <c r="AC49" s="53"/>
      <c r="AE49" s="54">
        <f t="shared" si="7"/>
        <v>3</v>
      </c>
      <c r="AF49" s="54">
        <f t="shared" si="5"/>
        <v>3</v>
      </c>
      <c r="AH49" s="648" t="str">
        <f>AH6</f>
        <v>16</v>
      </c>
    </row>
    <row r="50" spans="1:34" ht="24" customHeight="1" x14ac:dyDescent="0.45">
      <c r="A50" s="55"/>
      <c r="B50" s="56"/>
      <c r="C50" s="56"/>
      <c r="D50" s="26"/>
      <c r="E50" s="532"/>
      <c r="F50" s="26"/>
      <c r="G50" s="56"/>
      <c r="H50" s="56"/>
      <c r="I50" s="56"/>
      <c r="J50" s="26"/>
      <c r="K50" s="26"/>
      <c r="L50" s="57"/>
      <c r="N50" s="54">
        <f t="shared" si="6"/>
        <v>4</v>
      </c>
      <c r="O50" s="54">
        <f t="shared" si="4"/>
        <v>4</v>
      </c>
      <c r="Q50" s="649"/>
      <c r="R50" s="55"/>
      <c r="S50" s="56"/>
      <c r="T50" s="56"/>
      <c r="U50" s="26"/>
      <c r="V50" s="532"/>
      <c r="W50" s="26"/>
      <c r="X50" s="56"/>
      <c r="Y50" s="56"/>
      <c r="Z50" s="56"/>
      <c r="AA50" s="26"/>
      <c r="AB50" s="26"/>
      <c r="AC50" s="57"/>
      <c r="AE50" s="54">
        <f t="shared" si="7"/>
        <v>4</v>
      </c>
      <c r="AF50" s="54">
        <f t="shared" si="5"/>
        <v>4</v>
      </c>
      <c r="AH50" s="649"/>
    </row>
    <row r="51" spans="1:34" ht="24" customHeight="1" x14ac:dyDescent="0.45">
      <c r="A51" s="51"/>
      <c r="B51" s="52"/>
      <c r="C51" s="52"/>
      <c r="D51" s="41"/>
      <c r="E51" s="531"/>
      <c r="F51" s="41"/>
      <c r="G51" s="52"/>
      <c r="H51" s="52"/>
      <c r="I51" s="52"/>
      <c r="J51" s="41"/>
      <c r="K51" s="41"/>
      <c r="L51" s="53"/>
      <c r="N51" s="54">
        <f t="shared" si="6"/>
        <v>5</v>
      </c>
      <c r="O51" s="54">
        <f t="shared" si="4"/>
        <v>5</v>
      </c>
      <c r="Q51" s="648" t="str">
        <f>Q8</f>
        <v>1760</v>
      </c>
      <c r="R51" s="51"/>
      <c r="S51" s="52"/>
      <c r="T51" s="52"/>
      <c r="U51" s="41"/>
      <c r="V51" s="531"/>
      <c r="W51" s="41"/>
      <c r="X51" s="52"/>
      <c r="Y51" s="52"/>
      <c r="Z51" s="52"/>
      <c r="AA51" s="41"/>
      <c r="AB51" s="41"/>
      <c r="AC51" s="53"/>
      <c r="AE51" s="54">
        <f t="shared" si="7"/>
        <v>5</v>
      </c>
      <c r="AF51" s="54">
        <f t="shared" si="5"/>
        <v>5</v>
      </c>
      <c r="AH51" s="648" t="str">
        <f>AH8</f>
        <v>17</v>
      </c>
    </row>
    <row r="52" spans="1:34" ht="24" customHeight="1" x14ac:dyDescent="0.45">
      <c r="A52" s="55"/>
      <c r="B52" s="56"/>
      <c r="C52" s="56"/>
      <c r="D52" s="26"/>
      <c r="E52" s="532"/>
      <c r="F52" s="26"/>
      <c r="G52" s="56"/>
      <c r="H52" s="56"/>
      <c r="I52" s="56"/>
      <c r="J52" s="26"/>
      <c r="K52" s="26"/>
      <c r="L52" s="57"/>
      <c r="N52" s="54">
        <f t="shared" si="6"/>
        <v>6</v>
      </c>
      <c r="O52" s="54">
        <f t="shared" si="4"/>
        <v>6</v>
      </c>
      <c r="Q52" s="649"/>
      <c r="R52" s="55"/>
      <c r="S52" s="56"/>
      <c r="T52" s="56"/>
      <c r="U52" s="26"/>
      <c r="V52" s="532"/>
      <c r="W52" s="26"/>
      <c r="X52" s="56"/>
      <c r="Y52" s="56"/>
      <c r="Z52" s="56"/>
      <c r="AA52" s="26"/>
      <c r="AB52" s="26"/>
      <c r="AC52" s="57"/>
      <c r="AE52" s="54">
        <f t="shared" si="7"/>
        <v>6</v>
      </c>
      <c r="AF52" s="54">
        <f t="shared" si="5"/>
        <v>6</v>
      </c>
      <c r="AH52" s="649"/>
    </row>
    <row r="53" spans="1:34" ht="24" customHeight="1" x14ac:dyDescent="0.45">
      <c r="A53" s="51"/>
      <c r="B53" s="52"/>
      <c r="C53" s="52"/>
      <c r="D53" s="41"/>
      <c r="E53" s="531"/>
      <c r="F53" s="41"/>
      <c r="G53" s="52"/>
      <c r="H53" s="52"/>
      <c r="I53" s="52"/>
      <c r="J53" s="41"/>
      <c r="K53" s="41"/>
      <c r="L53" s="53"/>
      <c r="N53" s="54">
        <f t="shared" si="6"/>
        <v>7</v>
      </c>
      <c r="O53" s="54">
        <f t="shared" si="4"/>
        <v>7</v>
      </c>
      <c r="Q53" s="648" t="str">
        <f>Q10</f>
        <v>202</v>
      </c>
      <c r="R53" s="51"/>
      <c r="S53" s="52"/>
      <c r="T53" s="52"/>
      <c r="U53" s="41"/>
      <c r="V53" s="531"/>
      <c r="W53" s="41"/>
      <c r="X53" s="52"/>
      <c r="Y53" s="52"/>
      <c r="Z53" s="52"/>
      <c r="AA53" s="41"/>
      <c r="AB53" s="41"/>
      <c r="AC53" s="53"/>
      <c r="AE53" s="54">
        <f t="shared" si="7"/>
        <v>7</v>
      </c>
      <c r="AF53" s="54">
        <f t="shared" si="5"/>
        <v>7</v>
      </c>
      <c r="AH53" s="648" t="str">
        <f>AH10</f>
        <v>2</v>
      </c>
    </row>
    <row r="54" spans="1:34" ht="24" customHeight="1" x14ac:dyDescent="0.45">
      <c r="A54" s="55"/>
      <c r="B54" s="56"/>
      <c r="C54" s="56"/>
      <c r="D54" s="26"/>
      <c r="E54" s="532"/>
      <c r="F54" s="26"/>
      <c r="G54" s="56"/>
      <c r="H54" s="56"/>
      <c r="I54" s="56"/>
      <c r="J54" s="26"/>
      <c r="K54" s="26"/>
      <c r="L54" s="57"/>
      <c r="N54" s="54">
        <f t="shared" si="6"/>
        <v>8</v>
      </c>
      <c r="O54" s="54">
        <f t="shared" si="4"/>
        <v>8</v>
      </c>
      <c r="Q54" s="649"/>
      <c r="R54" s="55"/>
      <c r="S54" s="56"/>
      <c r="T54" s="56"/>
      <c r="U54" s="26"/>
      <c r="V54" s="532"/>
      <c r="W54" s="26"/>
      <c r="X54" s="56"/>
      <c r="Y54" s="56"/>
      <c r="Z54" s="56"/>
      <c r="AA54" s="26"/>
      <c r="AB54" s="26"/>
      <c r="AC54" s="57"/>
      <c r="AE54" s="54">
        <f t="shared" si="7"/>
        <v>8</v>
      </c>
      <c r="AF54" s="54">
        <f t="shared" si="5"/>
        <v>8</v>
      </c>
      <c r="AH54" s="649"/>
    </row>
    <row r="55" spans="1:34" ht="24" customHeight="1" x14ac:dyDescent="0.45">
      <c r="A55" s="51"/>
      <c r="B55" s="52"/>
      <c r="C55" s="52"/>
      <c r="D55" s="41"/>
      <c r="E55" s="531"/>
      <c r="F55" s="41"/>
      <c r="G55" s="52"/>
      <c r="H55" s="52"/>
      <c r="I55" s="52"/>
      <c r="J55" s="41"/>
      <c r="K55" s="41"/>
      <c r="L55" s="53"/>
      <c r="N55" s="54">
        <f t="shared" si="6"/>
        <v>9</v>
      </c>
      <c r="O55" s="54">
        <f t="shared" si="4"/>
        <v>9</v>
      </c>
      <c r="Q55" s="648" t="str">
        <f>Q12</f>
        <v>22</v>
      </c>
      <c r="R55" s="51"/>
      <c r="S55" s="52"/>
      <c r="T55" s="52"/>
      <c r="U55" s="41"/>
      <c r="V55" s="531"/>
      <c r="W55" s="41"/>
      <c r="X55" s="52"/>
      <c r="Y55" s="52"/>
      <c r="Z55" s="52"/>
      <c r="AA55" s="41"/>
      <c r="AB55" s="41"/>
      <c r="AC55" s="53"/>
      <c r="AE55" s="54">
        <f t="shared" si="7"/>
        <v>9</v>
      </c>
      <c r="AF55" s="54">
        <f t="shared" si="5"/>
        <v>9</v>
      </c>
      <c r="AH55" s="648" t="str">
        <f>AH12</f>
        <v>219</v>
      </c>
    </row>
    <row r="56" spans="1:34" ht="24" customHeight="1" x14ac:dyDescent="0.45">
      <c r="A56" s="55"/>
      <c r="B56" s="56"/>
      <c r="C56" s="56"/>
      <c r="D56" s="26"/>
      <c r="E56" s="532"/>
      <c r="F56" s="26"/>
      <c r="G56" s="56"/>
      <c r="H56" s="56"/>
      <c r="I56" s="56"/>
      <c r="J56" s="26"/>
      <c r="K56" s="26"/>
      <c r="L56" s="57"/>
      <c r="N56" s="54">
        <f t="shared" si="6"/>
        <v>10</v>
      </c>
      <c r="O56" s="54">
        <f t="shared" si="4"/>
        <v>10</v>
      </c>
      <c r="Q56" s="649"/>
      <c r="R56" s="55"/>
      <c r="S56" s="56"/>
      <c r="T56" s="56"/>
      <c r="U56" s="26"/>
      <c r="V56" s="532"/>
      <c r="W56" s="26"/>
      <c r="X56" s="56"/>
      <c r="Y56" s="56"/>
      <c r="Z56" s="56"/>
      <c r="AA56" s="26"/>
      <c r="AB56" s="26"/>
      <c r="AC56" s="57"/>
      <c r="AE56" s="54">
        <f t="shared" si="7"/>
        <v>10</v>
      </c>
      <c r="AF56" s="54">
        <f t="shared" si="5"/>
        <v>10</v>
      </c>
      <c r="AH56" s="649"/>
    </row>
    <row r="57" spans="1:34" ht="24" customHeight="1" x14ac:dyDescent="0.45">
      <c r="A57" s="51"/>
      <c r="B57" s="52"/>
      <c r="C57" s="52"/>
      <c r="D57" s="41"/>
      <c r="E57" s="531"/>
      <c r="F57" s="41"/>
      <c r="G57" s="52"/>
      <c r="H57" s="52"/>
      <c r="I57" s="52"/>
      <c r="J57" s="41"/>
      <c r="K57" s="41"/>
      <c r="L57" s="53"/>
      <c r="N57" s="54">
        <f t="shared" si="6"/>
        <v>11</v>
      </c>
      <c r="O57" s="54">
        <f t="shared" si="4"/>
        <v>11</v>
      </c>
      <c r="Q57" s="648" t="str">
        <f>Q14</f>
        <v>221*</v>
      </c>
      <c r="R57" s="51"/>
      <c r="S57" s="52"/>
      <c r="T57" s="52"/>
      <c r="U57" s="41"/>
      <c r="V57" s="531"/>
      <c r="W57" s="41"/>
      <c r="X57" s="52"/>
      <c r="Y57" s="52"/>
      <c r="Z57" s="52"/>
      <c r="AA57" s="41"/>
      <c r="AB57" s="41"/>
      <c r="AC57" s="53"/>
      <c r="AE57" s="54">
        <f t="shared" si="7"/>
        <v>11</v>
      </c>
      <c r="AF57" s="54">
        <f t="shared" si="5"/>
        <v>11</v>
      </c>
      <c r="AH57" s="648" t="str">
        <f>AH14</f>
        <v>22</v>
      </c>
    </row>
    <row r="58" spans="1:34" ht="24" customHeight="1" x14ac:dyDescent="0.45">
      <c r="A58" s="55"/>
      <c r="B58" s="56"/>
      <c r="C58" s="56"/>
      <c r="D58" s="26"/>
      <c r="E58" s="532"/>
      <c r="F58" s="26"/>
      <c r="G58" s="56"/>
      <c r="H58" s="56"/>
      <c r="I58" s="56"/>
      <c r="J58" s="26"/>
      <c r="K58" s="26"/>
      <c r="L58" s="57"/>
      <c r="N58" s="54">
        <f t="shared" si="6"/>
        <v>12</v>
      </c>
      <c r="O58" s="54">
        <f t="shared" si="4"/>
        <v>12</v>
      </c>
      <c r="Q58" s="649"/>
      <c r="R58" s="55"/>
      <c r="S58" s="56"/>
      <c r="T58" s="56"/>
      <c r="U58" s="26"/>
      <c r="V58" s="532"/>
      <c r="W58" s="26"/>
      <c r="X58" s="56"/>
      <c r="Y58" s="56"/>
      <c r="Z58" s="56"/>
      <c r="AA58" s="26"/>
      <c r="AB58" s="26"/>
      <c r="AC58" s="57"/>
      <c r="AE58" s="54">
        <f t="shared" si="7"/>
        <v>12</v>
      </c>
      <c r="AF58" s="54">
        <f t="shared" si="5"/>
        <v>12</v>
      </c>
      <c r="AH58" s="649"/>
    </row>
    <row r="59" spans="1:34" ht="24" customHeight="1" x14ac:dyDescent="0.45">
      <c r="A59" s="51"/>
      <c r="B59" s="52"/>
      <c r="C59" s="52"/>
      <c r="D59" s="41"/>
      <c r="E59" s="531"/>
      <c r="F59" s="41"/>
      <c r="G59" s="52"/>
      <c r="H59" s="52"/>
      <c r="I59" s="52"/>
      <c r="J59" s="41"/>
      <c r="K59" s="41"/>
      <c r="L59" s="53"/>
      <c r="N59" s="54">
        <f t="shared" si="6"/>
        <v>13</v>
      </c>
      <c r="O59" s="54">
        <f t="shared" si="4"/>
        <v>13</v>
      </c>
      <c r="Q59" s="648" t="str">
        <f>Q16</f>
        <v>229</v>
      </c>
      <c r="R59" s="51"/>
      <c r="S59" s="52"/>
      <c r="T59" s="52"/>
      <c r="U59" s="41"/>
      <c r="V59" s="531"/>
      <c r="W59" s="41"/>
      <c r="X59" s="52"/>
      <c r="Y59" s="52"/>
      <c r="Z59" s="52"/>
      <c r="AA59" s="41"/>
      <c r="AB59" s="41"/>
      <c r="AC59" s="53"/>
      <c r="AE59" s="54">
        <f t="shared" si="7"/>
        <v>13</v>
      </c>
      <c r="AF59" s="54">
        <f t="shared" si="5"/>
        <v>13</v>
      </c>
      <c r="AH59" s="648" t="str">
        <f>AH16</f>
        <v>223</v>
      </c>
    </row>
    <row r="60" spans="1:34" ht="24" customHeight="1" x14ac:dyDescent="0.45">
      <c r="A60" s="55"/>
      <c r="B60" s="56"/>
      <c r="C60" s="56"/>
      <c r="D60" s="26"/>
      <c r="E60" s="532"/>
      <c r="F60" s="26"/>
      <c r="G60" s="56"/>
      <c r="H60" s="56"/>
      <c r="I60" s="56"/>
      <c r="J60" s="26"/>
      <c r="K60" s="26"/>
      <c r="L60" s="57"/>
      <c r="N60" s="54">
        <f t="shared" si="6"/>
        <v>14</v>
      </c>
      <c r="O60" s="54">
        <f t="shared" si="4"/>
        <v>14</v>
      </c>
      <c r="Q60" s="649"/>
      <c r="R60" s="55"/>
      <c r="S60" s="56"/>
      <c r="T60" s="56"/>
      <c r="U60" s="26"/>
      <c r="V60" s="532"/>
      <c r="W60" s="26"/>
      <c r="X60" s="56"/>
      <c r="Y60" s="56"/>
      <c r="Z60" s="56"/>
      <c r="AA60" s="26"/>
      <c r="AB60" s="26"/>
      <c r="AC60" s="57"/>
      <c r="AE60" s="54">
        <f t="shared" si="7"/>
        <v>14</v>
      </c>
      <c r="AF60" s="54">
        <f t="shared" si="5"/>
        <v>14</v>
      </c>
      <c r="AH60" s="649"/>
    </row>
    <row r="61" spans="1:34" ht="24" customHeight="1" x14ac:dyDescent="0.45">
      <c r="A61" s="51"/>
      <c r="B61" s="52"/>
      <c r="C61" s="52"/>
      <c r="D61" s="41"/>
      <c r="E61" s="531"/>
      <c r="F61" s="41"/>
      <c r="G61" s="52"/>
      <c r="H61" s="52"/>
      <c r="I61" s="52"/>
      <c r="J61" s="41"/>
      <c r="K61" s="41"/>
      <c r="L61" s="53"/>
      <c r="N61" s="54">
        <f t="shared" si="6"/>
        <v>15</v>
      </c>
      <c r="O61" s="54">
        <f t="shared" si="4"/>
        <v>15</v>
      </c>
      <c r="Q61" s="648" t="str">
        <f>Q18</f>
        <v>237</v>
      </c>
      <c r="R61" s="51"/>
      <c r="S61" s="52"/>
      <c r="T61" s="52"/>
      <c r="U61" s="41"/>
      <c r="V61" s="531"/>
      <c r="W61" s="41"/>
      <c r="X61" s="52"/>
      <c r="Y61" s="52"/>
      <c r="Z61" s="52"/>
      <c r="AA61" s="41"/>
      <c r="AB61" s="41"/>
      <c r="AC61" s="53"/>
      <c r="AE61" s="54">
        <f t="shared" si="7"/>
        <v>15</v>
      </c>
      <c r="AF61" s="54">
        <f t="shared" si="5"/>
        <v>15</v>
      </c>
      <c r="AH61" s="648" t="str">
        <f>AH18</f>
        <v>23</v>
      </c>
    </row>
    <row r="62" spans="1:34" ht="24" customHeight="1" x14ac:dyDescent="0.45">
      <c r="A62" s="55"/>
      <c r="B62" s="56"/>
      <c r="C62" s="56"/>
      <c r="D62" s="26"/>
      <c r="E62" s="532"/>
      <c r="F62" s="26"/>
      <c r="G62" s="56"/>
      <c r="H62" s="56"/>
      <c r="I62" s="56"/>
      <c r="J62" s="26"/>
      <c r="K62" s="26"/>
      <c r="L62" s="57"/>
      <c r="N62" s="54">
        <f t="shared" si="6"/>
        <v>16</v>
      </c>
      <c r="O62" s="54">
        <f t="shared" si="4"/>
        <v>16</v>
      </c>
      <c r="Q62" s="649"/>
      <c r="R62" s="55"/>
      <c r="S62" s="56"/>
      <c r="T62" s="56"/>
      <c r="U62" s="26"/>
      <c r="V62" s="532"/>
      <c r="W62" s="26"/>
      <c r="X62" s="56"/>
      <c r="Y62" s="56"/>
      <c r="Z62" s="56"/>
      <c r="AA62" s="26"/>
      <c r="AB62" s="26"/>
      <c r="AC62" s="57"/>
      <c r="AE62" s="54">
        <f t="shared" si="7"/>
        <v>16</v>
      </c>
      <c r="AF62" s="54">
        <f t="shared" si="5"/>
        <v>16</v>
      </c>
      <c r="AH62" s="649"/>
    </row>
    <row r="63" spans="1:34" ht="24" customHeight="1" x14ac:dyDescent="0.45">
      <c r="A63" s="51"/>
      <c r="B63" s="52"/>
      <c r="C63" s="52"/>
      <c r="D63" s="41"/>
      <c r="E63" s="531"/>
      <c r="F63" s="41"/>
      <c r="G63" s="52"/>
      <c r="H63" s="52"/>
      <c r="I63" s="52"/>
      <c r="J63" s="41"/>
      <c r="K63" s="41"/>
      <c r="L63" s="53"/>
      <c r="N63" s="54">
        <f t="shared" si="6"/>
        <v>17</v>
      </c>
      <c r="O63" s="54">
        <f t="shared" si="4"/>
        <v>17</v>
      </c>
      <c r="Q63" s="648" t="str">
        <f>Q20</f>
        <v>282*</v>
      </c>
      <c r="R63" s="51"/>
      <c r="S63" s="52"/>
      <c r="T63" s="52"/>
      <c r="U63" s="41"/>
      <c r="V63" s="531"/>
      <c r="W63" s="41"/>
      <c r="X63" s="52"/>
      <c r="Y63" s="52"/>
      <c r="Z63" s="52"/>
      <c r="AA63" s="41"/>
      <c r="AB63" s="41"/>
      <c r="AC63" s="53"/>
      <c r="AE63" s="54">
        <f t="shared" si="7"/>
        <v>17</v>
      </c>
      <c r="AF63" s="54">
        <f t="shared" si="5"/>
        <v>17</v>
      </c>
      <c r="AH63" s="648" t="str">
        <f>AH20</f>
        <v>25</v>
      </c>
    </row>
    <row r="64" spans="1:34" ht="24" customHeight="1" x14ac:dyDescent="0.45">
      <c r="A64" s="55"/>
      <c r="B64" s="56"/>
      <c r="C64" s="56"/>
      <c r="D64" s="26"/>
      <c r="E64" s="532"/>
      <c r="F64" s="26"/>
      <c r="G64" s="56"/>
      <c r="H64" s="56"/>
      <c r="I64" s="56"/>
      <c r="J64" s="26"/>
      <c r="K64" s="26"/>
      <c r="L64" s="57"/>
      <c r="N64" s="54">
        <f t="shared" si="6"/>
        <v>18</v>
      </c>
      <c r="O64" s="54">
        <f t="shared" si="4"/>
        <v>18</v>
      </c>
      <c r="Q64" s="649"/>
      <c r="R64" s="55"/>
      <c r="S64" s="56"/>
      <c r="T64" s="56"/>
      <c r="U64" s="26"/>
      <c r="V64" s="532"/>
      <c r="W64" s="26"/>
      <c r="X64" s="56"/>
      <c r="Y64" s="56"/>
      <c r="Z64" s="56"/>
      <c r="AA64" s="26"/>
      <c r="AB64" s="26"/>
      <c r="AC64" s="57"/>
      <c r="AE64" s="54">
        <f t="shared" si="7"/>
        <v>18</v>
      </c>
      <c r="AF64" s="54">
        <f t="shared" si="5"/>
        <v>18</v>
      </c>
      <c r="AH64" s="649"/>
    </row>
    <row r="65" spans="1:34" ht="24" customHeight="1" x14ac:dyDescent="0.45">
      <c r="A65" s="51"/>
      <c r="B65" s="52"/>
      <c r="C65" s="52"/>
      <c r="D65" s="41"/>
      <c r="E65" s="531"/>
      <c r="F65" s="41"/>
      <c r="G65" s="52"/>
      <c r="H65" s="52"/>
      <c r="I65" s="52"/>
      <c r="J65" s="41"/>
      <c r="K65" s="41"/>
      <c r="L65" s="53"/>
      <c r="N65" s="54">
        <f t="shared" si="6"/>
        <v>19</v>
      </c>
      <c r="O65" s="54">
        <f t="shared" si="4"/>
        <v>19</v>
      </c>
      <c r="Q65" s="648" t="str">
        <f>Q22</f>
        <v>337</v>
      </c>
      <c r="R65" s="51"/>
      <c r="S65" s="52"/>
      <c r="T65" s="52"/>
      <c r="U65" s="41"/>
      <c r="V65" s="531"/>
      <c r="W65" s="41"/>
      <c r="X65" s="52"/>
      <c r="Y65" s="52"/>
      <c r="Z65" s="52"/>
      <c r="AA65" s="41"/>
      <c r="AB65" s="41"/>
      <c r="AC65" s="53"/>
      <c r="AE65" s="54">
        <f t="shared" si="7"/>
        <v>19</v>
      </c>
      <c r="AF65" s="54">
        <f t="shared" si="5"/>
        <v>19</v>
      </c>
      <c r="AH65" s="648" t="str">
        <f>AH22</f>
        <v>26</v>
      </c>
    </row>
    <row r="66" spans="1:34" ht="24" customHeight="1" x14ac:dyDescent="0.45">
      <c r="A66" s="55"/>
      <c r="B66" s="56"/>
      <c r="C66" s="56"/>
      <c r="D66" s="26"/>
      <c r="E66" s="532"/>
      <c r="F66" s="26"/>
      <c r="G66" s="56"/>
      <c r="H66" s="56"/>
      <c r="I66" s="56"/>
      <c r="J66" s="26"/>
      <c r="K66" s="26"/>
      <c r="L66" s="57"/>
      <c r="N66" s="54">
        <f t="shared" si="6"/>
        <v>20</v>
      </c>
      <c r="O66" s="54">
        <f t="shared" si="4"/>
        <v>20</v>
      </c>
      <c r="Q66" s="649"/>
      <c r="R66" s="55"/>
      <c r="S66" s="56"/>
      <c r="T66" s="56"/>
      <c r="U66" s="26"/>
      <c r="V66" s="532"/>
      <c r="W66" s="26"/>
      <c r="X66" s="56"/>
      <c r="Y66" s="56"/>
      <c r="Z66" s="56"/>
      <c r="AA66" s="26"/>
      <c r="AB66" s="26"/>
      <c r="AC66" s="57"/>
      <c r="AE66" s="54">
        <f t="shared" si="7"/>
        <v>20</v>
      </c>
      <c r="AF66" s="54">
        <f t="shared" si="5"/>
        <v>20</v>
      </c>
      <c r="AH66" s="649"/>
    </row>
    <row r="67" spans="1:34" ht="24" customHeight="1" x14ac:dyDescent="0.45">
      <c r="A67" s="51"/>
      <c r="B67" s="52"/>
      <c r="C67" s="52"/>
      <c r="D67" s="41"/>
      <c r="E67" s="531"/>
      <c r="F67" s="41"/>
      <c r="G67" s="52"/>
      <c r="H67" s="52"/>
      <c r="I67" s="52"/>
      <c r="J67" s="41"/>
      <c r="K67" s="41"/>
      <c r="L67" s="53"/>
      <c r="N67" s="54">
        <f t="shared" si="6"/>
        <v>21</v>
      </c>
      <c r="O67" s="54">
        <f t="shared" si="4"/>
        <v>21</v>
      </c>
      <c r="Q67" s="648" t="str">
        <f>Q24</f>
        <v>352</v>
      </c>
      <c r="R67" s="51"/>
      <c r="S67" s="52"/>
      <c r="T67" s="52"/>
      <c r="U67" s="41"/>
      <c r="V67" s="531"/>
      <c r="W67" s="41"/>
      <c r="X67" s="52"/>
      <c r="Y67" s="52"/>
      <c r="Z67" s="52"/>
      <c r="AA67" s="41"/>
      <c r="AB67" s="41"/>
      <c r="AC67" s="53"/>
      <c r="AE67" s="54">
        <f t="shared" si="7"/>
        <v>21</v>
      </c>
      <c r="AF67" s="54">
        <f t="shared" si="5"/>
        <v>21</v>
      </c>
      <c r="AH67" s="648" t="str">
        <f>AH24</f>
        <v>49</v>
      </c>
    </row>
    <row r="68" spans="1:34" ht="24" customHeight="1" x14ac:dyDescent="0.45">
      <c r="A68" s="55"/>
      <c r="B68" s="56"/>
      <c r="C68" s="56"/>
      <c r="D68" s="26"/>
      <c r="E68" s="532"/>
      <c r="F68" s="26"/>
      <c r="G68" s="56"/>
      <c r="H68" s="56"/>
      <c r="I68" s="56"/>
      <c r="J68" s="26"/>
      <c r="K68" s="26"/>
      <c r="L68" s="57"/>
      <c r="N68" s="54">
        <f t="shared" si="6"/>
        <v>22</v>
      </c>
      <c r="O68" s="54">
        <f t="shared" si="4"/>
        <v>22</v>
      </c>
      <c r="Q68" s="649"/>
      <c r="R68" s="55"/>
      <c r="S68" s="56"/>
      <c r="T68" s="56"/>
      <c r="U68" s="26"/>
      <c r="V68" s="532"/>
      <c r="W68" s="26"/>
      <c r="X68" s="56"/>
      <c r="Y68" s="56"/>
      <c r="Z68" s="56"/>
      <c r="AA68" s="26"/>
      <c r="AB68" s="26"/>
      <c r="AC68" s="57"/>
      <c r="AE68" s="54">
        <f t="shared" si="7"/>
        <v>22</v>
      </c>
      <c r="AF68" s="54">
        <f t="shared" si="5"/>
        <v>22</v>
      </c>
      <c r="AH68" s="649"/>
    </row>
    <row r="69" spans="1:34" ht="24" customHeight="1" x14ac:dyDescent="0.45">
      <c r="A69" s="51"/>
      <c r="B69" s="52"/>
      <c r="C69" s="52"/>
      <c r="D69" s="41"/>
      <c r="E69" s="531"/>
      <c r="F69" s="41"/>
      <c r="G69" s="52"/>
      <c r="H69" s="52"/>
      <c r="I69" s="52"/>
      <c r="J69" s="41"/>
      <c r="K69" s="41"/>
      <c r="L69" s="53"/>
      <c r="N69" s="54">
        <f t="shared" si="6"/>
        <v>23</v>
      </c>
      <c r="O69" s="54">
        <f t="shared" si="4"/>
        <v>23</v>
      </c>
      <c r="Q69" s="648" t="str">
        <f>Q26</f>
        <v>36</v>
      </c>
      <c r="R69" s="51"/>
      <c r="S69" s="52"/>
      <c r="T69" s="52"/>
      <c r="U69" s="41"/>
      <c r="V69" s="531"/>
      <c r="W69" s="41"/>
      <c r="X69" s="52"/>
      <c r="Y69" s="52"/>
      <c r="Z69" s="52"/>
      <c r="AA69" s="41"/>
      <c r="AB69" s="41"/>
      <c r="AC69" s="53"/>
      <c r="AE69" s="54">
        <f t="shared" si="7"/>
        <v>23</v>
      </c>
      <c r="AF69" s="54">
        <f t="shared" si="5"/>
        <v>23</v>
      </c>
      <c r="AH69" s="648" t="str">
        <f>AH26</f>
        <v>78</v>
      </c>
    </row>
    <row r="70" spans="1:34" ht="24" customHeight="1" x14ac:dyDescent="0.45">
      <c r="A70" s="55"/>
      <c r="B70" s="56"/>
      <c r="C70" s="56"/>
      <c r="D70" s="26"/>
      <c r="E70" s="532"/>
      <c r="F70" s="26"/>
      <c r="G70" s="56"/>
      <c r="H70" s="56"/>
      <c r="I70" s="56"/>
      <c r="J70" s="26"/>
      <c r="K70" s="26"/>
      <c r="L70" s="57"/>
      <c r="N70" s="54">
        <f t="shared" si="6"/>
        <v>24</v>
      </c>
      <c r="O70" s="54">
        <f t="shared" si="4"/>
        <v>24</v>
      </c>
      <c r="Q70" s="649"/>
      <c r="R70" s="55"/>
      <c r="S70" s="56"/>
      <c r="T70" s="56"/>
      <c r="U70" s="26"/>
      <c r="V70" s="532"/>
      <c r="W70" s="26"/>
      <c r="X70" s="56"/>
      <c r="Y70" s="56"/>
      <c r="Z70" s="56"/>
      <c r="AA70" s="26"/>
      <c r="AB70" s="26"/>
      <c r="AC70" s="57"/>
      <c r="AE70" s="54">
        <f t="shared" si="7"/>
        <v>24</v>
      </c>
      <c r="AF70" s="54">
        <f t="shared" si="5"/>
        <v>24</v>
      </c>
      <c r="AH70" s="649"/>
    </row>
    <row r="71" spans="1:34" ht="24" customHeight="1" x14ac:dyDescent="0.45">
      <c r="A71" s="51"/>
      <c r="B71" s="52"/>
      <c r="C71" s="52"/>
      <c r="D71" s="41"/>
      <c r="E71" s="531"/>
      <c r="F71" s="41"/>
      <c r="G71" s="52"/>
      <c r="H71" s="52"/>
      <c r="I71" s="52"/>
      <c r="J71" s="41"/>
      <c r="K71" s="41"/>
      <c r="L71" s="53"/>
      <c r="N71" s="54">
        <f t="shared" si="6"/>
        <v>25</v>
      </c>
      <c r="O71" s="54">
        <f t="shared" si="4"/>
        <v>25</v>
      </c>
      <c r="Q71" s="648" t="str">
        <f>Q28</f>
        <v>64</v>
      </c>
      <c r="R71" s="51"/>
      <c r="S71" s="52"/>
      <c r="T71" s="52"/>
      <c r="U71" s="41"/>
      <c r="V71" s="531"/>
      <c r="W71" s="41"/>
      <c r="X71" s="52"/>
      <c r="Y71" s="52"/>
      <c r="Z71" s="52"/>
      <c r="AA71" s="41"/>
      <c r="AB71" s="41"/>
      <c r="AC71" s="53"/>
      <c r="AE71" s="54">
        <f t="shared" si="7"/>
        <v>25</v>
      </c>
      <c r="AF71" s="54">
        <f t="shared" si="5"/>
        <v>25</v>
      </c>
      <c r="AH71" s="648" t="str">
        <f>AH28</f>
        <v>8*</v>
      </c>
    </row>
    <row r="72" spans="1:34" ht="24" customHeight="1" x14ac:dyDescent="0.45">
      <c r="A72" s="55"/>
      <c r="B72" s="56"/>
      <c r="C72" s="56"/>
      <c r="D72" s="26"/>
      <c r="E72" s="532"/>
      <c r="F72" s="26"/>
      <c r="G72" s="56"/>
      <c r="H72" s="56"/>
      <c r="I72" s="56"/>
      <c r="J72" s="26"/>
      <c r="K72" s="26"/>
      <c r="L72" s="57"/>
      <c r="N72" s="54">
        <v>26</v>
      </c>
      <c r="O72" s="54">
        <v>26</v>
      </c>
      <c r="Q72" s="649"/>
      <c r="R72" s="55"/>
      <c r="S72" s="56"/>
      <c r="T72" s="56"/>
      <c r="U72" s="26"/>
      <c r="V72" s="532"/>
      <c r="W72" s="26"/>
      <c r="X72" s="56"/>
      <c r="Y72" s="56"/>
      <c r="Z72" s="56"/>
      <c r="AA72" s="26"/>
      <c r="AB72" s="26"/>
      <c r="AC72" s="57"/>
      <c r="AE72" s="54">
        <v>26</v>
      </c>
      <c r="AF72" s="54">
        <v>26</v>
      </c>
      <c r="AH72" s="649"/>
    </row>
    <row r="73" spans="1:34" ht="24" customHeight="1" x14ac:dyDescent="0.45">
      <c r="A73" s="51"/>
      <c r="B73" s="52"/>
      <c r="C73" s="52"/>
      <c r="D73" s="41"/>
      <c r="E73" s="531"/>
      <c r="F73" s="41"/>
      <c r="G73" s="52"/>
      <c r="H73" s="52"/>
      <c r="I73" s="52"/>
      <c r="J73" s="41"/>
      <c r="K73" s="41"/>
      <c r="L73" s="53"/>
      <c r="N73" s="54">
        <v>27</v>
      </c>
      <c r="O73" s="54">
        <v>27</v>
      </c>
      <c r="Q73" s="648" t="str">
        <f>Q30</f>
        <v>825</v>
      </c>
      <c r="R73" s="51"/>
      <c r="S73" s="52"/>
      <c r="T73" s="52"/>
      <c r="U73" s="41"/>
      <c r="V73" s="531"/>
      <c r="W73" s="41"/>
      <c r="X73" s="52"/>
      <c r="Y73" s="52"/>
      <c r="Z73" s="52"/>
      <c r="AA73" s="41"/>
      <c r="AB73" s="41"/>
      <c r="AC73" s="53"/>
      <c r="AE73" s="54">
        <v>27</v>
      </c>
      <c r="AF73" s="54">
        <v>27</v>
      </c>
      <c r="AH73" s="648" t="str">
        <f>AH30</f>
        <v>800</v>
      </c>
    </row>
    <row r="74" spans="1:34" ht="24" customHeight="1" x14ac:dyDescent="0.45">
      <c r="A74" s="55"/>
      <c r="B74" s="56"/>
      <c r="C74" s="56"/>
      <c r="D74" s="26"/>
      <c r="E74" s="532"/>
      <c r="F74" s="26"/>
      <c r="G74" s="56"/>
      <c r="H74" s="56"/>
      <c r="I74" s="56"/>
      <c r="J74" s="26"/>
      <c r="K74" s="26"/>
      <c r="L74" s="57"/>
      <c r="N74" s="54">
        <v>28</v>
      </c>
      <c r="O74" s="54">
        <v>28</v>
      </c>
      <c r="Q74" s="649"/>
      <c r="R74" s="55"/>
      <c r="S74" s="56"/>
      <c r="T74" s="56"/>
      <c r="U74" s="26"/>
      <c r="V74" s="532"/>
      <c r="W74" s="26"/>
      <c r="X74" s="56"/>
      <c r="Y74" s="56"/>
      <c r="Z74" s="56"/>
      <c r="AA74" s="26"/>
      <c r="AB74" s="26"/>
      <c r="AC74" s="57"/>
      <c r="AE74" s="54">
        <v>28</v>
      </c>
      <c r="AF74" s="54">
        <v>28</v>
      </c>
      <c r="AH74" s="649"/>
    </row>
    <row r="75" spans="1:34" ht="24" customHeight="1" x14ac:dyDescent="0.45">
      <c r="A75" s="51"/>
      <c r="B75" s="52"/>
      <c r="C75" s="52"/>
      <c r="D75" s="41"/>
      <c r="E75" s="531"/>
      <c r="F75" s="41"/>
      <c r="G75" s="52"/>
      <c r="H75" s="52"/>
      <c r="I75" s="52"/>
      <c r="J75" s="41"/>
      <c r="K75" s="41"/>
      <c r="L75" s="53"/>
      <c r="N75" s="54">
        <v>29</v>
      </c>
      <c r="O75" s="54">
        <v>29</v>
      </c>
      <c r="Q75" s="648" t="str">
        <f>Q32</f>
        <v>83</v>
      </c>
      <c r="R75" s="51"/>
      <c r="S75" s="52"/>
      <c r="T75" s="52"/>
      <c r="U75" s="41"/>
      <c r="V75" s="531"/>
      <c r="W75" s="41"/>
      <c r="X75" s="52"/>
      <c r="Y75" s="52"/>
      <c r="Z75" s="52"/>
      <c r="AA75" s="41"/>
      <c r="AB75" s="41"/>
      <c r="AC75" s="53"/>
      <c r="AE75" s="54">
        <v>29</v>
      </c>
      <c r="AF75" s="54">
        <v>29</v>
      </c>
      <c r="AH75" s="648" t="str">
        <f>AH32</f>
        <v>88*</v>
      </c>
    </row>
    <row r="76" spans="1:34" ht="24" customHeight="1" x14ac:dyDescent="0.45">
      <c r="A76" s="55"/>
      <c r="B76" s="56"/>
      <c r="C76" s="56"/>
      <c r="D76" s="26"/>
      <c r="E76" s="532"/>
      <c r="F76" s="26"/>
      <c r="G76" s="56"/>
      <c r="H76" s="56"/>
      <c r="I76" s="56"/>
      <c r="J76" s="26"/>
      <c r="K76" s="26"/>
      <c r="L76" s="57"/>
      <c r="N76" s="54">
        <v>30</v>
      </c>
      <c r="O76" s="54">
        <v>30</v>
      </c>
      <c r="Q76" s="649"/>
      <c r="R76" s="55"/>
      <c r="S76" s="56"/>
      <c r="T76" s="56"/>
      <c r="U76" s="26"/>
      <c r="V76" s="532"/>
      <c r="W76" s="26"/>
      <c r="X76" s="56"/>
      <c r="Y76" s="56"/>
      <c r="Z76" s="56"/>
      <c r="AA76" s="26"/>
      <c r="AB76" s="26"/>
      <c r="AC76" s="57"/>
      <c r="AE76" s="54">
        <v>30</v>
      </c>
      <c r="AF76" s="54">
        <v>30</v>
      </c>
      <c r="AH76" s="649"/>
    </row>
    <row r="77" spans="1:34" ht="24" customHeight="1" x14ac:dyDescent="0.45">
      <c r="A77" s="51"/>
      <c r="B77" s="52"/>
      <c r="C77" s="52"/>
      <c r="D77" s="41"/>
      <c r="E77" s="531"/>
      <c r="F77" s="41"/>
      <c r="G77" s="52"/>
      <c r="H77" s="52"/>
      <c r="I77" s="52"/>
      <c r="J77" s="41"/>
      <c r="K77" s="41"/>
      <c r="L77" s="53"/>
      <c r="N77" s="54">
        <v>31</v>
      </c>
      <c r="O77" s="54">
        <v>31</v>
      </c>
      <c r="Q77" s="648" t="str">
        <f>Q34</f>
        <v>84</v>
      </c>
      <c r="R77" s="51"/>
      <c r="S77" s="52"/>
      <c r="T77" s="52"/>
      <c r="U77" s="41"/>
      <c r="V77" s="531"/>
      <c r="W77" s="41"/>
      <c r="X77" s="52"/>
      <c r="Y77" s="52"/>
      <c r="Z77" s="52"/>
      <c r="AA77" s="41"/>
      <c r="AB77" s="41"/>
      <c r="AC77" s="53"/>
      <c r="AE77" s="54">
        <v>31</v>
      </c>
      <c r="AF77" s="54">
        <v>31</v>
      </c>
      <c r="AH77" s="648" t="str">
        <f>AH34</f>
        <v>911</v>
      </c>
    </row>
    <row r="78" spans="1:34" ht="24" customHeight="1" x14ac:dyDescent="0.45">
      <c r="A78" s="55"/>
      <c r="B78" s="56"/>
      <c r="C78" s="56"/>
      <c r="D78" s="26"/>
      <c r="E78" s="532"/>
      <c r="F78" s="26"/>
      <c r="G78" s="56"/>
      <c r="H78" s="56"/>
      <c r="I78" s="56"/>
      <c r="J78" s="26"/>
      <c r="K78" s="26"/>
      <c r="L78" s="57"/>
      <c r="N78" s="54">
        <v>32</v>
      </c>
      <c r="O78" s="54">
        <v>32</v>
      </c>
      <c r="Q78" s="649"/>
      <c r="R78" s="55"/>
      <c r="S78" s="56"/>
      <c r="T78" s="56"/>
      <c r="U78" s="26"/>
      <c r="V78" s="532"/>
      <c r="W78" s="26"/>
      <c r="X78" s="56"/>
      <c r="Y78" s="56"/>
      <c r="Z78" s="56"/>
      <c r="AA78" s="26"/>
      <c r="AB78" s="26"/>
      <c r="AC78" s="57"/>
      <c r="AE78" s="54">
        <v>32</v>
      </c>
      <c r="AF78" s="54">
        <v>32</v>
      </c>
      <c r="AH78" s="649"/>
    </row>
    <row r="79" spans="1:34" ht="24" customHeight="1" x14ac:dyDescent="0.45">
      <c r="A79" s="51"/>
      <c r="B79" s="52"/>
      <c r="C79" s="52"/>
      <c r="D79" s="41"/>
      <c r="E79" s="531"/>
      <c r="F79" s="41"/>
      <c r="G79" s="52"/>
      <c r="H79" s="52"/>
      <c r="I79" s="52"/>
      <c r="J79" s="41"/>
      <c r="K79" s="41"/>
      <c r="L79" s="53"/>
      <c r="N79" s="54">
        <v>33</v>
      </c>
      <c r="O79" s="54">
        <v>33</v>
      </c>
      <c r="Q79" s="648" t="str">
        <f>Q36</f>
        <v>86</v>
      </c>
      <c r="R79" s="51"/>
      <c r="S79" s="52"/>
      <c r="T79" s="52"/>
      <c r="U79" s="41"/>
      <c r="V79" s="531"/>
      <c r="W79" s="41"/>
      <c r="X79" s="52"/>
      <c r="Y79" s="52"/>
      <c r="Z79" s="52"/>
      <c r="AA79" s="41"/>
      <c r="AB79" s="41"/>
      <c r="AC79" s="53"/>
      <c r="AE79" s="54">
        <v>33</v>
      </c>
      <c r="AF79" s="54">
        <v>33</v>
      </c>
      <c r="AH79" s="648" t="str">
        <f>AH36</f>
        <v>94</v>
      </c>
    </row>
    <row r="80" spans="1:34" ht="24" customHeight="1" x14ac:dyDescent="0.45">
      <c r="A80" s="55"/>
      <c r="B80" s="56"/>
      <c r="C80" s="56"/>
      <c r="D80" s="26"/>
      <c r="E80" s="532"/>
      <c r="F80" s="26"/>
      <c r="G80" s="56"/>
      <c r="H80" s="56"/>
      <c r="I80" s="56"/>
      <c r="J80" s="26"/>
      <c r="K80" s="26"/>
      <c r="L80" s="57"/>
      <c r="N80" s="54">
        <v>34</v>
      </c>
      <c r="O80" s="54">
        <v>34</v>
      </c>
      <c r="Q80" s="649"/>
      <c r="R80" s="55"/>
      <c r="S80" s="56"/>
      <c r="T80" s="56"/>
      <c r="U80" s="26"/>
      <c r="V80" s="532"/>
      <c r="W80" s="26"/>
      <c r="X80" s="56"/>
      <c r="Y80" s="56"/>
      <c r="Z80" s="56"/>
      <c r="AA80" s="26"/>
      <c r="AB80" s="26"/>
      <c r="AC80" s="57"/>
      <c r="AE80" s="54">
        <v>34</v>
      </c>
      <c r="AF80" s="54">
        <v>34</v>
      </c>
      <c r="AH80" s="649"/>
    </row>
    <row r="81" spans="1:34" ht="24" customHeight="1" x14ac:dyDescent="0.45">
      <c r="A81" s="51"/>
      <c r="B81" s="52"/>
      <c r="C81" s="52"/>
      <c r="D81" s="41"/>
      <c r="E81" s="531"/>
      <c r="F81" s="41"/>
      <c r="G81" s="52"/>
      <c r="H81" s="52"/>
      <c r="I81" s="52"/>
      <c r="J81" s="41"/>
      <c r="K81" s="41"/>
      <c r="L81" s="53"/>
      <c r="N81" s="54">
        <v>35</v>
      </c>
      <c r="O81" s="54">
        <v>35</v>
      </c>
      <c r="Q81" s="648" t="str">
        <f>Q38</f>
        <v/>
      </c>
      <c r="R81" s="51"/>
      <c r="S81" s="52"/>
      <c r="T81" s="52"/>
      <c r="U81" s="41"/>
      <c r="V81" s="531"/>
      <c r="W81" s="41"/>
      <c r="X81" s="52"/>
      <c r="Y81" s="52"/>
      <c r="Z81" s="52"/>
      <c r="AA81" s="41"/>
      <c r="AB81" s="41"/>
      <c r="AC81" s="53"/>
      <c r="AE81" s="54">
        <v>35</v>
      </c>
      <c r="AF81" s="54">
        <v>35</v>
      </c>
      <c r="AH81" s="648" t="str">
        <f>AH38</f>
        <v/>
      </c>
    </row>
    <row r="82" spans="1:34" ht="24" customHeight="1" x14ac:dyDescent="0.45">
      <c r="A82" s="55"/>
      <c r="B82" s="56"/>
      <c r="C82" s="56"/>
      <c r="D82" s="26"/>
      <c r="E82" s="532"/>
      <c r="F82" s="26"/>
      <c r="G82" s="56"/>
      <c r="H82" s="56"/>
      <c r="I82" s="56"/>
      <c r="J82" s="26"/>
      <c r="K82" s="26"/>
      <c r="L82" s="57"/>
      <c r="N82" s="54">
        <v>36</v>
      </c>
      <c r="O82" s="54">
        <v>36</v>
      </c>
      <c r="Q82" s="649"/>
      <c r="R82" s="55"/>
      <c r="S82" s="56"/>
      <c r="T82" s="56"/>
      <c r="U82" s="26"/>
      <c r="V82" s="532"/>
      <c r="W82" s="26"/>
      <c r="X82" s="56"/>
      <c r="Y82" s="56"/>
      <c r="Z82" s="56"/>
      <c r="AA82" s="26"/>
      <c r="AB82" s="26"/>
      <c r="AC82" s="57"/>
      <c r="AE82" s="54">
        <v>36</v>
      </c>
      <c r="AF82" s="54">
        <v>36</v>
      </c>
      <c r="AH82" s="649"/>
    </row>
    <row r="83" spans="1:34" ht="24" customHeight="1" x14ac:dyDescent="0.45">
      <c r="A83" s="51"/>
      <c r="B83" s="52"/>
      <c r="C83" s="52"/>
      <c r="D83" s="41"/>
      <c r="E83" s="531"/>
      <c r="F83" s="41"/>
      <c r="G83" s="52"/>
      <c r="H83" s="52"/>
      <c r="I83" s="52"/>
      <c r="J83" s="41"/>
      <c r="K83" s="41"/>
      <c r="L83" s="53"/>
      <c r="N83" s="54">
        <v>37</v>
      </c>
      <c r="O83" s="54">
        <v>37</v>
      </c>
      <c r="Q83" s="648" t="str">
        <f>Q40</f>
        <v/>
      </c>
      <c r="R83" s="51"/>
      <c r="S83" s="52"/>
      <c r="T83" s="52"/>
      <c r="U83" s="41"/>
      <c r="V83" s="531"/>
      <c r="W83" s="41"/>
      <c r="X83" s="52"/>
      <c r="Y83" s="52"/>
      <c r="Z83" s="52"/>
      <c r="AA83" s="41"/>
      <c r="AB83" s="41"/>
      <c r="AC83" s="53"/>
      <c r="AE83" s="54">
        <v>37</v>
      </c>
      <c r="AF83" s="54">
        <v>37</v>
      </c>
      <c r="AH83" s="648" t="str">
        <f>AH40</f>
        <v/>
      </c>
    </row>
    <row r="84" spans="1:34" ht="24" customHeight="1" x14ac:dyDescent="0.45">
      <c r="A84" s="55"/>
      <c r="B84" s="56"/>
      <c r="C84" s="56"/>
      <c r="D84" s="26"/>
      <c r="E84" s="532"/>
      <c r="F84" s="26"/>
      <c r="G84" s="56"/>
      <c r="H84" s="56"/>
      <c r="I84" s="56"/>
      <c r="J84" s="26"/>
      <c r="K84" s="26"/>
      <c r="L84" s="57"/>
      <c r="N84" s="54">
        <v>38</v>
      </c>
      <c r="O84" s="54">
        <v>38</v>
      </c>
      <c r="Q84" s="649"/>
      <c r="R84" s="55"/>
      <c r="S84" s="56"/>
      <c r="T84" s="56"/>
      <c r="U84" s="26"/>
      <c r="V84" s="532"/>
      <c r="W84" s="26"/>
      <c r="X84" s="56"/>
      <c r="Y84" s="56"/>
      <c r="Z84" s="56"/>
      <c r="AA84" s="26"/>
      <c r="AB84" s="26"/>
      <c r="AC84" s="57"/>
      <c r="AE84" s="54">
        <v>38</v>
      </c>
      <c r="AF84" s="54">
        <v>38</v>
      </c>
      <c r="AH84" s="649"/>
    </row>
    <row r="85" spans="1:34" ht="24" customHeight="1" x14ac:dyDescent="0.45">
      <c r="A85" s="482"/>
      <c r="B85" s="52"/>
      <c r="C85" s="52"/>
      <c r="D85" s="41"/>
      <c r="E85" s="531"/>
      <c r="F85" s="41"/>
      <c r="G85" s="52"/>
      <c r="H85" s="52"/>
      <c r="I85" s="52"/>
      <c r="J85" s="41"/>
      <c r="K85" s="41"/>
      <c r="L85" s="53"/>
      <c r="N85" s="20"/>
      <c r="O85" s="20"/>
      <c r="Q85" s="648" t="str">
        <f>Q42</f>
        <v/>
      </c>
      <c r="R85" s="51"/>
      <c r="S85" s="52"/>
      <c r="T85" s="52"/>
      <c r="U85" s="41"/>
      <c r="V85" s="531"/>
      <c r="W85" s="41"/>
      <c r="X85" s="52"/>
      <c r="Y85" s="52"/>
      <c r="Z85" s="52"/>
      <c r="AA85" s="41"/>
      <c r="AB85" s="41"/>
      <c r="AC85" s="53"/>
      <c r="AE85" s="20"/>
      <c r="AF85" s="20"/>
      <c r="AH85" s="648" t="str">
        <f>AH42</f>
        <v/>
      </c>
    </row>
    <row r="86" spans="1:34" ht="24" customHeight="1" thickBot="1" x14ac:dyDescent="0.5">
      <c r="A86" s="471"/>
      <c r="B86" s="472"/>
      <c r="C86" s="472"/>
      <c r="D86" s="473"/>
      <c r="E86" s="533"/>
      <c r="F86" s="473"/>
      <c r="G86" s="472"/>
      <c r="H86" s="472"/>
      <c r="I86" s="472"/>
      <c r="J86" s="473"/>
      <c r="K86" s="473"/>
      <c r="L86" s="474"/>
      <c r="N86" s="20"/>
      <c r="O86" s="20"/>
      <c r="Q86" s="651"/>
      <c r="R86" s="471"/>
      <c r="S86" s="472"/>
      <c r="T86" s="472"/>
      <c r="U86" s="473"/>
      <c r="V86" s="533"/>
      <c r="W86" s="473"/>
      <c r="X86" s="472"/>
      <c r="Y86" s="472"/>
      <c r="Z86" s="472"/>
      <c r="AA86" s="473"/>
      <c r="AB86" s="473"/>
      <c r="AC86" s="474"/>
      <c r="AE86" s="20"/>
      <c r="AF86" s="20"/>
      <c r="AH86" s="651"/>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8"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defaultColWidth="8.77734375" defaultRowHeight="18" x14ac:dyDescent="0.35"/>
  <cols>
    <col min="1" max="1" width="1.109375" style="85" customWidth="1"/>
    <col min="2" max="2" width="10" style="85" customWidth="1"/>
    <col min="3" max="3" width="25.77734375" style="85" customWidth="1"/>
    <col min="4" max="5" width="1.109375" style="85" customWidth="1"/>
    <col min="6" max="6" width="10" style="85" customWidth="1"/>
    <col min="7" max="7" width="25.77734375" style="85" customWidth="1"/>
    <col min="8" max="8" width="1.109375" style="85" customWidth="1"/>
    <col min="9" max="9" width="1.44140625" style="85" customWidth="1"/>
    <col min="10" max="11" width="23.109375" style="85" customWidth="1"/>
    <col min="12" max="255" width="11.44140625" style="85" customWidth="1"/>
    <col min="256" max="16384" width="8.77734375" style="85"/>
  </cols>
  <sheetData>
    <row r="1" spans="1:11" ht="21" customHeight="1" x14ac:dyDescent="0.35">
      <c r="A1" s="517"/>
      <c r="B1" s="1155" t="str">
        <f>IF(ISBLANK(IGRF!$B$12), "", IGRF!$B$12)</f>
        <v>Black</v>
      </c>
      <c r="C1" s="1155"/>
      <c r="D1" s="518"/>
      <c r="E1" s="517"/>
      <c r="F1" s="1155" t="str">
        <f>IF(ISBLANK(IGRF!$I$12), "", IGRF!$I$12)</f>
        <v>Yellow</v>
      </c>
      <c r="G1" s="1155"/>
      <c r="H1" s="518"/>
      <c r="J1" s="1154" t="str">
        <f>IF(IGRF!L3="","","Game "&amp;IGRF!L3&amp;"  "&amp;TEXT(IGRF!B7,"dddd")&amp;" @ "&amp;TEXT(IGRF!I7,"hh:mm AM/PM"))</f>
        <v/>
      </c>
      <c r="K1" s="1154"/>
    </row>
    <row r="2" spans="1:11" ht="21" customHeight="1" x14ac:dyDescent="0.35">
      <c r="A2" s="519"/>
      <c r="B2" s="1156" t="str">
        <f>Score!$A$1</f>
        <v>Black Rose Rollers / All Stars</v>
      </c>
      <c r="C2" s="1156"/>
      <c r="D2" s="520"/>
      <c r="E2" s="519"/>
      <c r="F2" s="1156" t="str">
        <f>Score!$T$1</f>
        <v>Steel City Roller Derby / Steel Hurtin'</v>
      </c>
      <c r="G2" s="1156"/>
      <c r="H2" s="520"/>
      <c r="J2" s="1153" t="str">
        <f>IF(IGRF!B5="","",IGRF!B5)</f>
        <v/>
      </c>
      <c r="K2" s="1153"/>
    </row>
    <row r="3" spans="1:11" x14ac:dyDescent="0.35">
      <c r="A3" s="519"/>
      <c r="B3" s="86"/>
      <c r="C3" s="86"/>
      <c r="D3" s="520"/>
      <c r="E3" s="519"/>
      <c r="F3" s="86"/>
      <c r="G3" s="86"/>
      <c r="H3" s="520"/>
      <c r="J3" s="1153" t="s">
        <v>409</v>
      </c>
      <c r="K3" s="1153"/>
    </row>
    <row r="4" spans="1:11" ht="22.5" customHeight="1" x14ac:dyDescent="0.35">
      <c r="A4" s="519"/>
      <c r="B4" s="87" t="str">
        <f>IF(ISBLANK(IGRF!B14),"",IGRF!B14)</f>
        <v>101</v>
      </c>
      <c r="C4" s="88" t="str">
        <f>IF(ISBLANK(IGRF!C14),"",IGRF!C14)</f>
        <v>Jackie Treehorn</v>
      </c>
      <c r="D4" s="520"/>
      <c r="E4" s="519"/>
      <c r="F4" s="87" t="str">
        <f>IF(ISBLANK(IGRF!I14),"",IGRF!I14)</f>
        <v>12</v>
      </c>
      <c r="G4" s="88" t="str">
        <f>IF(ISBLANK(IGRF!J14),"",IGRF!J14)</f>
        <v>Zorra</v>
      </c>
      <c r="H4" s="520"/>
      <c r="J4" s="88" t="str">
        <f>IF(ISBLANK(IGRF!C60), "", IGRF!C60)</f>
        <v>Double Demonz</v>
      </c>
      <c r="K4" s="88" t="str">
        <f>IF(ISBLANK(IGRF!C80), "", IGRF!C80)</f>
        <v>Registered Curse</v>
      </c>
    </row>
    <row r="5" spans="1:11" ht="22.5" customHeight="1" x14ac:dyDescent="0.35">
      <c r="A5" s="519"/>
      <c r="B5" s="87" t="str">
        <f>IF(ISBLANK(IGRF!B15),"",IGRF!B15)</f>
        <v>123</v>
      </c>
      <c r="C5" s="88" t="str">
        <f>IF(ISBLANK(IGRF!C15),"",IGRF!C15)</f>
        <v>Bacon 4 Mercy</v>
      </c>
      <c r="D5" s="520"/>
      <c r="E5" s="519"/>
      <c r="F5" s="87" t="str">
        <f>IF(ISBLANK(IGRF!I15),"",IGRF!I15)</f>
        <v>16</v>
      </c>
      <c r="G5" s="88" t="str">
        <f>IF(ISBLANK(IGRF!J15),"",IGRF!J15)</f>
        <v>Dodge n Burn</v>
      </c>
      <c r="H5" s="520"/>
      <c r="J5" s="88" t="str">
        <f>IF(ISBLANK(IGRF!C61), "", IGRF!C61)</f>
        <v>Zuul Begone Spengler</v>
      </c>
      <c r="K5" s="88" t="str">
        <f>IF(ISBLANK(IGRF!C81), "", IGRF!C81)</f>
        <v>French Thwarter</v>
      </c>
    </row>
    <row r="6" spans="1:11" ht="22.5" customHeight="1" x14ac:dyDescent="0.35">
      <c r="A6" s="519"/>
      <c r="B6" s="87" t="str">
        <f>IF(ISBLANK(IGRF!B16),"",IGRF!B16)</f>
        <v>1760</v>
      </c>
      <c r="C6" s="88" t="str">
        <f>IF(ISBLANK(IGRF!C16),"",IGRF!C16)</f>
        <v>By O. Hazard</v>
      </c>
      <c r="D6" s="520"/>
      <c r="E6" s="519"/>
      <c r="F6" s="87" t="str">
        <f>IF(ISBLANK(IGRF!I16),"",IGRF!I16)</f>
        <v>17</v>
      </c>
      <c r="G6" s="88" t="str">
        <f>IF(ISBLANK(IGRF!J16),"",IGRF!J16)</f>
        <v>Yinzey Lohan</v>
      </c>
      <c r="H6" s="520"/>
      <c r="J6" s="88" t="str">
        <f>IF(ISBLANK(IGRF!C62), "", IGRF!C62)</f>
        <v>Plot Twist</v>
      </c>
      <c r="K6" s="88" t="str">
        <f>IF(ISBLANK(IGRF!C82), "", IGRF!C82)</f>
        <v>Lone Bone</v>
      </c>
    </row>
    <row r="7" spans="1:11" ht="22.5" customHeight="1" x14ac:dyDescent="0.35">
      <c r="A7" s="519"/>
      <c r="B7" s="87" t="str">
        <f>IF(ISBLANK(IGRF!B17),"",IGRF!B17)</f>
        <v>202</v>
      </c>
      <c r="C7" s="88" t="str">
        <f>IF(ISBLANK(IGRF!C17),"",IGRF!C17)</f>
        <v>Thai-GRRR</v>
      </c>
      <c r="D7" s="520"/>
      <c r="E7" s="519"/>
      <c r="F7" s="87" t="str">
        <f>IF(ISBLANK(IGRF!I17),"",IGRF!I17)</f>
        <v>2</v>
      </c>
      <c r="G7" s="88" t="str">
        <f>IF(ISBLANK(IGRF!J17),"",IGRF!J17)</f>
        <v>Stark Raven</v>
      </c>
      <c r="H7" s="520"/>
      <c r="J7" s="88" t="str">
        <f>IF(ISBLANK(IGRF!C63), "", IGRF!C63)</f>
        <v>Begone Spengler Zuul</v>
      </c>
      <c r="K7" s="88" t="str">
        <f>IF(ISBLANK(IGRF!C83), "", IGRF!C83)</f>
        <v>Coach Boom</v>
      </c>
    </row>
    <row r="8" spans="1:11" ht="22.5" customHeight="1" x14ac:dyDescent="0.35">
      <c r="A8" s="519"/>
      <c r="B8" s="87" t="str">
        <f>IF(ISBLANK(IGRF!B18),"",IGRF!B18)</f>
        <v>22</v>
      </c>
      <c r="C8" s="88" t="str">
        <f>IF(ISBLANK(IGRF!C18),"",IGRF!C18)</f>
        <v>Jen Hex</v>
      </c>
      <c r="D8" s="520"/>
      <c r="E8" s="519"/>
      <c r="F8" s="87" t="str">
        <f>IF(ISBLANK(IGRF!I18),"",IGRF!I18)</f>
        <v>219</v>
      </c>
      <c r="G8" s="88" t="str">
        <f>IF(ISBLANK(IGRF!J18),"",IGRF!J18)</f>
        <v>Dakota Slamming</v>
      </c>
      <c r="H8" s="520"/>
      <c r="J8" s="88" t="str">
        <f>IF(ISBLANK(IGRF!C64), "", IGRF!C64)</f>
        <v>Double Demonz</v>
      </c>
      <c r="K8" s="88" t="str">
        <f>IF(ISBLANK(IGRF!C84), "", IGRF!C84)</f>
        <v>Rollin 20s</v>
      </c>
    </row>
    <row r="9" spans="1:11" ht="22.5" customHeight="1" x14ac:dyDescent="0.35">
      <c r="A9" s="519"/>
      <c r="B9" s="87" t="str">
        <f>IF(ISBLANK(IGRF!B19),"",IGRF!B19)</f>
        <v>221*</v>
      </c>
      <c r="C9" s="88" t="str">
        <f>IF(ISBLANK(IGRF!C19),"",IGRF!C19)</f>
        <v>Kili Pepa</v>
      </c>
      <c r="D9" s="520"/>
      <c r="E9" s="519"/>
      <c r="F9" s="87" t="str">
        <f>IF(ISBLANK(IGRF!I19),"",IGRF!I19)</f>
        <v>22</v>
      </c>
      <c r="G9" s="88" t="str">
        <f>IF(ISBLANK(IGRF!J19),"",IGRF!J19)</f>
        <v>Dammit Jammit</v>
      </c>
      <c r="H9" s="520"/>
      <c r="J9" s="88" t="str">
        <f>IF(ISBLANK(IGRF!C65), "", IGRF!C65)</f>
        <v>Diamond Tiara</v>
      </c>
      <c r="K9" s="88" t="str">
        <f>IF(ISBLANK(IGRF!C85), "", IGRF!C85)</f>
        <v>Wheels Bohr</v>
      </c>
    </row>
    <row r="10" spans="1:11" ht="22.5" customHeight="1" x14ac:dyDescent="0.35">
      <c r="A10" s="519"/>
      <c r="B10" s="87" t="str">
        <f>IF(ISBLANK(IGRF!B20),"",IGRF!B20)</f>
        <v>229</v>
      </c>
      <c r="C10" s="88" t="str">
        <f>IF(ISBLANK(IGRF!C20),"",IGRF!C20)</f>
        <v>Sparky</v>
      </c>
      <c r="D10" s="520"/>
      <c r="E10" s="519"/>
      <c r="F10" s="87" t="str">
        <f>IF(ISBLANK(IGRF!I20),"",IGRF!I20)</f>
        <v>223</v>
      </c>
      <c r="G10" s="88" t="str">
        <f>IF(ISBLANK(IGRF!J20),"",IGRF!J20)</f>
        <v>Frida Killah</v>
      </c>
      <c r="H10" s="520"/>
      <c r="J10" s="88" t="str">
        <f>IF(ISBLANK(IGRF!C66), "", IGRF!C66)</f>
        <v>Nova Star</v>
      </c>
      <c r="K10" s="88" t="str">
        <f>IF(ISBLANK(IGRF!C86), "", IGRF!C86)</f>
        <v>Wren In Doubt</v>
      </c>
    </row>
    <row r="11" spans="1:11" ht="22.5" customHeight="1" x14ac:dyDescent="0.35">
      <c r="A11" s="519"/>
      <c r="B11" s="87" t="str">
        <f>IF(ISBLANK(IGRF!B21),"",IGRF!B21)</f>
        <v>237</v>
      </c>
      <c r="C11" s="88" t="str">
        <f>IF(ISBLANK(IGRF!C21),"",IGRF!C21)</f>
        <v>RedRum</v>
      </c>
      <c r="D11" s="520"/>
      <c r="E11" s="519"/>
      <c r="F11" s="87" t="str">
        <f>IF(ISBLANK(IGRF!I21),"",IGRF!I21)</f>
        <v>23</v>
      </c>
      <c r="G11" s="88" t="str">
        <f>IF(ISBLANK(IGRF!J21),"",IGRF!J21)</f>
        <v>Towanda Woman</v>
      </c>
      <c r="H11" s="520"/>
      <c r="J11" s="88" t="str">
        <f>IF(ISBLANK(IGRF!C67), "", IGRF!C67)</f>
        <v>Snapp Sabbath</v>
      </c>
      <c r="K11" s="88" t="str">
        <f>IF(ISBLANK(IGRF!C87), "", IGRF!C87)</f>
        <v/>
      </c>
    </row>
    <row r="12" spans="1:11" ht="22.5" customHeight="1" x14ac:dyDescent="0.35">
      <c r="A12" s="519"/>
      <c r="B12" s="87" t="str">
        <f>IF(ISBLANK(IGRF!B22),"",IGRF!B22)</f>
        <v>282*</v>
      </c>
      <c r="C12" s="88" t="str">
        <f>IF(ISBLANK(IGRF!C22),"",IGRF!C22)</f>
        <v>Dash Ketchum</v>
      </c>
      <c r="D12" s="520"/>
      <c r="E12" s="519"/>
      <c r="F12" s="87" t="str">
        <f>IF(ISBLANK(IGRF!I22),"",IGRF!I22)</f>
        <v>25</v>
      </c>
      <c r="G12" s="88" t="str">
        <f>IF(ISBLANK(IGRF!J22),"",IGRF!J22)</f>
        <v>Ally McKill</v>
      </c>
      <c r="H12" s="520"/>
      <c r="J12" s="88" t="str">
        <f>IF(ISBLANK(IGRF!C68), "", IGRF!C68)</f>
        <v>Ms. Smack-Man</v>
      </c>
      <c r="K12" s="88"/>
    </row>
    <row r="13" spans="1:11" ht="22.5" customHeight="1" x14ac:dyDescent="0.35">
      <c r="A13" s="519"/>
      <c r="B13" s="87" t="str">
        <f>IF(ISBLANK(IGRF!B23),"",IGRF!B23)</f>
        <v>337</v>
      </c>
      <c r="C13" s="88" t="str">
        <f>IF(ISBLANK(IGRF!C23),"",IGRF!C23)</f>
        <v>Susan Sure Ram Dem</v>
      </c>
      <c r="D13" s="520"/>
      <c r="E13" s="519"/>
      <c r="F13" s="87" t="str">
        <f>IF(ISBLANK(IGRF!I23),"",IGRF!I23)</f>
        <v>26</v>
      </c>
      <c r="G13" s="88" t="str">
        <f>IF(ISBLANK(IGRF!J23),"",IGRF!J23)</f>
        <v>Strange</v>
      </c>
      <c r="H13" s="520"/>
      <c r="J13" s="88" t="str">
        <f>IF(ISBLANK(IGRF!C69), "", IGRF!C69)</f>
        <v>Painsley Slays</v>
      </c>
      <c r="K13" s="88"/>
    </row>
    <row r="14" spans="1:11" ht="22.5" customHeight="1" x14ac:dyDescent="0.35">
      <c r="A14" s="519"/>
      <c r="B14" s="87" t="str">
        <f>IF(ISBLANK(IGRF!B24),"",IGRF!B24)</f>
        <v>352</v>
      </c>
      <c r="C14" s="88" t="str">
        <f>IF(ISBLANK(IGRF!C24),"",IGRF!C24)</f>
        <v>Olive Havoc</v>
      </c>
      <c r="D14" s="520"/>
      <c r="E14" s="519"/>
      <c r="F14" s="87" t="str">
        <f>IF(ISBLANK(IGRF!I24),"",IGRF!I24)</f>
        <v>49</v>
      </c>
      <c r="G14" s="88" t="str">
        <f>IF(ISBLANK(IGRF!J24),"",IGRF!J24)</f>
        <v>Gnarly Manson</v>
      </c>
      <c r="H14" s="520"/>
      <c r="J14" s="88" t="str">
        <f>IF(ISBLANK(IGRF!C70), "", IGRF!C70)</f>
        <v>Windhover</v>
      </c>
      <c r="K14" s="513"/>
    </row>
    <row r="15" spans="1:11" ht="22.5" customHeight="1" x14ac:dyDescent="0.35">
      <c r="A15" s="519"/>
      <c r="B15" s="87" t="str">
        <f>IF(ISBLANK(IGRF!B25),"",IGRF!B25)</f>
        <v>36</v>
      </c>
      <c r="C15" s="88" t="str">
        <f>IF(ISBLANK(IGRF!C25),"",IGRF!C25)</f>
        <v>Meanie</v>
      </c>
      <c r="D15" s="520"/>
      <c r="E15" s="519"/>
      <c r="F15" s="87" t="str">
        <f>IF(ISBLANK(IGRF!I25),"",IGRF!I25)</f>
        <v>78</v>
      </c>
      <c r="G15" s="88" t="str">
        <f>IF(ISBLANK(IGRF!J25),"",IGRF!J25)</f>
        <v>Debbie Scary</v>
      </c>
      <c r="H15" s="520"/>
      <c r="J15" s="88" t="str">
        <f>IF(ISBLANK(IGRF!C71), "", IGRF!C71)</f>
        <v>Bad Ash</v>
      </c>
      <c r="K15" s="513"/>
    </row>
    <row r="16" spans="1:11" ht="22.5" customHeight="1" x14ac:dyDescent="0.35">
      <c r="A16" s="519"/>
      <c r="B16" s="87" t="str">
        <f>IF(ISBLANK(IGRF!B26),"",IGRF!B26)</f>
        <v>64</v>
      </c>
      <c r="C16" s="88" t="str">
        <f>IF(ISBLANK(IGRF!C26),"",IGRF!C26)</f>
        <v>Cruzella</v>
      </c>
      <c r="D16" s="520"/>
      <c r="E16" s="519"/>
      <c r="F16" s="87" t="str">
        <f>IF(ISBLANK(IGRF!I26),"",IGRF!I26)</f>
        <v>8*</v>
      </c>
      <c r="G16" s="88" t="str">
        <f>IF(ISBLANK(IGRF!J26),"",IGRF!J26)</f>
        <v>Venus Thigh Trap</v>
      </c>
      <c r="H16" s="520"/>
      <c r="J16" s="88" t="str">
        <f>IF(ISBLANK(IGRF!C72), "", IGRF!C72)</f>
        <v>Kricut</v>
      </c>
      <c r="K16" s="513"/>
    </row>
    <row r="17" spans="1:11" ht="22.5" customHeight="1" x14ac:dyDescent="0.35">
      <c r="A17" s="519"/>
      <c r="B17" s="87" t="str">
        <f>IF(ISBLANK(IGRF!B27),"",IGRF!B27)</f>
        <v>825</v>
      </c>
      <c r="C17" s="88" t="str">
        <f>IF(ISBLANK(IGRF!C27),"",IGRF!C27)</f>
        <v>Rot-N 2 the Cor-E</v>
      </c>
      <c r="D17" s="520"/>
      <c r="E17" s="519"/>
      <c r="F17" s="87" t="str">
        <f>IF(ISBLANK(IGRF!I27),"",IGRF!I27)</f>
        <v>800</v>
      </c>
      <c r="G17" s="88" t="str">
        <f>IF(ISBLANK(IGRF!J27),"",IGRF!J27)</f>
        <v>Terminate Her</v>
      </c>
      <c r="H17" s="520"/>
      <c r="J17" s="88" t="str">
        <f>IF(ISBLANK(IGRF!C73), "", IGRF!C73)</f>
        <v>Moxytocin</v>
      </c>
      <c r="K17" s="513"/>
    </row>
    <row r="18" spans="1:11" ht="22.5" customHeight="1" x14ac:dyDescent="0.35">
      <c r="A18" s="519"/>
      <c r="B18" s="87" t="str">
        <f>IF(ISBLANK(IGRF!B28),"",IGRF!B28)</f>
        <v>83</v>
      </c>
      <c r="C18" s="88" t="str">
        <f>IF(ISBLANK(IGRF!C28),"",IGRF!C28)</f>
        <v>Grit n Barite</v>
      </c>
      <c r="D18" s="520"/>
      <c r="E18" s="519"/>
      <c r="F18" s="87" t="str">
        <f>IF(ISBLANK(IGRF!I28),"",IGRF!I28)</f>
        <v>88*</v>
      </c>
      <c r="G18" s="88" t="str">
        <f>IF(ISBLANK(IGRF!J28),"",IGRF!J28)</f>
        <v>Flux</v>
      </c>
      <c r="H18" s="520"/>
      <c r="J18" s="88" t="str">
        <f>IF(ISBLANK(IGRF!C74), "", IGRF!C74)</f>
        <v/>
      </c>
      <c r="K18" s="513"/>
    </row>
    <row r="19" spans="1:11" ht="22.5" customHeight="1" x14ac:dyDescent="0.35">
      <c r="A19" s="519"/>
      <c r="B19" s="87" t="str">
        <f>IF(ISBLANK(IGRF!B29),"",IGRF!B29)</f>
        <v>84</v>
      </c>
      <c r="C19" s="88" t="str">
        <f>IF(ISBLANK(IGRF!C29),"",IGRF!C29)</f>
        <v>Phoenix</v>
      </c>
      <c r="D19" s="520"/>
      <c r="E19" s="519"/>
      <c r="F19" s="87" t="str">
        <f>IF(ISBLANK(IGRF!I29),"",IGRF!I29)</f>
        <v>911</v>
      </c>
      <c r="G19" s="88" t="str">
        <f>IF(ISBLANK(IGRF!J29),"",IGRF!J29)</f>
        <v>Annie Mergency</v>
      </c>
      <c r="H19" s="520"/>
      <c r="J19" s="88" t="str">
        <f>IF(ISBLANK(IGRF!C75), "", IGRF!C75)</f>
        <v/>
      </c>
      <c r="K19" s="513"/>
    </row>
    <row r="20" spans="1:11" ht="22.5" customHeight="1" x14ac:dyDescent="0.35">
      <c r="A20" s="519"/>
      <c r="B20" s="87" t="str">
        <f>IF(ISBLANK(IGRF!B30),"",IGRF!B30)</f>
        <v>86</v>
      </c>
      <c r="C20" s="88" t="str">
        <f>IF(ISBLANK(IGRF!C30),"",IGRF!C30)</f>
        <v>P.T.S.D.</v>
      </c>
      <c r="D20" s="520"/>
      <c r="E20" s="519"/>
      <c r="F20" s="87" t="str">
        <f>IF(ISBLANK(IGRF!I30),"",IGRF!I30)</f>
        <v>94</v>
      </c>
      <c r="G20" s="88" t="str">
        <f>IF(ISBLANK(IGRF!J30),"",IGRF!J30)</f>
        <v>The Kraken</v>
      </c>
      <c r="H20" s="520"/>
      <c r="J20" s="88" t="str">
        <f>IF(ISBLANK(IGRF!C76), "", IGRF!C76)</f>
        <v/>
      </c>
      <c r="K20" s="513"/>
    </row>
    <row r="21" spans="1:11" ht="22.5" customHeight="1" x14ac:dyDescent="0.35">
      <c r="A21" s="519"/>
      <c r="B21" s="87" t="str">
        <f>IF(ISBLANK(IGRF!B31),"",IGRF!B31)</f>
        <v/>
      </c>
      <c r="C21" s="88" t="str">
        <f>IF(ISBLANK(IGRF!C31),"",IGRF!C31)</f>
        <v/>
      </c>
      <c r="D21" s="520"/>
      <c r="E21" s="519"/>
      <c r="F21" s="87" t="str">
        <f>IF(ISBLANK(IGRF!I31),"",IGRF!I31)</f>
        <v/>
      </c>
      <c r="G21" s="88" t="str">
        <f>IF(ISBLANK(IGRF!J31),"",IGRF!J31)</f>
        <v/>
      </c>
      <c r="H21" s="520"/>
      <c r="J21" s="88" t="str">
        <f>IF(ISBLANK(IGRF!C77), "", IGRF!C77)</f>
        <v/>
      </c>
      <c r="K21" s="513"/>
    </row>
    <row r="22" spans="1:11" ht="22.5" customHeight="1" x14ac:dyDescent="0.35">
      <c r="A22" s="519"/>
      <c r="B22" s="87" t="str">
        <f>IF(ISBLANK(IGRF!B32),"",IGRF!B32)</f>
        <v/>
      </c>
      <c r="C22" s="88" t="str">
        <f>IF(ISBLANK(IGRF!C32),"",IGRF!C32)</f>
        <v/>
      </c>
      <c r="D22" s="520"/>
      <c r="E22" s="519"/>
      <c r="F22" s="87" t="str">
        <f>IF(ISBLANK(IGRF!I32),"",IGRF!I32)</f>
        <v/>
      </c>
      <c r="G22" s="88" t="str">
        <f>IF(ISBLANK(IGRF!J32),"",IGRF!J32)</f>
        <v/>
      </c>
      <c r="H22" s="520"/>
      <c r="J22" s="88" t="str">
        <f>IF(ISBLANK(IGRF!C78), "", IGRF!C78)</f>
        <v/>
      </c>
      <c r="K22" s="513"/>
    </row>
    <row r="23" spans="1:11" ht="22.5" customHeight="1" thickBot="1" x14ac:dyDescent="0.4">
      <c r="A23" s="521"/>
      <c r="B23" s="522" t="str">
        <f>IF(ISBLANK(IGRF!B33),"",IGRF!B33)</f>
        <v/>
      </c>
      <c r="C23" s="523" t="str">
        <f>IF(ISBLANK(IGRF!C33),"",IGRF!C33)</f>
        <v/>
      </c>
      <c r="D23" s="524"/>
      <c r="E23" s="521"/>
      <c r="F23" s="522" t="str">
        <f>IF(ISBLANK(IGRF!I33),"",IGRF!I33)</f>
        <v/>
      </c>
      <c r="G23" s="523" t="str">
        <f>IF(ISBLANK(IGRF!J33),"",IGRF!J33)</f>
        <v/>
      </c>
      <c r="H23" s="524"/>
      <c r="J23" s="88" t="str">
        <f>IF(ISBLANK(IGRF!C79), "", IGRF!C79)</f>
        <v/>
      </c>
      <c r="K23" s="513"/>
    </row>
    <row r="24" spans="1:11" x14ac:dyDescent="0.35">
      <c r="K24" s="513"/>
    </row>
    <row r="25" spans="1:11" x14ac:dyDescent="0.35">
      <c r="K25" s="513"/>
    </row>
    <row r="26" spans="1:11" x14ac:dyDescent="0.35">
      <c r="K26" s="513"/>
    </row>
    <row r="27" spans="1:11" x14ac:dyDescent="0.35">
      <c r="K27" s="513"/>
    </row>
    <row r="28" spans="1:11" x14ac:dyDescent="0.35">
      <c r="K28" s="513"/>
    </row>
    <row r="29" spans="1:11" x14ac:dyDescent="0.35">
      <c r="K29" s="513"/>
    </row>
    <row r="30" spans="1:11" x14ac:dyDescent="0.35">
      <c r="K30" s="513"/>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77734375" defaultRowHeight="13.8" x14ac:dyDescent="0.3"/>
  <cols>
    <col min="1" max="1" width="7.109375" style="3" customWidth="1"/>
    <col min="2" max="2" width="17.6640625" style="3" customWidth="1"/>
    <col min="3" max="3" width="20.6640625" style="3" customWidth="1"/>
    <col min="4" max="8" width="15.33203125" style="3" customWidth="1"/>
    <col min="9" max="9" width="13.44140625" style="3" customWidth="1"/>
    <col min="10" max="10" width="10.6640625" style="3" customWidth="1"/>
    <col min="11" max="257" width="11.44140625" style="3" customWidth="1"/>
    <col min="258" max="16384" width="8.77734375" style="3"/>
  </cols>
  <sheetData>
    <row r="1" spans="1:10" s="2" customFormat="1" ht="30" customHeight="1" x14ac:dyDescent="0.3">
      <c r="A1" s="47" t="s">
        <v>185</v>
      </c>
      <c r="B1" s="1183" t="str">
        <f>Score!$A$1</f>
        <v>Black Rose Rollers / All Stars</v>
      </c>
      <c r="C1" s="1183"/>
      <c r="D1" s="1183"/>
      <c r="E1" s="485" t="str">
        <f>IF(ISBLANK(IGRF!$B$12), "", IGRF!$B$12)</f>
        <v>Black</v>
      </c>
      <c r="F1" s="1170"/>
      <c r="G1" s="1170"/>
      <c r="H1" s="1170"/>
      <c r="I1" s="1184">
        <f>IF(ISBLANK(IGRF!$B$7), "", IGRF!$B$7)</f>
        <v>45144</v>
      </c>
      <c r="J1" s="1191">
        <v>1</v>
      </c>
    </row>
    <row r="2" spans="1:10" s="2" customFormat="1" ht="15" customHeight="1" x14ac:dyDescent="0.3">
      <c r="A2" s="1186" t="s">
        <v>186</v>
      </c>
      <c r="B2" s="1183" t="str">
        <f>Score!$T$1</f>
        <v>Steel City Roller Derby / Steel Hurtin'</v>
      </c>
      <c r="C2" s="1183"/>
      <c r="D2" s="1183"/>
      <c r="E2" s="1173" t="str">
        <f>IF(ISBLANK(IGRF!$I$12),"",IGRF!$I$12)</f>
        <v>Yellow</v>
      </c>
      <c r="F2" s="1171"/>
      <c r="G2" s="1171"/>
      <c r="H2" s="1171"/>
      <c r="I2" s="1185"/>
      <c r="J2" s="1191"/>
    </row>
    <row r="3" spans="1:10" s="2" customFormat="1" ht="15" customHeight="1" thickBot="1" x14ac:dyDescent="0.35">
      <c r="A3" s="1186"/>
      <c r="B3" s="1183"/>
      <c r="C3" s="1183"/>
      <c r="D3" s="1183"/>
      <c r="E3" s="1176"/>
      <c r="F3" s="1172" t="s">
        <v>179</v>
      </c>
      <c r="G3" s="1172"/>
      <c r="H3" s="1172"/>
      <c r="I3" s="94" t="s">
        <v>184</v>
      </c>
      <c r="J3" s="95" t="str">
        <f>IF(ISBLANK(IGRF!$L$3), "", "GAME " &amp; IGRF!$L$3)</f>
        <v/>
      </c>
    </row>
    <row r="4" spans="1:10" s="6" customFormat="1" ht="15" customHeight="1" thickBot="1" x14ac:dyDescent="0.3">
      <c r="A4" s="17"/>
      <c r="B4" s="1196" t="s">
        <v>43</v>
      </c>
      <c r="C4" s="1196"/>
      <c r="D4" s="1196" t="s">
        <v>44</v>
      </c>
      <c r="E4" s="1196"/>
      <c r="F4" s="1196"/>
      <c r="G4" s="1175" t="s">
        <v>45</v>
      </c>
      <c r="H4" s="1175"/>
      <c r="I4" s="1192" t="s">
        <v>138</v>
      </c>
      <c r="J4" s="1192"/>
    </row>
    <row r="5" spans="1:10" s="6" customFormat="1" ht="21" customHeight="1" thickBot="1" x14ac:dyDescent="0.3">
      <c r="A5" s="18" t="s">
        <v>115</v>
      </c>
      <c r="B5" s="1190" t="s">
        <v>545</v>
      </c>
      <c r="C5" s="1190"/>
      <c r="D5" s="1181" t="s">
        <v>614</v>
      </c>
      <c r="E5" s="1182"/>
      <c r="F5" s="1180"/>
      <c r="G5" s="1181"/>
      <c r="H5" s="1166"/>
      <c r="I5" s="1193" t="str">
        <f>B1</f>
        <v>Black Rose Rollers / All Stars</v>
      </c>
      <c r="J5" s="1194"/>
    </row>
    <row r="6" spans="1:10" s="6" customFormat="1" ht="21" customHeight="1" thickBot="1" x14ac:dyDescent="0.3">
      <c r="A6" s="19" t="s">
        <v>119</v>
      </c>
      <c r="B6" s="1195"/>
      <c r="C6" s="1195"/>
      <c r="D6" s="1181"/>
      <c r="E6" s="1182"/>
      <c r="F6" s="1180"/>
      <c r="G6" s="1181"/>
      <c r="H6" s="1167"/>
      <c r="I6" s="1193"/>
      <c r="J6" s="1194"/>
    </row>
    <row r="7" spans="1:10" s="6" customFormat="1" ht="21" customHeight="1" thickBot="1" x14ac:dyDescent="0.3">
      <c r="A7" s="18" t="s">
        <v>115</v>
      </c>
      <c r="B7" s="1190" t="s">
        <v>548</v>
      </c>
      <c r="C7" s="1190"/>
      <c r="D7" s="1181"/>
      <c r="E7" s="1182"/>
      <c r="F7" s="1180"/>
      <c r="G7" s="1181" t="s">
        <v>114</v>
      </c>
      <c r="H7" s="1168"/>
      <c r="I7" s="1194" t="str">
        <f>B2</f>
        <v>Steel City Roller Derby / Steel Hurtin'</v>
      </c>
      <c r="J7" s="1194"/>
    </row>
    <row r="8" spans="1:10" s="6" customFormat="1" ht="21" customHeight="1" thickBot="1" x14ac:dyDescent="0.3">
      <c r="A8" s="19" t="s">
        <v>119</v>
      </c>
      <c r="B8" s="1195"/>
      <c r="C8" s="1195"/>
      <c r="D8" s="1181"/>
      <c r="E8" s="1182"/>
      <c r="F8" s="1180"/>
      <c r="G8" s="1181"/>
      <c r="H8" s="1169"/>
      <c r="I8" s="1194"/>
      <c r="J8" s="1194"/>
    </row>
    <row r="9" spans="1:10" x14ac:dyDescent="0.3">
      <c r="A9" s="1187" t="s">
        <v>495</v>
      </c>
      <c r="B9" s="1187"/>
      <c r="C9" s="1187"/>
      <c r="D9" s="1187"/>
      <c r="E9" s="1187"/>
      <c r="F9" s="1187"/>
      <c r="G9" s="1187"/>
      <c r="H9" s="1188"/>
      <c r="I9" s="1187"/>
      <c r="J9" s="1187"/>
    </row>
    <row r="10" spans="1:10" s="20" customFormat="1" ht="15" customHeight="1" x14ac:dyDescent="0.25">
      <c r="A10" s="44" t="s">
        <v>154</v>
      </c>
      <c r="B10" s="45" t="s">
        <v>46</v>
      </c>
      <c r="C10" s="45" t="s">
        <v>47</v>
      </c>
      <c r="D10" s="45" t="s">
        <v>48</v>
      </c>
      <c r="E10" s="1189" t="s">
        <v>49</v>
      </c>
      <c r="F10" s="1189"/>
      <c r="G10" s="1189"/>
      <c r="H10" s="45"/>
      <c r="I10" s="45" t="s">
        <v>50</v>
      </c>
      <c r="J10" s="46" t="s">
        <v>51</v>
      </c>
    </row>
    <row r="11" spans="1:10" ht="25.8" customHeight="1" x14ac:dyDescent="0.3">
      <c r="A11" s="40">
        <f>IF(ISNUMBER(SK!B3), SK!A3, "")</f>
        <v>1</v>
      </c>
      <c r="B11" s="41">
        <v>40</v>
      </c>
      <c r="C11" s="41"/>
      <c r="D11" s="41"/>
      <c r="E11" s="1177"/>
      <c r="F11" s="1178"/>
      <c r="G11" s="1178"/>
      <c r="H11" s="1179"/>
      <c r="I11" s="42" t="str">
        <f>IF(OR(A11="",B11="",B11=0,C11=""),"",60*C11/IF(B11&lt;1,B11*1440,B11))</f>
        <v/>
      </c>
      <c r="J11" s="43">
        <f ca="1">IF(OR(A11="",B11="",B11=0),"",60*SUM(INDIRECT(ADDRESS(MATCH(A11,SK!A$3:A$78,0)+2,COLUMN(SK!E$2),1,,"SK")),INDIRECT(ADDRESS(MATCH(A11,SK!Q$3:Q$78,0)+2,COLUMN(SK!U$2),1,,"SK")))/IF(B11&lt;1,B11*1440,B11))</f>
        <v>6</v>
      </c>
    </row>
    <row r="12" spans="1:10" ht="25.8" customHeight="1" x14ac:dyDescent="0.3">
      <c r="A12" s="25">
        <f>IF(ISNUMBER(SK!B5), SK!A5, "")</f>
        <v>2</v>
      </c>
      <c r="B12" s="26">
        <v>23</v>
      </c>
      <c r="C12" s="26"/>
      <c r="D12" s="26"/>
      <c r="E12" s="1160"/>
      <c r="F12" s="1161"/>
      <c r="G12" s="1161"/>
      <c r="H12" s="1162"/>
      <c r="I12" s="27" t="str">
        <f>IF(OR(A12="",B12="",B12=0,C12=""),"",60*C12/IF(B12&lt;1,B12*1440,B12))</f>
        <v/>
      </c>
      <c r="J12" s="28">
        <f ca="1">IF(OR(A12="",B12="",B12=0),"",60*SUM(INDIRECT(ADDRESS(MATCH(A12,SK!A$3:A$78,0)+2,COLUMN(SK!E$2),1,,"SK")),INDIRECT(ADDRESS(MATCH(A12,SK!Q$3:Q$78,0)+2,COLUMN(SK!U$2),1,,"SK")))/IF(B12&lt;1,B12*1440,B12))</f>
        <v>5.2173913043478262</v>
      </c>
    </row>
    <row r="13" spans="1:10" ht="25.8" customHeight="1" x14ac:dyDescent="0.3">
      <c r="A13" s="21">
        <f>IF(ISNUMBER(SK!B7), SK!A7, "")</f>
        <v>3</v>
      </c>
      <c r="B13" s="22">
        <v>26</v>
      </c>
      <c r="C13" s="22"/>
      <c r="D13" s="22"/>
      <c r="E13" s="1157"/>
      <c r="F13" s="1158"/>
      <c r="G13" s="1158"/>
      <c r="H13" s="1159"/>
      <c r="I13" s="23" t="str">
        <f>IF(OR(A13="",B13="",B13=0,C13=""),"",60*C13/IF(B13&lt;1,B13*1440,B13))</f>
        <v/>
      </c>
      <c r="J13" s="24">
        <f ca="1">IF(OR(A13="",B13="",B13=0),"",60*SUM(INDIRECT(ADDRESS(MATCH(A13,SK!A$3:A$78,0)+2,COLUMN(SK!E$2),1,,"SK")),INDIRECT(ADDRESS(MATCH(A13,SK!Q$3:Q$78,0)+2,COLUMN(SK!U$2),1,,"SK")))/IF(B13&lt;1,B13*1440,B13))</f>
        <v>6.9230769230769234</v>
      </c>
    </row>
    <row r="14" spans="1:10" ht="25.8" customHeight="1" x14ac:dyDescent="0.3">
      <c r="A14" s="25">
        <f>IF(ISNUMBER(SK!B9), SK!A9, "")</f>
        <v>4</v>
      </c>
      <c r="B14" s="26">
        <v>120</v>
      </c>
      <c r="C14" s="26"/>
      <c r="D14" s="26"/>
      <c r="E14" s="1160"/>
      <c r="F14" s="1161"/>
      <c r="G14" s="1161"/>
      <c r="H14" s="1162"/>
      <c r="I14" s="27" t="str">
        <f t="shared" ref="I14:I30" si="0">IF(OR(A14="",B14="",B14=0,C14=""),"",60*C14/IF(B14&lt;1,B14*1440,B14))</f>
        <v/>
      </c>
      <c r="J14" s="28">
        <f ca="1">IF(OR(A14="",B14="",B14=0),"",60*SUM(INDIRECT(ADDRESS(MATCH(A14,SK!A$3:A$78,0)+2,COLUMN(SK!E$2),1,,"SK")),INDIRECT(ADDRESS(MATCH(A14,SK!Q$3:Q$78,0)+2,COLUMN(SK!U$2),1,,"SK")))/IF(B14&lt;1,B14*1440,B14))</f>
        <v>6</v>
      </c>
    </row>
    <row r="15" spans="1:10" ht="25.8" customHeight="1" x14ac:dyDescent="0.3">
      <c r="A15" s="21">
        <f>IF(ISNUMBER(SK!B11), SK!A11, "")</f>
        <v>5</v>
      </c>
      <c r="B15" s="22">
        <v>120</v>
      </c>
      <c r="C15" s="22"/>
      <c r="D15" s="22"/>
      <c r="E15" s="1157"/>
      <c r="F15" s="1158"/>
      <c r="G15" s="1158"/>
      <c r="H15" s="1159"/>
      <c r="I15" s="23" t="str">
        <f t="shared" si="0"/>
        <v/>
      </c>
      <c r="J15" s="24">
        <f ca="1">IF(OR(A15="",B15="",B15=0),"",60*SUM(INDIRECT(ADDRESS(MATCH(A15,SK!A$3:A$78,0)+2,COLUMN(SK!E$2),1,,"SK")),INDIRECT(ADDRESS(MATCH(A15,SK!Q$3:Q$78,0)+2,COLUMN(SK!U$2),1,,"SK")))/IF(B15&lt;1,B15*1440,B15))</f>
        <v>4</v>
      </c>
    </row>
    <row r="16" spans="1:10" ht="25.8" customHeight="1" x14ac:dyDescent="0.3">
      <c r="A16" s="25">
        <f>IF(ISNUMBER(SK!B13), SK!A13, "")</f>
        <v>6</v>
      </c>
      <c r="B16" s="26">
        <v>18</v>
      </c>
      <c r="C16" s="26"/>
      <c r="D16" s="26"/>
      <c r="E16" s="1160"/>
      <c r="F16" s="1161"/>
      <c r="G16" s="1161"/>
      <c r="H16" s="1162"/>
      <c r="I16" s="27" t="str">
        <f t="shared" si="0"/>
        <v/>
      </c>
      <c r="J16" s="28">
        <f ca="1">IF(OR(A16="",B16="",B16=0),"",60*SUM(INDIRECT(ADDRESS(MATCH(A16,SK!A$3:A$78,0)+2,COLUMN(SK!E$2),1,,"SK")),INDIRECT(ADDRESS(MATCH(A16,SK!Q$3:Q$78,0)+2,COLUMN(SK!U$2),1,,"SK")))/IF(B16&lt;1,B16*1440,B16))</f>
        <v>0</v>
      </c>
    </row>
    <row r="17" spans="1:10" ht="25.8" customHeight="1" x14ac:dyDescent="0.3">
      <c r="A17" s="21">
        <f>IF(ISNUMBER(SK!B15), SK!A15, "")</f>
        <v>7</v>
      </c>
      <c r="B17" s="22">
        <v>120</v>
      </c>
      <c r="C17" s="22"/>
      <c r="D17" s="22"/>
      <c r="E17" s="1157"/>
      <c r="F17" s="1158"/>
      <c r="G17" s="1158"/>
      <c r="H17" s="1159"/>
      <c r="I17" s="23" t="str">
        <f t="shared" si="0"/>
        <v/>
      </c>
      <c r="J17" s="24">
        <f ca="1">IF(OR(A17="",B17="",B17=0),"",60*SUM(INDIRECT(ADDRESS(MATCH(A17,SK!A$3:A$78,0)+2,COLUMN(SK!E$2),1,,"SK")),INDIRECT(ADDRESS(MATCH(A17,SK!Q$3:Q$78,0)+2,COLUMN(SK!U$2),1,,"SK")))/IF(B17&lt;1,B17*1440,B17))</f>
        <v>4</v>
      </c>
    </row>
    <row r="18" spans="1:10" ht="25.8" customHeight="1" x14ac:dyDescent="0.3">
      <c r="A18" s="25">
        <f>IF(ISNUMBER(SK!B17), SK!A17, "")</f>
        <v>8</v>
      </c>
      <c r="B18" s="26">
        <v>76</v>
      </c>
      <c r="C18" s="26"/>
      <c r="D18" s="26"/>
      <c r="E18" s="1160"/>
      <c r="F18" s="1161"/>
      <c r="G18" s="1161"/>
      <c r="H18" s="1162"/>
      <c r="I18" s="27" t="str">
        <f t="shared" si="0"/>
        <v/>
      </c>
      <c r="J18" s="28">
        <f ca="1">IF(OR(A18="",B18="",B18=0),"",60*SUM(INDIRECT(ADDRESS(MATCH(A18,SK!A$3:A$78,0)+2,COLUMN(SK!E$2),1,,"SK")),INDIRECT(ADDRESS(MATCH(A18,SK!Q$3:Q$78,0)+2,COLUMN(SK!U$2),1,,"SK")))/IF(B18&lt;1,B18*1440,B18))</f>
        <v>3.1578947368421053</v>
      </c>
    </row>
    <row r="19" spans="1:10" ht="25.8" customHeight="1" x14ac:dyDescent="0.3">
      <c r="A19" s="21">
        <f>IF(ISNUMBER(SK!B19), SK!A19, "")</f>
        <v>9</v>
      </c>
      <c r="B19" s="22">
        <v>21</v>
      </c>
      <c r="C19" s="22"/>
      <c r="D19" s="22"/>
      <c r="E19" s="1157"/>
      <c r="F19" s="1158"/>
      <c r="G19" s="1158"/>
      <c r="H19" s="1159"/>
      <c r="I19" s="23" t="str">
        <f t="shared" si="0"/>
        <v/>
      </c>
      <c r="J19" s="24">
        <f ca="1">IF(OR(A19="",B19="",B19=0),"",60*SUM(INDIRECT(ADDRESS(MATCH(A19,SK!A$3:A$78,0)+2,COLUMN(SK!E$2),1,,"SK")),INDIRECT(ADDRESS(MATCH(A19,SK!Q$3:Q$78,0)+2,COLUMN(SK!U$2),1,,"SK")))/IF(B19&lt;1,B19*1440,B19))</f>
        <v>11.428571428571429</v>
      </c>
    </row>
    <row r="20" spans="1:10" ht="25.8" customHeight="1" x14ac:dyDescent="0.3">
      <c r="A20" s="25">
        <f>IF(ISNUMBER(SK!B21), SK!A21, "")</f>
        <v>10</v>
      </c>
      <c r="B20" s="26">
        <v>50</v>
      </c>
      <c r="C20" s="26"/>
      <c r="D20" s="26"/>
      <c r="E20" s="1160"/>
      <c r="F20" s="1161"/>
      <c r="G20" s="1161"/>
      <c r="H20" s="1162"/>
      <c r="I20" s="27" t="str">
        <f t="shared" si="0"/>
        <v/>
      </c>
      <c r="J20" s="28">
        <f ca="1">IF(OR(A20="",B20="",B20=0),"",60*SUM(INDIRECT(ADDRESS(MATCH(A20,SK!A$3:A$78,0)+2,COLUMN(SK!E$2),1,,"SK")),INDIRECT(ADDRESS(MATCH(A20,SK!Q$3:Q$78,0)+2,COLUMN(SK!U$2),1,,"SK")))/IF(B20&lt;1,B20*1440,B20))</f>
        <v>4.8</v>
      </c>
    </row>
    <row r="21" spans="1:10" ht="25.8" customHeight="1" x14ac:dyDescent="0.3">
      <c r="A21" s="21">
        <f>IF(ISNUMBER(SK!B23), SK!A23, "")</f>
        <v>11</v>
      </c>
      <c r="B21" s="22">
        <v>71</v>
      </c>
      <c r="C21" s="22"/>
      <c r="D21" s="22"/>
      <c r="E21" s="1157"/>
      <c r="F21" s="1158"/>
      <c r="G21" s="1158"/>
      <c r="H21" s="1159"/>
      <c r="I21" s="23" t="str">
        <f t="shared" si="0"/>
        <v/>
      </c>
      <c r="J21" s="24">
        <f ca="1">IF(OR(A21="",B21="",B21=0),"",60*SUM(INDIRECT(ADDRESS(MATCH(A21,SK!A$3:A$78,0)+2,COLUMN(SK!E$2),1,,"SK")),INDIRECT(ADDRESS(MATCH(A21,SK!Q$3:Q$78,0)+2,COLUMN(SK!U$2),1,,"SK")))/IF(B21&lt;1,B21*1440,B21))</f>
        <v>0</v>
      </c>
    </row>
    <row r="22" spans="1:10" ht="25.8" customHeight="1" x14ac:dyDescent="0.3">
      <c r="A22" s="25">
        <f>IF(ISNUMBER(SK!B25), SK!A25, "")</f>
        <v>12</v>
      </c>
      <c r="B22" s="26">
        <v>40</v>
      </c>
      <c r="C22" s="26"/>
      <c r="D22" s="26"/>
      <c r="E22" s="1160"/>
      <c r="F22" s="1161"/>
      <c r="G22" s="1161"/>
      <c r="H22" s="1162"/>
      <c r="I22" s="27" t="str">
        <f t="shared" si="0"/>
        <v/>
      </c>
      <c r="J22" s="28">
        <f ca="1">IF(OR(A22="",B22="",B22=0),"",60*SUM(INDIRECT(ADDRESS(MATCH(A22,SK!A$3:A$78,0)+2,COLUMN(SK!E$2),1,,"SK")),INDIRECT(ADDRESS(MATCH(A22,SK!Q$3:Q$78,0)+2,COLUMN(SK!U$2),1,,"SK")))/IF(B22&lt;1,B22*1440,B22))</f>
        <v>6</v>
      </c>
    </row>
    <row r="23" spans="1:10" ht="25.8" customHeight="1" x14ac:dyDescent="0.3">
      <c r="A23" s="21">
        <f>IF(ISNUMBER(SK!B27), SK!A27, "")</f>
        <v>13</v>
      </c>
      <c r="B23" s="22">
        <v>96</v>
      </c>
      <c r="C23" s="22"/>
      <c r="D23" s="22" t="s">
        <v>620</v>
      </c>
      <c r="E23" s="1157" t="s">
        <v>621</v>
      </c>
      <c r="F23" s="1158"/>
      <c r="G23" s="1158"/>
      <c r="H23" s="1159"/>
      <c r="I23" s="23" t="str">
        <f t="shared" si="0"/>
        <v/>
      </c>
      <c r="J23" s="24">
        <f ca="1">IF(OR(A23="",B23="",B23=0),"",60*SUM(INDIRECT(ADDRESS(MATCH(A23,SK!A$3:A$78,0)+2,COLUMN(SK!E$2),1,,"SK")),INDIRECT(ADDRESS(MATCH(A23,SK!Q$3:Q$78,0)+2,COLUMN(SK!U$2),1,,"SK")))/IF(B23&lt;1,B23*1440,B23))</f>
        <v>4.375</v>
      </c>
    </row>
    <row r="24" spans="1:10" ht="25.8" customHeight="1" x14ac:dyDescent="0.3">
      <c r="A24" s="25">
        <f>IF(ISNUMBER(SK!B29), SK!A29, "")</f>
        <v>14</v>
      </c>
      <c r="B24" s="26">
        <v>40</v>
      </c>
      <c r="C24" s="26"/>
      <c r="D24" s="26"/>
      <c r="E24" s="1160"/>
      <c r="F24" s="1161"/>
      <c r="G24" s="1161"/>
      <c r="H24" s="1162"/>
      <c r="I24" s="27" t="str">
        <f t="shared" si="0"/>
        <v/>
      </c>
      <c r="J24" s="28">
        <f ca="1">IF(OR(A24="",B24="",B24=0),"",60*SUM(INDIRECT(ADDRESS(MATCH(A24,SK!A$3:A$78,0)+2,COLUMN(SK!E$2),1,,"SK")),INDIRECT(ADDRESS(MATCH(A24,SK!Q$3:Q$78,0)+2,COLUMN(SK!U$2),1,,"SK")))/IF(B24&lt;1,B24*1440,B24))</f>
        <v>6</v>
      </c>
    </row>
    <row r="25" spans="1:10" ht="25.8" customHeight="1" x14ac:dyDescent="0.3">
      <c r="A25" s="21">
        <f>IF(ISNUMBER(SK!B31), SK!A31, "")</f>
        <v>15</v>
      </c>
      <c r="B25" s="22">
        <v>38</v>
      </c>
      <c r="C25" s="22"/>
      <c r="D25" s="22"/>
      <c r="E25" s="1157"/>
      <c r="F25" s="1158"/>
      <c r="G25" s="1158"/>
      <c r="H25" s="1159"/>
      <c r="I25" s="23" t="str">
        <f t="shared" si="0"/>
        <v/>
      </c>
      <c r="J25" s="24">
        <f ca="1">IF(OR(A25="",B25="",B25=0),"",60*SUM(INDIRECT(ADDRESS(MATCH(A25,SK!A$3:A$78,0)+2,COLUMN(SK!E$2),1,,"SK")),INDIRECT(ADDRESS(MATCH(A25,SK!Q$3:Q$78,0)+2,COLUMN(SK!U$2),1,,"SK")))/IF(B25&lt;1,B25*1440,B25))</f>
        <v>11.052631578947368</v>
      </c>
    </row>
    <row r="26" spans="1:10" ht="25.8" customHeight="1" x14ac:dyDescent="0.3">
      <c r="A26" s="25">
        <f>IF(ISNUMBER(SK!B33), SK!A33, "")</f>
        <v>16</v>
      </c>
      <c r="B26" s="26">
        <v>26</v>
      </c>
      <c r="C26" s="26"/>
      <c r="D26" s="26"/>
      <c r="E26" s="1160"/>
      <c r="F26" s="1161"/>
      <c r="G26" s="1161"/>
      <c r="H26" s="1162"/>
      <c r="I26" s="27" t="str">
        <f t="shared" si="0"/>
        <v/>
      </c>
      <c r="J26" s="28">
        <f ca="1">IF(OR(A26="",B26="",B26=0),"",60*SUM(INDIRECT(ADDRESS(MATCH(A26,SK!A$3:A$78,0)+2,COLUMN(SK!E$2),1,,"SK")),INDIRECT(ADDRESS(MATCH(A26,SK!Q$3:Q$78,0)+2,COLUMN(SK!U$2),1,,"SK")))/IF(B26&lt;1,B26*1440,B26))</f>
        <v>9.2307692307692299</v>
      </c>
    </row>
    <row r="27" spans="1:10" ht="25.8" customHeight="1" x14ac:dyDescent="0.3">
      <c r="A27" s="21">
        <f>IF(ISNUMBER(SK!B35), SK!A35, "")</f>
        <v>17</v>
      </c>
      <c r="B27" s="22">
        <v>120</v>
      </c>
      <c r="C27" s="22"/>
      <c r="D27" s="22"/>
      <c r="E27" s="1157"/>
      <c r="F27" s="1158"/>
      <c r="G27" s="1158"/>
      <c r="H27" s="1159"/>
      <c r="I27" s="23" t="str">
        <f t="shared" si="0"/>
        <v/>
      </c>
      <c r="J27" s="24">
        <f ca="1">IF(OR(A27="",B27="",B27=0),"",60*SUM(INDIRECT(ADDRESS(MATCH(A27,SK!A$3:A$78,0)+2,COLUMN(SK!E$2),1,,"SK")),INDIRECT(ADDRESS(MATCH(A27,SK!Q$3:Q$78,0)+2,COLUMN(SK!U$2),1,,"SK")))/IF(B27&lt;1,B27*1440,B27))</f>
        <v>5.5</v>
      </c>
    </row>
    <row r="28" spans="1:10" ht="25.8" customHeight="1" x14ac:dyDescent="0.3">
      <c r="A28" s="25">
        <f>IF(ISNUMBER(SK!B37), SK!A37, "")</f>
        <v>18</v>
      </c>
      <c r="B28" s="26">
        <v>30</v>
      </c>
      <c r="C28" s="26"/>
      <c r="D28" s="26" t="s">
        <v>622</v>
      </c>
      <c r="E28" s="1160" t="s">
        <v>623</v>
      </c>
      <c r="F28" s="1161"/>
      <c r="G28" s="1161"/>
      <c r="H28" s="1162"/>
      <c r="I28" s="27" t="str">
        <f t="shared" si="0"/>
        <v/>
      </c>
      <c r="J28" s="28">
        <f ca="1">IF(OR(A28="",B28="",B28=0),"",60*SUM(INDIRECT(ADDRESS(MATCH(A28,SK!A$3:A$78,0)+2,COLUMN(SK!E$2),1,,"SK")),INDIRECT(ADDRESS(MATCH(A28,SK!Q$3:Q$78,0)+2,COLUMN(SK!U$2),1,,"SK")))/IF(B28&lt;1,B28*1440,B28))</f>
        <v>2</v>
      </c>
    </row>
    <row r="29" spans="1:10" ht="25.8" customHeight="1" x14ac:dyDescent="0.3">
      <c r="A29" s="21">
        <f>IF(ISNUMBER(SK!B39), SK!A39, "")</f>
        <v>19</v>
      </c>
      <c r="B29" s="22">
        <v>120</v>
      </c>
      <c r="C29" s="22"/>
      <c r="D29" s="22" t="s">
        <v>624</v>
      </c>
      <c r="E29" s="1157" t="s">
        <v>625</v>
      </c>
      <c r="F29" s="1158"/>
      <c r="G29" s="1158"/>
      <c r="H29" s="1159"/>
      <c r="I29" s="23" t="str">
        <f t="shared" si="0"/>
        <v/>
      </c>
      <c r="J29" s="24">
        <f ca="1">IF(OR(A29="",B29="",B29=0),"",60*SUM(INDIRECT(ADDRESS(MATCH(A29,SK!A$3:A$78,0)+2,COLUMN(SK!E$2),1,,"SK")),INDIRECT(ADDRESS(MATCH(A29,SK!Q$3:Q$78,0)+2,COLUMN(SK!U$2),1,,"SK")))/IF(B29&lt;1,B29*1440,B29))</f>
        <v>5.5</v>
      </c>
    </row>
    <row r="30" spans="1:10" ht="25.8" customHeight="1" x14ac:dyDescent="0.3">
      <c r="A30" s="25">
        <f>IF(ISNUMBER(SK!B41), SK!A41, "")</f>
        <v>20</v>
      </c>
      <c r="B30" s="26">
        <v>86</v>
      </c>
      <c r="C30" s="26"/>
      <c r="D30" s="26"/>
      <c r="E30" s="1160"/>
      <c r="F30" s="1161"/>
      <c r="G30" s="1161"/>
      <c r="H30" s="1162"/>
      <c r="I30" s="27" t="str">
        <f t="shared" si="0"/>
        <v/>
      </c>
      <c r="J30" s="28">
        <f ca="1">IF(OR(A30="",B30="",B30=0),"",60*SUM(INDIRECT(ADDRESS(MATCH(A30,SK!A$3:A$78,0)+2,COLUMN(SK!E$2),1,,"SK")),INDIRECT(ADDRESS(MATCH(A30,SK!Q$3:Q$78,0)+2,COLUMN(SK!U$2),1,,"SK")))/IF(B30&lt;1,B30*1440,B30))</f>
        <v>9.7674418604651159</v>
      </c>
    </row>
    <row r="31" spans="1:10" ht="25.8" customHeight="1" x14ac:dyDescent="0.3">
      <c r="A31" s="21" t="str">
        <f>IF(ISNUMBER(SK!B43), SK!A43, "")</f>
        <v/>
      </c>
      <c r="B31" s="22"/>
      <c r="C31" s="22"/>
      <c r="D31" s="22"/>
      <c r="E31" s="1157"/>
      <c r="F31" s="1158"/>
      <c r="G31" s="1158"/>
      <c r="H31" s="1159"/>
      <c r="I31" s="23" t="str">
        <f t="shared" ref="I31:I36" si="1">IF(OR(A31="",B31="",B31=0,C31=""),"",60*C31/IF(B31&lt;1,B31*1440,B31))</f>
        <v/>
      </c>
      <c r="J31" s="24" t="str">
        <f ca="1">IF(OR(A31="",B31="",B31=0),"",60*SUM(INDIRECT(ADDRESS(MATCH(A31,SK!A$3:A$78,0)+2,COLUMN(SK!E$2),1,,"SK")),INDIRECT(ADDRESS(MATCH(A31,SK!Q$3:Q$78,0)+2,COLUMN(SK!U$2),1,,"SK")))/IF(B31&lt;1,B31*1440,B31))</f>
        <v/>
      </c>
    </row>
    <row r="32" spans="1:10" ht="25.8" customHeight="1" x14ac:dyDescent="0.3">
      <c r="A32" s="25" t="str">
        <f>IF(ISNUMBER(SK!B45), SK!A45, "")</f>
        <v/>
      </c>
      <c r="B32" s="26"/>
      <c r="C32" s="26"/>
      <c r="D32" s="26"/>
      <c r="E32" s="1160"/>
      <c r="F32" s="1161"/>
      <c r="G32" s="1161"/>
      <c r="H32" s="1162"/>
      <c r="I32" s="27" t="str">
        <f t="shared" si="1"/>
        <v/>
      </c>
      <c r="J32" s="28" t="str">
        <f ca="1">IF(OR(A32="",B32="",B32=0),"",60*SUM(INDIRECT(ADDRESS(MATCH(A32,SK!A$3:A$78,0)+2,COLUMN(SK!E$2),1,,"SK")),INDIRECT(ADDRESS(MATCH(A32,SK!Q$3:Q$78,0)+2,COLUMN(SK!U$2),1,,"SK")))/IF(B32&lt;1,B32*1440,B32))</f>
        <v/>
      </c>
    </row>
    <row r="33" spans="1:10" ht="25.8" customHeight="1" x14ac:dyDescent="0.3">
      <c r="A33" s="21" t="str">
        <f>IF(ISNUMBER(SK!B47), SK!A47, "")</f>
        <v/>
      </c>
      <c r="B33" s="22"/>
      <c r="C33" s="22"/>
      <c r="D33" s="22"/>
      <c r="E33" s="1157"/>
      <c r="F33" s="1158"/>
      <c r="G33" s="1158"/>
      <c r="H33" s="1159"/>
      <c r="I33" s="23" t="str">
        <f t="shared" si="1"/>
        <v/>
      </c>
      <c r="J33" s="24" t="str">
        <f ca="1">IF(OR(A33="",B33="",B33=0),"",60*SUM(INDIRECT(ADDRESS(MATCH(A33,SK!A$3:A$78,0)+2,COLUMN(SK!E$2),1,,"SK")),INDIRECT(ADDRESS(MATCH(A33,SK!Q$3:Q$78,0)+2,COLUMN(SK!U$2),1,,"SK")))/IF(B33&lt;1,B33*1440,B33))</f>
        <v/>
      </c>
    </row>
    <row r="34" spans="1:10" ht="25.8" customHeight="1" x14ac:dyDescent="0.3">
      <c r="A34" s="25" t="str">
        <f>IF(ISNUMBER(SK!B49), SK!A49, "")</f>
        <v/>
      </c>
      <c r="B34" s="26"/>
      <c r="C34" s="26"/>
      <c r="D34" s="26"/>
      <c r="E34" s="1160"/>
      <c r="F34" s="1161"/>
      <c r="G34" s="1161"/>
      <c r="H34" s="1162"/>
      <c r="I34" s="27" t="str">
        <f t="shared" si="1"/>
        <v/>
      </c>
      <c r="J34" s="28" t="str">
        <f ca="1">IF(OR(A34="",B34="",B34=0),"",60*SUM(INDIRECT(ADDRESS(MATCH(A34,SK!A$3:A$78,0)+2,COLUMN(SK!E$2),1,,"SK")),INDIRECT(ADDRESS(MATCH(A34,SK!Q$3:Q$78,0)+2,COLUMN(SK!U$2),1,,"SK")))/IF(B34&lt;1,B34*1440,B34))</f>
        <v/>
      </c>
    </row>
    <row r="35" spans="1:10" ht="25.8" customHeight="1" x14ac:dyDescent="0.3">
      <c r="A35" s="21" t="str">
        <f>IF(ISNUMBER(SK!B51), SK!A51, "")</f>
        <v/>
      </c>
      <c r="B35" s="22"/>
      <c r="C35" s="22"/>
      <c r="D35" s="22"/>
      <c r="E35" s="1157"/>
      <c r="F35" s="1158"/>
      <c r="G35" s="1158"/>
      <c r="H35" s="1159"/>
      <c r="I35" s="23" t="str">
        <f t="shared" si="1"/>
        <v/>
      </c>
      <c r="J35" s="24" t="str">
        <f ca="1">IF(OR(A35="",B35="",B35=0),"",60*SUM(INDIRECT(ADDRESS(MATCH(A35,SK!A$3:A$78,0)+2,COLUMN(SK!E$2),1,,"SK")),INDIRECT(ADDRESS(MATCH(A35,SK!Q$3:Q$78,0)+2,COLUMN(SK!U$2),1,,"SK")))/IF(B35&lt;1,B35*1440,B35))</f>
        <v/>
      </c>
    </row>
    <row r="36" spans="1:10" ht="25.8" customHeight="1" x14ac:dyDescent="0.3">
      <c r="A36" s="25" t="str">
        <f>IF(ISNUMBER(SK!B53), SK!A53, "")</f>
        <v/>
      </c>
      <c r="B36" s="26"/>
      <c r="C36" s="26"/>
      <c r="D36" s="26"/>
      <c r="E36" s="1160"/>
      <c r="F36" s="1161"/>
      <c r="G36" s="1161"/>
      <c r="H36" s="1162"/>
      <c r="I36" s="27" t="str">
        <f t="shared" si="1"/>
        <v/>
      </c>
      <c r="J36" s="28" t="str">
        <f ca="1">IF(OR(A36="",B36="",B36=0),"",60*SUM(INDIRECT(ADDRESS(MATCH(A36,SK!A$3:A$78,0)+2,COLUMN(SK!E$2),1,,"SK")),INDIRECT(ADDRESS(MATCH(A36,SK!Q$3:Q$78,0)+2,COLUMN(SK!U$2),1,,"SK")))/IF(B36&lt;1,B36*1440,B36))</f>
        <v/>
      </c>
    </row>
    <row r="37" spans="1:10" ht="25.8" customHeight="1" x14ac:dyDescent="0.3">
      <c r="A37" s="21" t="str">
        <f>IF(ISNUMBER(SK!B55), SK!A55, "")</f>
        <v/>
      </c>
      <c r="B37" s="22"/>
      <c r="C37" s="22"/>
      <c r="D37" s="22"/>
      <c r="E37" s="1157"/>
      <c r="F37" s="1158"/>
      <c r="G37" s="1158"/>
      <c r="H37" s="1159"/>
      <c r="I37" s="23" t="str">
        <f>IF(OR(A37="",B37="",B37=0,C37=""),"",60*C37/IF(B37&lt;1,B37*1440,B37))</f>
        <v/>
      </c>
      <c r="J37" s="24" t="str">
        <f ca="1">IF(OR(A37="",B37="",B37=0),"",60*SUM(INDIRECT(ADDRESS(MATCH(A37,SK!A$3:A$78,0)+2,COLUMN(SK!E$2),1,,"SK")),INDIRECT(ADDRESS(MATCH(A37,SK!Q$3:Q$78,0)+2,COLUMN(SK!U$2),1,,"SK")))/IF(B37&lt;1,B37*1440,B37))</f>
        <v/>
      </c>
    </row>
    <row r="38" spans="1:10" ht="25.8" customHeight="1" x14ac:dyDescent="0.3">
      <c r="A38" s="25" t="str">
        <f>IF(ISNUMBER(SK!B57), SK!A57, "")</f>
        <v/>
      </c>
      <c r="B38" s="26"/>
      <c r="C38" s="26"/>
      <c r="D38" s="26"/>
      <c r="E38" s="1160"/>
      <c r="F38" s="1161"/>
      <c r="G38" s="1161"/>
      <c r="H38" s="1162"/>
      <c r="I38" s="27" t="str">
        <f>IF(OR(A38="",B38="",B38=0,C38=""),"",60*C38/IF(B38&lt;1,B38*1440,B38))</f>
        <v/>
      </c>
      <c r="J38" s="28" t="str">
        <f ca="1">IF(OR(A38="",B38="",B38=0),"",60*SUM(INDIRECT(ADDRESS(MATCH(A38,SK!A$3:A$78,0)+2,COLUMN(SK!E$2),1,,"SK")),INDIRECT(ADDRESS(MATCH(A38,SK!Q$3:Q$78,0)+2,COLUMN(SK!U$2),1,,"SK")))/IF(B38&lt;1,B38*1440,B38))</f>
        <v/>
      </c>
    </row>
    <row r="39" spans="1:10" ht="25.8" customHeight="1" x14ac:dyDescent="0.3">
      <c r="A39" s="21" t="str">
        <f>IF(ISNUMBER(SK!B59), SK!A59, "")</f>
        <v/>
      </c>
      <c r="B39" s="22"/>
      <c r="C39" s="22"/>
      <c r="D39" s="22"/>
      <c r="E39" s="1157"/>
      <c r="F39" s="1158"/>
      <c r="G39" s="1158"/>
      <c r="H39" s="1159"/>
      <c r="I39" s="23" t="str">
        <f>IF(OR(A39="",B39="",B39=0,C39=""),"",60*C39/IF(B39&lt;1,B39*1440,B39))</f>
        <v/>
      </c>
      <c r="J39" s="24" t="str">
        <f ca="1">IF(OR(A39="",B39="",B39=0),"",60*SUM(INDIRECT(ADDRESS(MATCH(A39,SK!A$3:A$78,0)+2,COLUMN(SK!E$2),1,,"SK")),INDIRECT(ADDRESS(MATCH(A39,SK!Q$3:Q$78,0)+2,COLUMN(SK!U$2),1,,"SK")))/IF(B39&lt;1,B39*1440,B39))</f>
        <v/>
      </c>
    </row>
    <row r="40" spans="1:10" ht="25.8" customHeight="1" x14ac:dyDescent="0.3">
      <c r="A40" s="25" t="str">
        <f>IF(ISNUMBER(SK!B61), SK!A61, "")</f>
        <v/>
      </c>
      <c r="B40" s="26"/>
      <c r="C40" s="26"/>
      <c r="D40" s="26"/>
      <c r="E40" s="1160"/>
      <c r="F40" s="1161"/>
      <c r="G40" s="1161"/>
      <c r="H40" s="1162"/>
      <c r="I40" s="27" t="str">
        <f>IF(OR(A40="",B40="",B40=0,C40=""),"",60*C40/IF(B40&lt;1,B40*1440,B40))</f>
        <v/>
      </c>
      <c r="J40" s="28" t="str">
        <f ca="1">IF(OR(A40="",B40="",B40=0),"",60*SUM(INDIRECT(ADDRESS(MATCH(A40,SK!A$3:A$78,0)+2,COLUMN(SK!E$2),1,,"SK")),INDIRECT(ADDRESS(MATCH(A40,SK!Q$3:Q$78,0)+2,COLUMN(SK!U$2),1,,"SK")))/IF(B40&lt;1,B40*1440,B40))</f>
        <v/>
      </c>
    </row>
    <row r="41" spans="1:10" ht="25.8" customHeight="1" x14ac:dyDescent="0.3">
      <c r="A41" s="21" t="str">
        <f>IF(ISNUMBER(SK!B63), SK!A63, "")</f>
        <v/>
      </c>
      <c r="B41" s="22"/>
      <c r="C41" s="22"/>
      <c r="D41" s="22"/>
      <c r="E41" s="1157"/>
      <c r="F41" s="1158"/>
      <c r="G41" s="1158"/>
      <c r="H41" s="1159"/>
      <c r="I41" s="23" t="str">
        <f t="shared" ref="I41:I48" si="2">IF(OR(A41="",B41="",B41=0,C41=""),"",60*C41/IF(B41&lt;1,B41*1440,B41))</f>
        <v/>
      </c>
      <c r="J41" s="24" t="str">
        <f ca="1">IF(OR(A41="",B41="",B41=0),"",60*SUM(INDIRECT(ADDRESS(MATCH(A41,SK!A$3:A$78,0)+2,COLUMN(SK!E$2),1,,"SK")),INDIRECT(ADDRESS(MATCH(A41,SK!Q$3:Q$78,0)+2,COLUMN(SK!U$2),1,,"SK")))/IF(B41&lt;1,B41*1440,B41))</f>
        <v/>
      </c>
    </row>
    <row r="42" spans="1:10" ht="25.8" customHeight="1" x14ac:dyDescent="0.3">
      <c r="A42" s="25" t="str">
        <f>IF(ISNUMBER(SK!B65), SK!A65, "")</f>
        <v/>
      </c>
      <c r="B42" s="26"/>
      <c r="C42" s="26"/>
      <c r="D42" s="26"/>
      <c r="E42" s="1160"/>
      <c r="F42" s="1161"/>
      <c r="G42" s="1161"/>
      <c r="H42" s="1162"/>
      <c r="I42" s="27" t="str">
        <f t="shared" si="2"/>
        <v/>
      </c>
      <c r="J42" s="28" t="str">
        <f ca="1">IF(OR(A42="",B42="",B42=0),"",60*SUM(INDIRECT(ADDRESS(MATCH(A42,SK!A$3:A$78,0)+2,COLUMN(SK!E$2),1,,"SK")),INDIRECT(ADDRESS(MATCH(A42,SK!Q$3:Q$78,0)+2,COLUMN(SK!U$2),1,,"SK")))/IF(B42&lt;1,B42*1440,B42))</f>
        <v/>
      </c>
    </row>
    <row r="43" spans="1:10" ht="25.8" customHeight="1" x14ac:dyDescent="0.3">
      <c r="A43" s="21" t="str">
        <f>IF(ISNUMBER(SK!B67), SK!A67, "")</f>
        <v/>
      </c>
      <c r="B43" s="22"/>
      <c r="C43" s="22"/>
      <c r="D43" s="22"/>
      <c r="E43" s="1157"/>
      <c r="F43" s="1158"/>
      <c r="G43" s="1158"/>
      <c r="H43" s="1159"/>
      <c r="I43" s="23" t="str">
        <f t="shared" si="2"/>
        <v/>
      </c>
      <c r="J43" s="24" t="str">
        <f ca="1">IF(OR(A43="",B43="",B43=0),"",60*SUM(INDIRECT(ADDRESS(MATCH(A43,SK!A$3:A$78,0)+2,COLUMN(SK!E$2),1,,"SK")),INDIRECT(ADDRESS(MATCH(A43,SK!Q$3:Q$78,0)+2,COLUMN(SK!U$2),1,,"SK")))/IF(B43&lt;1,B43*1440,B43))</f>
        <v/>
      </c>
    </row>
    <row r="44" spans="1:10" ht="25.8" customHeight="1" x14ac:dyDescent="0.3">
      <c r="A44" s="25" t="str">
        <f>IF(ISNUMBER(SK!B69), SK!A69, "")</f>
        <v/>
      </c>
      <c r="B44" s="26"/>
      <c r="C44" s="26"/>
      <c r="D44" s="26"/>
      <c r="E44" s="1160"/>
      <c r="F44" s="1161"/>
      <c r="G44" s="1161"/>
      <c r="H44" s="1162"/>
      <c r="I44" s="27" t="str">
        <f t="shared" si="2"/>
        <v/>
      </c>
      <c r="J44" s="28" t="str">
        <f ca="1">IF(OR(A44="",B44="",B44=0),"",60*SUM(INDIRECT(ADDRESS(MATCH(A44,SK!A$3:A$78,0)+2,COLUMN(SK!E$2),1,,"SK")),INDIRECT(ADDRESS(MATCH(A44,SK!Q$3:Q$78,0)+2,COLUMN(SK!U$2),1,,"SK")))/IF(B44&lt;1,B44*1440,B44))</f>
        <v/>
      </c>
    </row>
    <row r="45" spans="1:10" ht="25.8" customHeight="1" x14ac:dyDescent="0.3">
      <c r="A45" s="21" t="str">
        <f>IF(ISNUMBER(SK!B71), SK!A71, "")</f>
        <v/>
      </c>
      <c r="B45" s="22"/>
      <c r="C45" s="22"/>
      <c r="D45" s="22"/>
      <c r="E45" s="1157"/>
      <c r="F45" s="1158"/>
      <c r="G45" s="1158"/>
      <c r="H45" s="1159"/>
      <c r="I45" s="23" t="str">
        <f t="shared" si="2"/>
        <v/>
      </c>
      <c r="J45" s="24" t="str">
        <f ca="1">IF(OR(A45="",B45="",B45=0),"",60*SUM(INDIRECT(ADDRESS(MATCH(A45,SK!A$3:A$78,0)+2,COLUMN(SK!E$2),1,,"SK")),INDIRECT(ADDRESS(MATCH(A45,SK!Q$3:Q$78,0)+2,COLUMN(SK!U$2),1,,"SK")))/IF(B45&lt;1,B45*1440,B45))</f>
        <v/>
      </c>
    </row>
    <row r="46" spans="1:10" ht="25.8" customHeight="1" x14ac:dyDescent="0.3">
      <c r="A46" s="25" t="str">
        <f>IF(ISNUMBER(SK!B73), SK!A73, "")</f>
        <v/>
      </c>
      <c r="B46" s="26"/>
      <c r="C46" s="26"/>
      <c r="D46" s="26"/>
      <c r="E46" s="1160"/>
      <c r="F46" s="1161"/>
      <c r="G46" s="1161"/>
      <c r="H46" s="1162"/>
      <c r="I46" s="27" t="str">
        <f t="shared" si="2"/>
        <v/>
      </c>
      <c r="J46" s="28" t="str">
        <f ca="1">IF(OR(A46="",B46="",B46=0),"",60*SUM(INDIRECT(ADDRESS(MATCH(A46,SK!A$3:A$78,0)+2,COLUMN(SK!E$2),1,,"SK")),INDIRECT(ADDRESS(MATCH(A46,SK!Q$3:Q$78,0)+2,COLUMN(SK!U$2),1,,"SK")))/IF(B46&lt;1,B46*1440,B46))</f>
        <v/>
      </c>
    </row>
    <row r="47" spans="1:10" ht="25.8" customHeight="1" x14ac:dyDescent="0.3">
      <c r="A47" s="21" t="str">
        <f>IF(ISNUMBER(SK!B75), SK!A75, "")</f>
        <v/>
      </c>
      <c r="B47" s="22"/>
      <c r="C47" s="22"/>
      <c r="D47" s="22"/>
      <c r="E47" s="1157"/>
      <c r="F47" s="1158"/>
      <c r="G47" s="1158"/>
      <c r="H47" s="1159"/>
      <c r="I47" s="23" t="str">
        <f t="shared" si="2"/>
        <v/>
      </c>
      <c r="J47" s="24" t="str">
        <f ca="1">IF(OR(A47="",B47="",B47=0),"",60*SUM(INDIRECT(ADDRESS(MATCH(A47,SK!A$3:A$78,0)+2,COLUMN(SK!E$2),1,,"SK")),INDIRECT(ADDRESS(MATCH(A47,SK!Q$3:Q$78,0)+2,COLUMN(SK!U$2),1,,"SK")))/IF(B47&lt;1,B47*1440,B47))</f>
        <v/>
      </c>
    </row>
    <row r="48" spans="1:10" ht="25.8" customHeight="1" thickBot="1" x14ac:dyDescent="0.35">
      <c r="A48" s="25" t="str">
        <f>IF(ISNUMBER(SK!B77), SK!A77, "")</f>
        <v/>
      </c>
      <c r="B48" s="26"/>
      <c r="C48" s="26"/>
      <c r="D48" s="26"/>
      <c r="E48" s="1163"/>
      <c r="F48" s="1164"/>
      <c r="G48" s="1164"/>
      <c r="H48" s="1165"/>
      <c r="I48" s="27" t="str">
        <f t="shared" si="2"/>
        <v/>
      </c>
      <c r="J48" s="28" t="str">
        <f ca="1">IF(OR(A48="",B48="",B48=0),"",60*SUM(INDIRECT(ADDRESS(MATCH(A48,SK!A$3:A$78,0)+2,COLUMN(SK!E$2),1,,"SK")),INDIRECT(ADDRESS(MATCH(A48,SK!Q$3:Q$78,0)+2,COLUMN(SK!U$2),1,,"SK")))/IF(B48&lt;1,B48*1440,B48))</f>
        <v/>
      </c>
    </row>
    <row r="49" spans="1:10" x14ac:dyDescent="0.3">
      <c r="A49" s="506" t="s">
        <v>52</v>
      </c>
      <c r="B49" s="507"/>
      <c r="C49" s="507" t="s">
        <v>325</v>
      </c>
      <c r="D49" s="507"/>
      <c r="E49" s="507"/>
      <c r="F49" s="507"/>
      <c r="G49" s="507"/>
      <c r="H49" s="507"/>
      <c r="I49" s="507"/>
      <c r="J49" s="508"/>
    </row>
    <row r="50" spans="1:10" x14ac:dyDescent="0.3">
      <c r="A50" s="509" t="s">
        <v>53</v>
      </c>
      <c r="C50" s="3" t="s">
        <v>496</v>
      </c>
      <c r="J50" s="33"/>
    </row>
    <row r="51" spans="1:10" ht="14.4" thickBot="1" x14ac:dyDescent="0.35">
      <c r="A51" s="510" t="s">
        <v>54</v>
      </c>
      <c r="B51" s="511"/>
      <c r="C51" s="511" t="s">
        <v>187</v>
      </c>
      <c r="D51" s="511"/>
      <c r="E51" s="511"/>
      <c r="F51" s="511"/>
      <c r="G51" s="511"/>
      <c r="H51" s="511"/>
      <c r="I51" s="511"/>
      <c r="J51" s="512"/>
    </row>
    <row r="52" spans="1:10" s="2" customFormat="1" ht="28.95" customHeight="1" x14ac:dyDescent="0.3">
      <c r="A52" s="47" t="s">
        <v>185</v>
      </c>
      <c r="B52" s="1183" t="str">
        <f>Score!$A$1</f>
        <v>Black Rose Rollers / All Stars</v>
      </c>
      <c r="C52" s="1183"/>
      <c r="D52" s="1183"/>
      <c r="E52" s="485" t="str">
        <f>E1</f>
        <v>Black</v>
      </c>
      <c r="F52" s="1170"/>
      <c r="G52" s="1170"/>
      <c r="H52" s="1170"/>
      <c r="I52" s="1184">
        <f>IF(ISBLANK(IGRF!$B$7), "", IGRF!$B$7)</f>
        <v>45144</v>
      </c>
      <c r="J52" s="1191">
        <v>2</v>
      </c>
    </row>
    <row r="53" spans="1:10" s="2" customFormat="1" ht="15" customHeight="1" x14ac:dyDescent="0.3">
      <c r="A53" s="1186" t="s">
        <v>186</v>
      </c>
      <c r="B53" s="1183" t="str">
        <f>Score!$T$1</f>
        <v>Steel City Roller Derby / Steel Hurtin'</v>
      </c>
      <c r="C53" s="1183"/>
      <c r="D53" s="1183"/>
      <c r="E53" s="1173" t="str">
        <f>E2</f>
        <v>Yellow</v>
      </c>
      <c r="F53" s="1171"/>
      <c r="G53" s="1171"/>
      <c r="H53" s="1171"/>
      <c r="I53" s="1185"/>
      <c r="J53" s="1191"/>
    </row>
    <row r="54" spans="1:10" s="2" customFormat="1" ht="15" customHeight="1" thickBot="1" x14ac:dyDescent="0.35">
      <c r="A54" s="1186"/>
      <c r="B54" s="1183"/>
      <c r="C54" s="1183"/>
      <c r="D54" s="1183"/>
      <c r="E54" s="1174"/>
      <c r="F54" s="1172" t="s">
        <v>179</v>
      </c>
      <c r="G54" s="1172"/>
      <c r="H54" s="1172"/>
      <c r="I54" s="94" t="s">
        <v>184</v>
      </c>
      <c r="J54" s="95" t="str">
        <f>J3</f>
        <v/>
      </c>
    </row>
    <row r="55" spans="1:10" s="6" customFormat="1" ht="15" customHeight="1" thickBot="1" x14ac:dyDescent="0.3">
      <c r="A55" s="17"/>
      <c r="B55" s="1196" t="s">
        <v>43</v>
      </c>
      <c r="C55" s="1196"/>
      <c r="D55" s="1196" t="s">
        <v>44</v>
      </c>
      <c r="E55" s="1196"/>
      <c r="F55" s="1196"/>
      <c r="G55" s="1175" t="s">
        <v>45</v>
      </c>
      <c r="H55" s="1175"/>
      <c r="I55" s="1192" t="s">
        <v>138</v>
      </c>
      <c r="J55" s="1192"/>
    </row>
    <row r="56" spans="1:10" ht="21" customHeight="1" thickBot="1" x14ac:dyDescent="0.35">
      <c r="A56" s="18" t="s">
        <v>115</v>
      </c>
      <c r="B56" s="1197" t="str">
        <f>IF(B5="", "",B5 )</f>
        <v>By O. Hazard</v>
      </c>
      <c r="C56" s="1197"/>
      <c r="D56" s="1181" t="s">
        <v>114</v>
      </c>
      <c r="E56" s="1182" t="s">
        <v>626</v>
      </c>
      <c r="F56" s="1180"/>
      <c r="G56" s="1181" t="s">
        <v>114</v>
      </c>
      <c r="H56" s="1166"/>
      <c r="I56" s="1194" t="str">
        <f>I5</f>
        <v>Black Rose Rollers / All Stars</v>
      </c>
      <c r="J56" s="1194"/>
    </row>
    <row r="57" spans="1:10" ht="21" customHeight="1" thickBot="1" x14ac:dyDescent="0.35">
      <c r="A57" s="19" t="s">
        <v>119</v>
      </c>
      <c r="B57" s="1198" t="str">
        <f>IF(B6="", "",B6 )</f>
        <v/>
      </c>
      <c r="C57" s="1198"/>
      <c r="D57" s="1181"/>
      <c r="E57" s="1182"/>
      <c r="F57" s="1180"/>
      <c r="G57" s="1181"/>
      <c r="H57" s="1167"/>
      <c r="I57" s="1194"/>
      <c r="J57" s="1194"/>
    </row>
    <row r="58" spans="1:10" ht="21" customHeight="1" thickBot="1" x14ac:dyDescent="0.35">
      <c r="A58" s="18" t="s">
        <v>115</v>
      </c>
      <c r="B58" s="1197" t="str">
        <f>IF(B7="", "",B7 )</f>
        <v>Strange</v>
      </c>
      <c r="C58" s="1197"/>
      <c r="D58" s="1181" t="s">
        <v>627</v>
      </c>
      <c r="E58" s="1182" t="s">
        <v>628</v>
      </c>
      <c r="F58" s="1180"/>
      <c r="G58" s="1181" t="s">
        <v>114</v>
      </c>
      <c r="H58" s="1168"/>
      <c r="I58" s="1194" t="str">
        <f>I7</f>
        <v>Steel City Roller Derby / Steel Hurtin'</v>
      </c>
      <c r="J58" s="1194"/>
    </row>
    <row r="59" spans="1:10" ht="21" customHeight="1" thickBot="1" x14ac:dyDescent="0.35">
      <c r="A59" s="19" t="s">
        <v>119</v>
      </c>
      <c r="B59" s="1198" t="str">
        <f>IF(B8="", "",B8 )</f>
        <v/>
      </c>
      <c r="C59" s="1198"/>
      <c r="D59" s="1181"/>
      <c r="E59" s="1182"/>
      <c r="F59" s="1180"/>
      <c r="G59" s="1181"/>
      <c r="H59" s="1169"/>
      <c r="I59" s="1194"/>
      <c r="J59" s="1194"/>
    </row>
    <row r="60" spans="1:10" ht="14.4" thickBot="1" x14ac:dyDescent="0.35">
      <c r="A60" s="1187" t="str">
        <f>A9</f>
        <v>Identify Captains and Alternates before game. Indicate time on period clock when TO or OR used.</v>
      </c>
      <c r="B60" s="1187"/>
      <c r="C60" s="1187"/>
      <c r="D60" s="1187"/>
      <c r="E60" s="1187"/>
      <c r="F60" s="1187"/>
      <c r="G60" s="1187"/>
      <c r="H60" s="1188"/>
      <c r="I60" s="1187"/>
      <c r="J60" s="1187"/>
    </row>
    <row r="61" spans="1:10" s="6" customFormat="1" ht="15" customHeight="1" x14ac:dyDescent="0.25">
      <c r="A61" s="37" t="s">
        <v>154</v>
      </c>
      <c r="B61" s="38" t="s">
        <v>46</v>
      </c>
      <c r="C61" s="38" t="s">
        <v>47</v>
      </c>
      <c r="D61" s="38" t="s">
        <v>48</v>
      </c>
      <c r="E61" s="1199" t="s">
        <v>49</v>
      </c>
      <c r="F61" s="1199"/>
      <c r="G61" s="1199"/>
      <c r="H61" s="301"/>
      <c r="I61" s="38" t="s">
        <v>50</v>
      </c>
      <c r="J61" s="39" t="s">
        <v>51</v>
      </c>
    </row>
    <row r="62" spans="1:10" ht="25.8" customHeight="1" x14ac:dyDescent="0.3">
      <c r="A62" s="21">
        <f>IF(ISNUMBER(SK!B88), SK!A88, "")</f>
        <v>1</v>
      </c>
      <c r="B62" s="22">
        <v>109</v>
      </c>
      <c r="C62" s="22"/>
      <c r="D62" s="22"/>
      <c r="E62" s="1157"/>
      <c r="F62" s="1158"/>
      <c r="G62" s="1158"/>
      <c r="H62" s="1159"/>
      <c r="I62" s="23" t="str">
        <f t="shared" ref="I62:I92" si="3">IF(OR(A62="",B62="",B62=0,C62=""),"",60*C62/IF(B62&lt;1,B62*1440,B62))</f>
        <v/>
      </c>
      <c r="J62" s="24">
        <f ca="1">IF(OR(A62="",B62="",B62=0),"",60*SUM(INDIRECT(ADDRESS(MATCH(A62,SK!A$88:A$162,0)+87,COLUMN(SK!E$2),1,,"SK")),INDIRECT(ADDRESS(MATCH(A62,SK!Q$88:Q$162,0)+87,COLUMN(SK!U$2),1,,"SK")))/IF(B62&lt;1,B62*1440,B62))</f>
        <v>3.8532110091743119</v>
      </c>
    </row>
    <row r="63" spans="1:10" ht="25.8" customHeight="1" x14ac:dyDescent="0.3">
      <c r="A63" s="25">
        <f>IF(ISNUMBER(SK!B90), SK!A90, "")</f>
        <v>2</v>
      </c>
      <c r="B63" s="26">
        <v>39</v>
      </c>
      <c r="C63" s="26"/>
      <c r="D63" s="26"/>
      <c r="E63" s="1160"/>
      <c r="F63" s="1161"/>
      <c r="G63" s="1161"/>
      <c r="H63" s="1162"/>
      <c r="I63" s="27" t="str">
        <f t="shared" si="3"/>
        <v/>
      </c>
      <c r="J63" s="28">
        <f ca="1">IF(OR(A63="",B63="",B63=0),"",60*SUM(INDIRECT(ADDRESS(MATCH(A63,SK!A$88:A$162,0)+87,COLUMN(SK!E$2),1,,"SK")),INDIRECT(ADDRESS(MATCH(A63,SK!Q$88:Q$162,0)+87,COLUMN(SK!U$2),1,,"SK")))/IF(B63&lt;1,B63*1440,B63))</f>
        <v>6.1538461538461542</v>
      </c>
    </row>
    <row r="64" spans="1:10" ht="25.8" customHeight="1" x14ac:dyDescent="0.3">
      <c r="A64" s="21">
        <f>IF(ISNUMBER(SK!B92), SK!A92, "")</f>
        <v>3</v>
      </c>
      <c r="B64" s="22">
        <v>71</v>
      </c>
      <c r="C64" s="22"/>
      <c r="D64" s="22"/>
      <c r="E64" s="1157"/>
      <c r="F64" s="1158"/>
      <c r="G64" s="1158"/>
      <c r="H64" s="1159"/>
      <c r="I64" s="23" t="str">
        <f t="shared" si="3"/>
        <v/>
      </c>
      <c r="J64" s="24">
        <f ca="1">IF(OR(A64="",B64="",B64=0),"",60*SUM(INDIRECT(ADDRESS(MATCH(A64,SK!A$88:A$162,0)+87,COLUMN(SK!E$2),1,,"SK")),INDIRECT(ADDRESS(MATCH(A64,SK!Q$88:Q$162,0)+87,COLUMN(SK!U$2),1,,"SK")))/IF(B64&lt;1,B64*1440,B64))</f>
        <v>3.380281690140845</v>
      </c>
    </row>
    <row r="65" spans="1:10" ht="25.8" customHeight="1" x14ac:dyDescent="0.3">
      <c r="A65" s="25">
        <f>IF(ISNUMBER(SK!B94), SK!A94, "")</f>
        <v>4</v>
      </c>
      <c r="B65" s="26">
        <v>57</v>
      </c>
      <c r="C65" s="26"/>
      <c r="D65" s="26" t="s">
        <v>620</v>
      </c>
      <c r="E65" s="1160" t="s">
        <v>630</v>
      </c>
      <c r="F65" s="1161"/>
      <c r="G65" s="1161"/>
      <c r="H65" s="1162"/>
      <c r="I65" s="27" t="str">
        <f t="shared" si="3"/>
        <v/>
      </c>
      <c r="J65" s="28">
        <f ca="1">IF(OR(A65="",B65="",B65=0),"",60*SUM(INDIRECT(ADDRESS(MATCH(A65,SK!A$88:A$162,0)+87,COLUMN(SK!E$2),1,,"SK")),INDIRECT(ADDRESS(MATCH(A65,SK!Q$88:Q$162,0)+87,COLUMN(SK!U$2),1,,"SK")))/IF(B65&lt;1,B65*1440,B65))</f>
        <v>8.4210526315789469</v>
      </c>
    </row>
    <row r="66" spans="1:10" ht="25.8" customHeight="1" x14ac:dyDescent="0.3">
      <c r="A66" s="21">
        <f>IF(ISNUMBER(SK!B96), SK!A96, "")</f>
        <v>5</v>
      </c>
      <c r="B66" s="22">
        <v>120</v>
      </c>
      <c r="C66" s="22"/>
      <c r="D66" s="22"/>
      <c r="E66" s="1157"/>
      <c r="F66" s="1158"/>
      <c r="G66" s="1158"/>
      <c r="H66" s="1159"/>
      <c r="I66" s="23" t="str">
        <f t="shared" si="3"/>
        <v/>
      </c>
      <c r="J66" s="24">
        <f ca="1">IF(OR(A66="",B66="",B66=0),"",60*SUM(INDIRECT(ADDRESS(MATCH(A66,SK!A$88:A$162,0)+87,COLUMN(SK!E$2),1,,"SK")),INDIRECT(ADDRESS(MATCH(A66,SK!Q$88:Q$162,0)+87,COLUMN(SK!U$2),1,,"SK")))/IF(B66&lt;1,B66*1440,B66))</f>
        <v>10</v>
      </c>
    </row>
    <row r="67" spans="1:10" ht="25.8" customHeight="1" x14ac:dyDescent="0.3">
      <c r="A67" s="25">
        <f>IF(ISNUMBER(SK!B98), SK!A98, "")</f>
        <v>6</v>
      </c>
      <c r="B67" s="26">
        <v>112</v>
      </c>
      <c r="C67" s="26"/>
      <c r="D67" s="26"/>
      <c r="E67" s="1160"/>
      <c r="F67" s="1161"/>
      <c r="G67" s="1161"/>
      <c r="H67" s="1162"/>
      <c r="I67" s="27" t="str">
        <f t="shared" si="3"/>
        <v/>
      </c>
      <c r="J67" s="28">
        <f ca="1">IF(OR(A67="",B67="",B67=0),"",60*SUM(INDIRECT(ADDRESS(MATCH(A67,SK!A$88:A$162,0)+87,COLUMN(SK!E$2),1,,"SK")),INDIRECT(ADDRESS(MATCH(A67,SK!Q$88:Q$162,0)+87,COLUMN(SK!U$2),1,,"SK")))/IF(B67&lt;1,B67*1440,B67))</f>
        <v>3.75</v>
      </c>
    </row>
    <row r="68" spans="1:10" ht="25.8" customHeight="1" x14ac:dyDescent="0.3">
      <c r="A68" s="21">
        <f>IF(ISNUMBER(SK!B100), SK!A100, "")</f>
        <v>7</v>
      </c>
      <c r="B68" s="22">
        <v>120</v>
      </c>
      <c r="C68" s="22"/>
      <c r="D68" s="22"/>
      <c r="E68" s="1157"/>
      <c r="F68" s="1158"/>
      <c r="G68" s="1158"/>
      <c r="H68" s="1159"/>
      <c r="I68" s="23" t="str">
        <f t="shared" si="3"/>
        <v/>
      </c>
      <c r="J68" s="24">
        <f ca="1">IF(OR(A68="",B68="",B68=0),"",60*SUM(INDIRECT(ADDRESS(MATCH(A68,SK!A$88:A$162,0)+87,COLUMN(SK!E$2),1,,"SK")),INDIRECT(ADDRESS(MATCH(A68,SK!Q$88:Q$162,0)+87,COLUMN(SK!U$2),1,,"SK")))/IF(B68&lt;1,B68*1440,B68))</f>
        <v>8</v>
      </c>
    </row>
    <row r="69" spans="1:10" ht="25.8" customHeight="1" x14ac:dyDescent="0.3">
      <c r="A69" s="25">
        <f>IF(ISNUMBER(SK!B102), SK!A102, "")</f>
        <v>8</v>
      </c>
      <c r="B69" s="26">
        <v>29</v>
      </c>
      <c r="C69" s="26"/>
      <c r="D69" s="26"/>
      <c r="E69" s="1160"/>
      <c r="F69" s="1161"/>
      <c r="G69" s="1161"/>
      <c r="H69" s="1162"/>
      <c r="I69" s="27" t="str">
        <f t="shared" si="3"/>
        <v/>
      </c>
      <c r="J69" s="28">
        <f ca="1">IF(OR(A69="",B69="",B69=0),"",60*SUM(INDIRECT(ADDRESS(MATCH(A69,SK!A$88:A$162,0)+87,COLUMN(SK!E$2),1,,"SK")),INDIRECT(ADDRESS(MATCH(A69,SK!Q$88:Q$162,0)+87,COLUMN(SK!U$2),1,,"SK")))/IF(B69&lt;1,B69*1440,B69))</f>
        <v>4.1379310344827589</v>
      </c>
    </row>
    <row r="70" spans="1:10" ht="25.8" customHeight="1" x14ac:dyDescent="0.3">
      <c r="A70" s="21">
        <f>IF(ISNUMBER(SK!B104), SK!A104, "")</f>
        <v>9</v>
      </c>
      <c r="B70" s="22">
        <v>107</v>
      </c>
      <c r="C70" s="22"/>
      <c r="D70" s="22" t="s">
        <v>620</v>
      </c>
      <c r="E70" s="1157" t="s">
        <v>631</v>
      </c>
      <c r="F70" s="1158"/>
      <c r="G70" s="1158"/>
      <c r="H70" s="1159"/>
      <c r="I70" s="23" t="str">
        <f t="shared" si="3"/>
        <v/>
      </c>
      <c r="J70" s="24">
        <f ca="1">IF(OR(A70="",B70="",B70=0),"",60*SUM(INDIRECT(ADDRESS(MATCH(A70,SK!A$88:A$162,0)+87,COLUMN(SK!E$2),1,,"SK")),INDIRECT(ADDRESS(MATCH(A70,SK!Q$88:Q$162,0)+87,COLUMN(SK!U$2),1,,"SK")))/IF(B70&lt;1,B70*1440,B70))</f>
        <v>2.2429906542056073</v>
      </c>
    </row>
    <row r="71" spans="1:10" ht="25.8" customHeight="1" x14ac:dyDescent="0.3">
      <c r="A71" s="25">
        <f>IF(ISNUMBER(SK!B106), SK!A106, "")</f>
        <v>10</v>
      </c>
      <c r="B71" s="26">
        <v>120</v>
      </c>
      <c r="C71" s="26"/>
      <c r="D71" s="26" t="s">
        <v>624</v>
      </c>
      <c r="E71" s="1160" t="s">
        <v>632</v>
      </c>
      <c r="F71" s="1161"/>
      <c r="G71" s="1161"/>
      <c r="H71" s="1162"/>
      <c r="I71" s="27" t="str">
        <f t="shared" si="3"/>
        <v/>
      </c>
      <c r="J71" s="28">
        <f ca="1">IF(OR(A71="",B71="",B71=0),"",60*SUM(INDIRECT(ADDRESS(MATCH(A71,SK!A$88:A$162,0)+87,COLUMN(SK!E$2),1,,"SK")),INDIRECT(ADDRESS(MATCH(A71,SK!Q$88:Q$162,0)+87,COLUMN(SK!U$2),1,,"SK")))/IF(B71&lt;1,B71*1440,B71))</f>
        <v>4</v>
      </c>
    </row>
    <row r="72" spans="1:10" ht="25.8" customHeight="1" x14ac:dyDescent="0.3">
      <c r="A72" s="21">
        <f>IF(ISNUMBER(SK!B108), SK!A108, "")</f>
        <v>11</v>
      </c>
      <c r="B72" s="22">
        <v>120</v>
      </c>
      <c r="C72" s="22"/>
      <c r="D72" s="22"/>
      <c r="E72" s="1157"/>
      <c r="F72" s="1158"/>
      <c r="G72" s="1158"/>
      <c r="H72" s="1159"/>
      <c r="I72" s="23" t="str">
        <f t="shared" si="3"/>
        <v/>
      </c>
      <c r="J72" s="24">
        <f ca="1">IF(OR(A72="",B72="",B72=0),"",60*SUM(INDIRECT(ADDRESS(MATCH(A72,SK!A$88:A$162,0)+87,COLUMN(SK!E$2),1,,"SK")),INDIRECT(ADDRESS(MATCH(A72,SK!Q$88:Q$162,0)+87,COLUMN(SK!U$2),1,,"SK")))/IF(B72&lt;1,B72*1440,B72))</f>
        <v>8.5</v>
      </c>
    </row>
    <row r="73" spans="1:10" ht="25.8" customHeight="1" x14ac:dyDescent="0.3">
      <c r="A73" s="25">
        <f>IF(ISNUMBER(SK!B110), SK!A110, "")</f>
        <v>12</v>
      </c>
      <c r="B73" s="26">
        <v>89</v>
      </c>
      <c r="C73" s="26"/>
      <c r="D73" s="26" t="s">
        <v>624</v>
      </c>
      <c r="E73" s="1160" t="s">
        <v>633</v>
      </c>
      <c r="F73" s="1161"/>
      <c r="G73" s="1161"/>
      <c r="H73" s="1162"/>
      <c r="I73" s="27" t="str">
        <f t="shared" si="3"/>
        <v/>
      </c>
      <c r="J73" s="28">
        <f ca="1">IF(OR(A73="",B73="",B73=0),"",60*SUM(INDIRECT(ADDRESS(MATCH(A73,SK!A$88:A$162,0)+87,COLUMN(SK!E$2),1,,"SK")),INDIRECT(ADDRESS(MATCH(A73,SK!Q$88:Q$162,0)+87,COLUMN(SK!U$2),1,,"SK")))/IF(B73&lt;1,B73*1440,B73))</f>
        <v>4.0449438202247192</v>
      </c>
    </row>
    <row r="74" spans="1:10" ht="25.8" customHeight="1" x14ac:dyDescent="0.3">
      <c r="A74" s="21">
        <f>IF(ISNUMBER(SK!B112), SK!A112, "")</f>
        <v>13</v>
      </c>
      <c r="B74" s="22">
        <v>120</v>
      </c>
      <c r="C74" s="22"/>
      <c r="D74" s="22"/>
      <c r="E74" s="1157"/>
      <c r="F74" s="1158"/>
      <c r="G74" s="1158"/>
      <c r="H74" s="1159"/>
      <c r="I74" s="23" t="str">
        <f t="shared" si="3"/>
        <v/>
      </c>
      <c r="J74" s="24">
        <f ca="1">IF(OR(A74="",B74="",B74=0),"",60*SUM(INDIRECT(ADDRESS(MATCH(A74,SK!A$88:A$162,0)+87,COLUMN(SK!E$2),1,,"SK")),INDIRECT(ADDRESS(MATCH(A74,SK!Q$88:Q$162,0)+87,COLUMN(SK!U$2),1,,"SK")))/IF(B74&lt;1,B74*1440,B74))</f>
        <v>12</v>
      </c>
    </row>
    <row r="75" spans="1:10" ht="25.8" customHeight="1" x14ac:dyDescent="0.3">
      <c r="A75" s="25">
        <f>IF(ISNUMBER(SK!B114), SK!A114, "")</f>
        <v>14</v>
      </c>
      <c r="B75" s="26">
        <v>71</v>
      </c>
      <c r="C75" s="26"/>
      <c r="D75" s="26" t="s">
        <v>622</v>
      </c>
      <c r="E75" s="1160" t="s">
        <v>634</v>
      </c>
      <c r="F75" s="1161"/>
      <c r="G75" s="1161"/>
      <c r="H75" s="1162"/>
      <c r="I75" s="27" t="str">
        <f t="shared" si="3"/>
        <v/>
      </c>
      <c r="J75" s="28">
        <f ca="1">IF(OR(A75="",B75="",B75=0),"",60*SUM(INDIRECT(ADDRESS(MATCH(A75,SK!A$88:A$162,0)+87,COLUMN(SK!E$2),1,,"SK")),INDIRECT(ADDRESS(MATCH(A75,SK!Q$88:Q$162,0)+87,COLUMN(SK!U$2),1,,"SK")))/IF(B75&lt;1,B75*1440,B75))</f>
        <v>7.605633802816901</v>
      </c>
    </row>
    <row r="76" spans="1:10" ht="25.8" customHeight="1" x14ac:dyDescent="0.3">
      <c r="A76" s="21">
        <f>IF(ISNUMBER(SK!B116), SK!A116, "")</f>
        <v>15</v>
      </c>
      <c r="B76" s="22">
        <v>30</v>
      </c>
      <c r="C76" s="22"/>
      <c r="D76" s="22" t="s">
        <v>620</v>
      </c>
      <c r="E76" s="1157" t="s">
        <v>635</v>
      </c>
      <c r="F76" s="1158"/>
      <c r="G76" s="1158"/>
      <c r="H76" s="1159"/>
      <c r="I76" s="23" t="str">
        <f t="shared" si="3"/>
        <v/>
      </c>
      <c r="J76" s="24">
        <f ca="1">IF(OR(A76="",B76="",B76=0),"",60*SUM(INDIRECT(ADDRESS(MATCH(A76,SK!A$88:A$162,0)+87,COLUMN(SK!E$2),1,,"SK")),INDIRECT(ADDRESS(MATCH(A76,SK!Q$88:Q$162,0)+87,COLUMN(SK!U$2),1,,"SK")))/IF(B76&lt;1,B76*1440,B76))</f>
        <v>8</v>
      </c>
    </row>
    <row r="77" spans="1:10" ht="25.8" customHeight="1" x14ac:dyDescent="0.3">
      <c r="A77" s="25">
        <f>IF(ISNUMBER(SK!B118), SK!A118, "")</f>
        <v>16</v>
      </c>
      <c r="B77" s="26">
        <v>120</v>
      </c>
      <c r="C77" s="26"/>
      <c r="D77" s="26"/>
      <c r="E77" s="1160"/>
      <c r="F77" s="1161"/>
      <c r="G77" s="1161"/>
      <c r="H77" s="1162"/>
      <c r="I77" s="27" t="str">
        <f t="shared" si="3"/>
        <v/>
      </c>
      <c r="J77" s="28">
        <f ca="1">IF(OR(A77="",B77="",B77=0),"",60*SUM(INDIRECT(ADDRESS(MATCH(A77,SK!A$88:A$162,0)+87,COLUMN(SK!E$2),1,,"SK")),INDIRECT(ADDRESS(MATCH(A77,SK!Q$88:Q$162,0)+87,COLUMN(SK!U$2),1,,"SK")))/IF(B77&lt;1,B77*1440,B77))</f>
        <v>8.5</v>
      </c>
    </row>
    <row r="78" spans="1:10" ht="25.8" customHeight="1" x14ac:dyDescent="0.3">
      <c r="A78" s="21" t="str">
        <f>IF(ISNUMBER(SK!B120), SK!A120, "")</f>
        <v/>
      </c>
      <c r="B78" s="22"/>
      <c r="C78" s="22"/>
      <c r="D78" s="22"/>
      <c r="E78" s="1157"/>
      <c r="F78" s="1158"/>
      <c r="G78" s="1158"/>
      <c r="H78" s="1159"/>
      <c r="I78" s="23" t="str">
        <f t="shared" si="3"/>
        <v/>
      </c>
      <c r="J78" s="24" t="str">
        <f ca="1">IF(OR(A78="",B78="",B78=0),"",60*SUM(INDIRECT(ADDRESS(MATCH(A78,SK!A$88:A$162,0)+87,COLUMN(SK!E$2),1,,"SK")),INDIRECT(ADDRESS(MATCH(A78,SK!Q$88:Q$162,0)+87,COLUMN(SK!U$2),1,,"SK")))/IF(B78&lt;1,B78*1440,B78))</f>
        <v/>
      </c>
    </row>
    <row r="79" spans="1:10" ht="25.8" customHeight="1" x14ac:dyDescent="0.3">
      <c r="A79" s="25" t="str">
        <f>IF(ISNUMBER(SK!B122), SK!A122, "")</f>
        <v/>
      </c>
      <c r="B79" s="26"/>
      <c r="C79" s="26"/>
      <c r="D79" s="26"/>
      <c r="E79" s="1160"/>
      <c r="F79" s="1161"/>
      <c r="G79" s="1161"/>
      <c r="H79" s="1162"/>
      <c r="I79" s="27" t="str">
        <f t="shared" si="3"/>
        <v/>
      </c>
      <c r="J79" s="28" t="str">
        <f ca="1">IF(OR(A79="",B79="",B79=0),"",60*SUM(INDIRECT(ADDRESS(MATCH(A79,SK!A$88:A$162,0)+87,COLUMN(SK!E$2),1,,"SK")),INDIRECT(ADDRESS(MATCH(A79,SK!Q$88:Q$162,0)+87,COLUMN(SK!U$2),1,,"SK")))/IF(B79&lt;1,B79*1440,B79))</f>
        <v/>
      </c>
    </row>
    <row r="80" spans="1:10" ht="25.8" customHeight="1" x14ac:dyDescent="0.3">
      <c r="A80" s="21" t="str">
        <f>IF(ISNUMBER(SK!B124), SK!A124, "")</f>
        <v/>
      </c>
      <c r="B80" s="22"/>
      <c r="C80" s="22"/>
      <c r="D80" s="22"/>
      <c r="E80" s="1157"/>
      <c r="F80" s="1158"/>
      <c r="G80" s="1158"/>
      <c r="H80" s="1159"/>
      <c r="I80" s="23" t="str">
        <f t="shared" si="3"/>
        <v/>
      </c>
      <c r="J80" s="24" t="str">
        <f ca="1">IF(OR(A80="",B80="",B80=0),"",60*SUM(INDIRECT(ADDRESS(MATCH(A80,SK!A$88:A$162,0)+87,COLUMN(SK!E$2),1,,"SK")),INDIRECT(ADDRESS(MATCH(A80,SK!Q$88:Q$162,0)+87,COLUMN(SK!U$2),1,,"SK")))/IF(B80&lt;1,B80*1440,B80))</f>
        <v/>
      </c>
    </row>
    <row r="81" spans="1:10" ht="25.8" customHeight="1" x14ac:dyDescent="0.3">
      <c r="A81" s="25" t="str">
        <f>IF(ISNUMBER(SK!B126), SK!A126, "")</f>
        <v/>
      </c>
      <c r="B81" s="26"/>
      <c r="C81" s="26"/>
      <c r="D81" s="26"/>
      <c r="E81" s="1160"/>
      <c r="F81" s="1161"/>
      <c r="G81" s="1161"/>
      <c r="H81" s="1162"/>
      <c r="I81" s="27" t="str">
        <f t="shared" si="3"/>
        <v/>
      </c>
      <c r="J81" s="28" t="str">
        <f ca="1">IF(OR(A81="",B81="",B81=0),"",60*SUM(INDIRECT(ADDRESS(MATCH(A81,SK!A$88:A$162,0)+87,COLUMN(SK!E$2),1,,"SK")),INDIRECT(ADDRESS(MATCH(A81,SK!Q$88:Q$162,0)+87,COLUMN(SK!U$2),1,,"SK")))/IF(B81&lt;1,B81*1440,B81))</f>
        <v/>
      </c>
    </row>
    <row r="82" spans="1:10" ht="25.8" customHeight="1" x14ac:dyDescent="0.3">
      <c r="A82" s="21" t="str">
        <f>IF(ISNUMBER(SK!B128), SK!A128, "")</f>
        <v/>
      </c>
      <c r="B82" s="22"/>
      <c r="C82" s="22"/>
      <c r="D82" s="22"/>
      <c r="E82" s="1157"/>
      <c r="F82" s="1158"/>
      <c r="G82" s="1158"/>
      <c r="H82" s="1159"/>
      <c r="I82" s="23" t="str">
        <f>IF(OR(A82="",B82="",B82=0,C82=""),"",60*C82/IF(B82&lt;1,B82*1440,B82))</f>
        <v/>
      </c>
      <c r="J82" s="24" t="str">
        <f ca="1">IF(OR(A82="",B82="",B82=0),"",60*SUM(INDIRECT(ADDRESS(MATCH(A82,SK!A$88:A$162,0)+87,COLUMN(SK!E$2),1,,"SK")),INDIRECT(ADDRESS(MATCH(A82,SK!Q$88:Q$162,0)+87,COLUMN(SK!U$2),1,,"SK")))/IF(B82&lt;1,B82*1440,B82))</f>
        <v/>
      </c>
    </row>
    <row r="83" spans="1:10" ht="25.8" customHeight="1" x14ac:dyDescent="0.3">
      <c r="A83" s="25" t="str">
        <f>IF(ISNUMBER(SK!B130), SK!A130, "")</f>
        <v/>
      </c>
      <c r="B83" s="26"/>
      <c r="C83" s="26"/>
      <c r="D83" s="26"/>
      <c r="E83" s="1160"/>
      <c r="F83" s="1161"/>
      <c r="G83" s="1161"/>
      <c r="H83" s="1162"/>
      <c r="I83" s="27" t="str">
        <f>IF(OR(A83="",B83="",B83=0,C83=""),"",60*C83/IF(B83&lt;1,B83*1440,B83))</f>
        <v/>
      </c>
      <c r="J83" s="28" t="str">
        <f ca="1">IF(OR(A83="",B83="",B83=0),"",60*SUM(INDIRECT(ADDRESS(MATCH(A83,SK!A$88:A$162,0)+87,COLUMN(SK!E$2),1,,"SK")),INDIRECT(ADDRESS(MATCH(A83,SK!Q$88:Q$162,0)+87,COLUMN(SK!U$2),1,,"SK")))/IF(B83&lt;1,B83*1440,B83))</f>
        <v/>
      </c>
    </row>
    <row r="84" spans="1:10" ht="25.8" customHeight="1" x14ac:dyDescent="0.3">
      <c r="A84" s="21" t="str">
        <f>IF(ISNUMBER(SK!B132), SK!A132, "")</f>
        <v/>
      </c>
      <c r="B84" s="22"/>
      <c r="C84" s="22"/>
      <c r="D84" s="22"/>
      <c r="E84" s="1157"/>
      <c r="F84" s="1158"/>
      <c r="G84" s="1158"/>
      <c r="H84" s="1159"/>
      <c r="I84" s="23" t="str">
        <f>IF(OR(A84="",B84="",B84=0,C84=""),"",60*C84/IF(B84&lt;1,B84*1440,B84))</f>
        <v/>
      </c>
      <c r="J84" s="24" t="str">
        <f ca="1">IF(OR(A84="",B84="",B84=0),"",60*SUM(INDIRECT(ADDRESS(MATCH(A84,SK!A$88:A$162,0)+87,COLUMN(SK!E$2),1,,"SK")),INDIRECT(ADDRESS(MATCH(A84,SK!Q$88:Q$162,0)+87,COLUMN(SK!U$2),1,,"SK")))/IF(B84&lt;1,B84*1440,B84))</f>
        <v/>
      </c>
    </row>
    <row r="85" spans="1:10" ht="25.8" customHeight="1" x14ac:dyDescent="0.3">
      <c r="A85" s="25" t="str">
        <f>IF(ISNUMBER(SK!B134), SK!A134, "")</f>
        <v/>
      </c>
      <c r="B85" s="26"/>
      <c r="C85" s="26"/>
      <c r="D85" s="26"/>
      <c r="E85" s="1160"/>
      <c r="F85" s="1161"/>
      <c r="G85" s="1161"/>
      <c r="H85" s="1162"/>
      <c r="I85" s="27" t="str">
        <f>IF(OR(A85="",B85="",B85=0,C85=""),"",60*C85/IF(B85&lt;1,B85*1440,B85))</f>
        <v/>
      </c>
      <c r="J85" s="28" t="str">
        <f ca="1">IF(OR(A85="",B85="",B85=0),"",60*SUM(INDIRECT(ADDRESS(MATCH(A85,SK!A$88:A$162,0)+87,COLUMN(SK!E$2),1,,"SK")),INDIRECT(ADDRESS(MATCH(A85,SK!Q$88:Q$162,0)+87,COLUMN(SK!U$2),1,,"SK")))/IF(B85&lt;1,B85*1440,B85))</f>
        <v/>
      </c>
    </row>
    <row r="86" spans="1:10" ht="25.8" customHeight="1" x14ac:dyDescent="0.3">
      <c r="A86" s="21" t="str">
        <f>IF(ISNUMBER(SK!B136), SK!A136, "")</f>
        <v/>
      </c>
      <c r="B86" s="22"/>
      <c r="C86" s="22"/>
      <c r="D86" s="22"/>
      <c r="E86" s="1157"/>
      <c r="F86" s="1158"/>
      <c r="G86" s="1158"/>
      <c r="H86" s="1159"/>
      <c r="I86" s="23" t="str">
        <f t="shared" si="3"/>
        <v/>
      </c>
      <c r="J86" s="24" t="str">
        <f ca="1">IF(OR(A86="",B86="",B86=0),"",60*SUM(INDIRECT(ADDRESS(MATCH(A86,SK!A$88:A$162,0)+87,COLUMN(SK!E$2),1,,"SK")),INDIRECT(ADDRESS(MATCH(A86,SK!Q$88:Q$162,0)+87,COLUMN(SK!U$2),1,,"SK")))/IF(B86&lt;1,B86*1440,B86))</f>
        <v/>
      </c>
    </row>
    <row r="87" spans="1:10" ht="25.8" customHeight="1" x14ac:dyDescent="0.3">
      <c r="A87" s="25" t="str">
        <f>IF(ISNUMBER(SK!B138), SK!A138, "")</f>
        <v/>
      </c>
      <c r="B87" s="26"/>
      <c r="C87" s="26"/>
      <c r="D87" s="26"/>
      <c r="E87" s="1160"/>
      <c r="F87" s="1161"/>
      <c r="G87" s="1161"/>
      <c r="H87" s="1162"/>
      <c r="I87" s="27" t="str">
        <f t="shared" si="3"/>
        <v/>
      </c>
      <c r="J87" s="28" t="str">
        <f ca="1">IF(OR(A87="",B87="",B87=0),"",60*SUM(INDIRECT(ADDRESS(MATCH(A87,SK!A$88:A$162,0)+87,COLUMN(SK!E$2),1,,"SK")),INDIRECT(ADDRESS(MATCH(A87,SK!Q$88:Q$162,0)+87,COLUMN(SK!U$2),1,,"SK")))/IF(B87&lt;1,B87*1440,B87))</f>
        <v/>
      </c>
    </row>
    <row r="88" spans="1:10" ht="25.8" customHeight="1" x14ac:dyDescent="0.3">
      <c r="A88" s="21" t="str">
        <f>IF(ISNUMBER(SK!B140), SK!A140, "")</f>
        <v/>
      </c>
      <c r="B88" s="22"/>
      <c r="C88" s="22"/>
      <c r="D88" s="22"/>
      <c r="E88" s="1157"/>
      <c r="F88" s="1158"/>
      <c r="G88" s="1158"/>
      <c r="H88" s="1159"/>
      <c r="I88" s="23" t="str">
        <f t="shared" si="3"/>
        <v/>
      </c>
      <c r="J88" s="24" t="str">
        <f ca="1">IF(OR(A88="",B88="",B88=0),"",60*SUM(INDIRECT(ADDRESS(MATCH(A88,SK!A$88:A$162,0)+87,COLUMN(SK!E$2),1,,"SK")),INDIRECT(ADDRESS(MATCH(A88,SK!Q$88:Q$162,0)+87,COLUMN(SK!U$2),1,,"SK")))/IF(B88&lt;1,B88*1440,B88))</f>
        <v/>
      </c>
    </row>
    <row r="89" spans="1:10" ht="25.8" customHeight="1" x14ac:dyDescent="0.3">
      <c r="A89" s="25" t="str">
        <f>IF(ISNUMBER(SK!B142), SK!A142, "")</f>
        <v/>
      </c>
      <c r="B89" s="26"/>
      <c r="C89" s="26"/>
      <c r="D89" s="26"/>
      <c r="E89" s="1160"/>
      <c r="F89" s="1161"/>
      <c r="G89" s="1161"/>
      <c r="H89" s="1162"/>
      <c r="I89" s="27" t="str">
        <f t="shared" si="3"/>
        <v/>
      </c>
      <c r="J89" s="28" t="str">
        <f ca="1">IF(OR(A89="",B89="",B89=0),"",60*SUM(INDIRECT(ADDRESS(MATCH(A89,SK!A$88:A$162,0)+87,COLUMN(SK!E$2),1,,"SK")),INDIRECT(ADDRESS(MATCH(A89,SK!Q$88:Q$162,0)+87,COLUMN(SK!U$2),1,,"SK")))/IF(B89&lt;1,B89*1440,B89))</f>
        <v/>
      </c>
    </row>
    <row r="90" spans="1:10" ht="25.8" customHeight="1" x14ac:dyDescent="0.3">
      <c r="A90" s="21" t="str">
        <f>IF(ISNUMBER(SK!B144), SK!A144, "")</f>
        <v/>
      </c>
      <c r="B90" s="22"/>
      <c r="C90" s="22"/>
      <c r="D90" s="22"/>
      <c r="E90" s="1157"/>
      <c r="F90" s="1158"/>
      <c r="G90" s="1158"/>
      <c r="H90" s="1159"/>
      <c r="I90" s="23" t="str">
        <f>IF(OR(A90="",B90="",B90=0,C90=""),"",60*C90/IF(B90&lt;1,B90*1440,B90))</f>
        <v/>
      </c>
      <c r="J90" s="24" t="str">
        <f ca="1">IF(OR(A90="",B90="",B90=0),"",60*SUM(INDIRECT(ADDRESS(MATCH(A90,SK!A$88:A$162,0)+87,COLUMN(SK!E$2),1,,"SK")),INDIRECT(ADDRESS(MATCH(A90,SK!Q$88:Q$162,0)+87,COLUMN(SK!U$2),1,,"SK")))/IF(B90&lt;1,B90*1440,B90))</f>
        <v/>
      </c>
    </row>
    <row r="91" spans="1:10" ht="25.8" customHeight="1" x14ac:dyDescent="0.3">
      <c r="A91" s="25" t="str">
        <f>IF(ISNUMBER(SK!B146), SK!A146, "")</f>
        <v/>
      </c>
      <c r="B91" s="26"/>
      <c r="C91" s="26"/>
      <c r="D91" s="26"/>
      <c r="E91" s="1160"/>
      <c r="F91" s="1161"/>
      <c r="G91" s="1161"/>
      <c r="H91" s="1162"/>
      <c r="I91" s="27" t="str">
        <f t="shared" si="3"/>
        <v/>
      </c>
      <c r="J91" s="28" t="str">
        <f ca="1">IF(OR(A91="",B91="",B91=0),"",60*SUM(INDIRECT(ADDRESS(MATCH(A91,SK!A$88:A$162,0)+87,COLUMN(SK!E$2),1,,"SK")),INDIRECT(ADDRESS(MATCH(A91,SK!Q$88:Q$162,0)+87,COLUMN(SK!U$2),1,,"SK")))/IF(B91&lt;1,B91*1440,B91))</f>
        <v/>
      </c>
    </row>
    <row r="92" spans="1:10" ht="25.8" customHeight="1" x14ac:dyDescent="0.3">
      <c r="A92" s="21" t="str">
        <f>IF(ISNUMBER(SK!B148), SK!A148, "")</f>
        <v/>
      </c>
      <c r="B92" s="22"/>
      <c r="C92" s="22"/>
      <c r="D92" s="22"/>
      <c r="E92" s="1157"/>
      <c r="F92" s="1158"/>
      <c r="G92" s="1158"/>
      <c r="H92" s="1159"/>
      <c r="I92" s="23" t="str">
        <f t="shared" si="3"/>
        <v/>
      </c>
      <c r="J92" s="24" t="str">
        <f ca="1">IF(OR(A92="",B92="",B92=0),"",60*SUM(INDIRECT(ADDRESS(MATCH(A92,SK!A$88:A$162,0)+87,COLUMN(SK!E$2),1,,"SK")),INDIRECT(ADDRESS(MATCH(A92,SK!Q$88:Q$162,0)+87,COLUMN(SK!U$2),1,,"SK")))/IF(B92&lt;1,B92*1440,B92))</f>
        <v/>
      </c>
    </row>
    <row r="93" spans="1:10" ht="25.8" customHeight="1" x14ac:dyDescent="0.3">
      <c r="A93" s="25" t="str">
        <f>IF(ISNUMBER(SK!B150), SK!A150, "")</f>
        <v/>
      </c>
      <c r="B93" s="26"/>
      <c r="C93" s="26"/>
      <c r="D93" s="26"/>
      <c r="E93" s="1160"/>
      <c r="F93" s="1161"/>
      <c r="G93" s="1161"/>
      <c r="H93" s="1162"/>
      <c r="I93" s="27" t="str">
        <f t="shared" ref="I93:I99" si="4">IF(OR(A93="",B93="",B93=0,C93=""),"",60*C93/IF(B93&lt;1,B93*1440,B93))</f>
        <v/>
      </c>
      <c r="J93" s="28" t="str">
        <f ca="1">IF(OR(A93="",B93="",B93=0),"",60*SUM(INDIRECT(ADDRESS(MATCH(A93,SK!A$88:A$162,0)+87,COLUMN(SK!E$2),1,,"SK")),INDIRECT(ADDRESS(MATCH(A93,SK!Q$88:Q$162,0)+87,COLUMN(SK!U$2),1,,"SK")))/IF(B93&lt;1,B93*1440,B93))</f>
        <v/>
      </c>
    </row>
    <row r="94" spans="1:10" ht="25.8" customHeight="1" x14ac:dyDescent="0.3">
      <c r="A94" s="21" t="str">
        <f>IF(ISNUMBER(SK!B152), SK!A152, "")</f>
        <v/>
      </c>
      <c r="B94" s="22"/>
      <c r="C94" s="22"/>
      <c r="D94" s="22"/>
      <c r="E94" s="1157"/>
      <c r="F94" s="1158"/>
      <c r="G94" s="1158"/>
      <c r="H94" s="1159"/>
      <c r="I94" s="23" t="str">
        <f t="shared" si="4"/>
        <v/>
      </c>
      <c r="J94" s="24" t="str">
        <f ca="1">IF(OR(A94="",B94="",B94=0),"",60*SUM(INDIRECT(ADDRESS(MATCH(A94,SK!A$88:A$162,0)+87,COLUMN(SK!E$2),1,,"SK")),INDIRECT(ADDRESS(MATCH(A94,SK!Q$88:Q$162,0)+87,COLUMN(SK!U$2),1,,"SK")))/IF(B94&lt;1,B94*1440,B94))</f>
        <v/>
      </c>
    </row>
    <row r="95" spans="1:10" ht="25.8" customHeight="1" x14ac:dyDescent="0.3">
      <c r="A95" s="25" t="str">
        <f>IF(ISNUMBER(SK!B154), SK!A154, "")</f>
        <v/>
      </c>
      <c r="B95" s="26"/>
      <c r="C95" s="26"/>
      <c r="D95" s="26"/>
      <c r="E95" s="1160"/>
      <c r="F95" s="1161"/>
      <c r="G95" s="1161"/>
      <c r="H95" s="1162"/>
      <c r="I95" s="27" t="str">
        <f t="shared" si="4"/>
        <v/>
      </c>
      <c r="J95" s="28" t="str">
        <f ca="1">IF(OR(A95="",B95="",B95=0),"",60*SUM(INDIRECT(ADDRESS(MATCH(A95,SK!A$88:A$162,0)+87,COLUMN(SK!E$2),1,,"SK")),INDIRECT(ADDRESS(MATCH(A95,SK!Q$88:Q$162,0)+87,COLUMN(SK!U$2),1,,"SK")))/IF(B95&lt;1,B95*1440,B95))</f>
        <v/>
      </c>
    </row>
    <row r="96" spans="1:10" ht="25.8" customHeight="1" x14ac:dyDescent="0.3">
      <c r="A96" s="21" t="str">
        <f>IF(ISNUMBER(SK!B156), SK!A156, "")</f>
        <v/>
      </c>
      <c r="B96" s="22"/>
      <c r="C96" s="22"/>
      <c r="D96" s="22"/>
      <c r="E96" s="1157"/>
      <c r="F96" s="1158"/>
      <c r="G96" s="1158"/>
      <c r="H96" s="1159"/>
      <c r="I96" s="23" t="str">
        <f t="shared" si="4"/>
        <v/>
      </c>
      <c r="J96" s="24" t="str">
        <f ca="1">IF(OR(A96="",B96="",B96=0),"",60*SUM(INDIRECT(ADDRESS(MATCH(A96,SK!A$88:A$162,0)+87,COLUMN(SK!E$2),1,,"SK")),INDIRECT(ADDRESS(MATCH(A96,SK!Q$88:Q$162,0)+87,COLUMN(SK!U$2),1,,"SK")))/IF(B96&lt;1,B96*1440,B96))</f>
        <v/>
      </c>
    </row>
    <row r="97" spans="1:10" ht="25.8" customHeight="1" x14ac:dyDescent="0.3">
      <c r="A97" s="25" t="str">
        <f>IF(ISNUMBER(SK!B158), SK!A158, "")</f>
        <v/>
      </c>
      <c r="B97" s="26"/>
      <c r="C97" s="26"/>
      <c r="D97" s="26"/>
      <c r="E97" s="1160"/>
      <c r="F97" s="1161"/>
      <c r="G97" s="1161"/>
      <c r="H97" s="1162"/>
      <c r="I97" s="27" t="str">
        <f t="shared" si="4"/>
        <v/>
      </c>
      <c r="J97" s="28" t="str">
        <f ca="1">IF(OR(A97="",B97="",B97=0),"",60*SUM(INDIRECT(ADDRESS(MATCH(A97,SK!A$88:A$162,0)+87,COLUMN(SK!E$2),1,,"SK")),INDIRECT(ADDRESS(MATCH(A97,SK!Q$88:Q$162,0)+87,COLUMN(SK!U$2),1,,"SK")))/IF(B97&lt;1,B97*1440,B97))</f>
        <v/>
      </c>
    </row>
    <row r="98" spans="1:10" ht="25.8" customHeight="1" x14ac:dyDescent="0.3">
      <c r="A98" s="21" t="str">
        <f>IF(ISNUMBER(SK!B160), SK!A160, "")</f>
        <v/>
      </c>
      <c r="B98" s="22"/>
      <c r="C98" s="22"/>
      <c r="D98" s="22"/>
      <c r="E98" s="1157"/>
      <c r="F98" s="1158"/>
      <c r="G98" s="1158"/>
      <c r="H98" s="1159"/>
      <c r="I98" s="23" t="str">
        <f t="shared" si="4"/>
        <v/>
      </c>
      <c r="J98" s="24" t="str">
        <f ca="1">IF(OR(A98="",B98="",B98=0),"",60*SUM(INDIRECT(ADDRESS(MATCH(A98,SK!A$88:A$162,0)+87,COLUMN(SK!E$2),1,,"SK")),INDIRECT(ADDRESS(MATCH(A98,SK!Q$88:Q$162,0)+87,COLUMN(SK!U$2),1,,"SK")))/IF(B98&lt;1,B98*1440,B98))</f>
        <v/>
      </c>
    </row>
    <row r="99" spans="1:10" ht="25.8" customHeight="1" thickBot="1" x14ac:dyDescent="0.35">
      <c r="A99" s="25" t="str">
        <f>IF(ISNUMBER(SK!B162), SK!A162, "")</f>
        <v/>
      </c>
      <c r="B99" s="26"/>
      <c r="C99" s="26"/>
      <c r="D99" s="26"/>
      <c r="E99" s="1163"/>
      <c r="F99" s="1164"/>
      <c r="G99" s="1164"/>
      <c r="H99" s="1165"/>
      <c r="I99" s="27" t="str">
        <f t="shared" si="4"/>
        <v/>
      </c>
      <c r="J99" s="28" t="str">
        <f ca="1">IF(OR(A99="",B99="",B99=0),"",60*SUM(INDIRECT(ADDRESS(MATCH(A99,SK!A$88:A$162,0)+87,COLUMN(SK!E$2),1,,"SK")),INDIRECT(ADDRESS(MATCH(A99,SK!Q$88:Q$162,0)+87,COLUMN(SK!U$2),1,,"SK")))/IF(B99&lt;1,B99*1440,B99))</f>
        <v/>
      </c>
    </row>
    <row r="100" spans="1:10" x14ac:dyDescent="0.3">
      <c r="A100" s="29" t="s">
        <v>52</v>
      </c>
      <c r="B100" s="30"/>
      <c r="C100" s="30" t="s">
        <v>325</v>
      </c>
      <c r="D100" s="30"/>
      <c r="E100" s="30"/>
      <c r="F100" s="30"/>
      <c r="G100" s="30"/>
      <c r="H100" s="30"/>
      <c r="I100" s="30"/>
      <c r="J100" s="31"/>
    </row>
    <row r="101" spans="1:10" x14ac:dyDescent="0.3">
      <c r="A101" s="32" t="s">
        <v>53</v>
      </c>
      <c r="C101" s="3" t="s">
        <v>496</v>
      </c>
      <c r="J101" s="33"/>
    </row>
    <row r="102" spans="1:10" ht="14.4" thickBot="1" x14ac:dyDescent="0.35">
      <c r="A102" s="34" t="s">
        <v>54</v>
      </c>
      <c r="B102" s="35"/>
      <c r="C102" s="35" t="s">
        <v>187</v>
      </c>
      <c r="D102" s="35"/>
      <c r="E102" s="35"/>
      <c r="F102" s="35"/>
      <c r="G102" s="35"/>
      <c r="H102" s="300"/>
      <c r="I102" s="35"/>
      <c r="J102" s="36"/>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8"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heetViews>
  <sheetFormatPr defaultColWidth="8.77734375" defaultRowHeight="13.8" x14ac:dyDescent="0.3"/>
  <cols>
    <col min="1" max="1" width="4.6640625" style="16" customWidth="1"/>
    <col min="2" max="2" width="11.44140625" style="3" customWidth="1"/>
    <col min="3" max="3" width="20.6640625" style="3" customWidth="1"/>
    <col min="4" max="19" width="11.44140625" style="3" customWidth="1"/>
    <col min="20" max="20" width="4.6640625" style="16" customWidth="1"/>
    <col min="21" max="21" width="11.44140625" style="3" customWidth="1"/>
    <col min="22" max="22" width="20.6640625" style="3" customWidth="1"/>
    <col min="23" max="258" width="11.44140625" style="3" customWidth="1"/>
    <col min="259" max="16384" width="8.77734375" style="3"/>
  </cols>
  <sheetData>
    <row r="2" spans="1:37" x14ac:dyDescent="0.3">
      <c r="C2" s="92" t="s">
        <v>143</v>
      </c>
      <c r="V2" s="92" t="s">
        <v>143</v>
      </c>
    </row>
    <row r="3" spans="1:37" x14ac:dyDescent="0.3">
      <c r="C3" s="3" t="s">
        <v>27</v>
      </c>
      <c r="D3" s="3">
        <f>MAX(Score!A42,Score!T42)</f>
        <v>20</v>
      </c>
      <c r="V3" s="3" t="s">
        <v>27</v>
      </c>
      <c r="W3" s="3">
        <f>D3</f>
        <v>20</v>
      </c>
    </row>
    <row r="4" spans="1:37" x14ac:dyDescent="0.3">
      <c r="C4" s="3" t="s">
        <v>28</v>
      </c>
      <c r="D4" s="3">
        <f ca="1">SK!H79</f>
        <v>13</v>
      </c>
      <c r="V4" s="3" t="s">
        <v>29</v>
      </c>
      <c r="W4" s="3">
        <f ca="1">SK!X79</f>
        <v>7</v>
      </c>
    </row>
    <row r="5" spans="1:37" x14ac:dyDescent="0.3">
      <c r="C5" s="3" t="s">
        <v>30</v>
      </c>
      <c r="D5" s="3">
        <f>COUNTIF(Q9:Q28,"&gt;0")</f>
        <v>15</v>
      </c>
      <c r="V5" s="3" t="s">
        <v>31</v>
      </c>
      <c r="W5" s="3">
        <f>COUNTIF(AJ9:AJ28,"&gt;0")</f>
        <v>14</v>
      </c>
    </row>
    <row r="7" spans="1:37" x14ac:dyDescent="0.3">
      <c r="A7" s="1200" t="s">
        <v>32</v>
      </c>
      <c r="B7" s="1200"/>
      <c r="C7" s="1200"/>
      <c r="D7" s="93"/>
      <c r="E7" s="93"/>
      <c r="F7" s="93"/>
      <c r="G7" s="93"/>
      <c r="H7" s="93"/>
      <c r="I7" s="93"/>
      <c r="J7" s="93"/>
      <c r="K7" s="93"/>
      <c r="L7" s="93"/>
      <c r="M7" s="93"/>
      <c r="N7" s="93"/>
      <c r="O7" s="93"/>
      <c r="P7" s="93"/>
      <c r="Q7" s="93"/>
      <c r="R7" s="93"/>
      <c r="T7" s="1200" t="s">
        <v>32</v>
      </c>
      <c r="U7" s="1200"/>
      <c r="V7" s="1200"/>
      <c r="W7" s="93"/>
      <c r="X7" s="93"/>
      <c r="Y7" s="93"/>
      <c r="Z7" s="93"/>
      <c r="AA7" s="93"/>
      <c r="AB7" s="93"/>
      <c r="AC7" s="93"/>
      <c r="AD7" s="93"/>
      <c r="AE7" s="93"/>
      <c r="AF7" s="93"/>
      <c r="AG7" s="93"/>
      <c r="AH7" s="93"/>
      <c r="AI7" s="93"/>
      <c r="AJ7" s="93"/>
      <c r="AK7" s="93"/>
    </row>
    <row r="8" spans="1:37" s="16" customFormat="1" x14ac:dyDescent="0.3">
      <c r="A8" s="136">
        <v>0</v>
      </c>
      <c r="B8" s="136" t="s">
        <v>24</v>
      </c>
      <c r="C8" s="136" t="s">
        <v>25</v>
      </c>
      <c r="D8" s="136" t="s">
        <v>103</v>
      </c>
      <c r="E8" s="137" t="s">
        <v>33</v>
      </c>
      <c r="F8" s="141" t="s">
        <v>104</v>
      </c>
      <c r="G8" s="141" t="s">
        <v>104</v>
      </c>
      <c r="H8" s="141" t="s">
        <v>104</v>
      </c>
      <c r="I8" s="141" t="s">
        <v>104</v>
      </c>
      <c r="J8" s="136" t="s">
        <v>34</v>
      </c>
      <c r="K8" s="137" t="s">
        <v>35</v>
      </c>
      <c r="L8" s="136" t="s">
        <v>36</v>
      </c>
      <c r="M8" s="137" t="s">
        <v>37</v>
      </c>
      <c r="N8" s="138" t="s">
        <v>13</v>
      </c>
      <c r="O8" s="136" t="s">
        <v>105</v>
      </c>
      <c r="P8" s="137" t="s">
        <v>38</v>
      </c>
      <c r="Q8" s="136" t="s">
        <v>7</v>
      </c>
      <c r="R8" s="137" t="s">
        <v>39</v>
      </c>
      <c r="T8" s="136">
        <v>0</v>
      </c>
      <c r="U8" s="136" t="s">
        <v>24</v>
      </c>
      <c r="V8" s="136" t="s">
        <v>25</v>
      </c>
      <c r="W8" s="136" t="s">
        <v>103</v>
      </c>
      <c r="X8" s="137" t="s">
        <v>33</v>
      </c>
      <c r="Y8" s="141" t="s">
        <v>104</v>
      </c>
      <c r="Z8" s="141" t="s">
        <v>104</v>
      </c>
      <c r="AA8" s="141" t="s">
        <v>104</v>
      </c>
      <c r="AB8" s="141" t="s">
        <v>104</v>
      </c>
      <c r="AC8" s="136" t="s">
        <v>34</v>
      </c>
      <c r="AD8" s="137" t="s">
        <v>35</v>
      </c>
      <c r="AE8" s="136" t="s">
        <v>36</v>
      </c>
      <c r="AF8" s="137" t="s">
        <v>37</v>
      </c>
      <c r="AG8" s="138" t="s">
        <v>13</v>
      </c>
      <c r="AH8" s="136" t="s">
        <v>105</v>
      </c>
      <c r="AI8" s="137" t="s">
        <v>38</v>
      </c>
      <c r="AJ8" s="136" t="s">
        <v>7</v>
      </c>
      <c r="AK8" s="137" t="s">
        <v>39</v>
      </c>
    </row>
    <row r="9" spans="1:37" x14ac:dyDescent="0.3">
      <c r="A9" s="16">
        <f t="shared" ref="A9:A28" si="0">A8+1</f>
        <v>1</v>
      </c>
      <c r="B9" s="83" t="str">
        <f>IF(ISBLANK(IGRF!B14),"",IGRF!B14)</f>
        <v>101</v>
      </c>
      <c r="C9" s="83" t="str">
        <f>IF(ISBLANK(IGRF!C14),"",IGRF!C14)</f>
        <v>Jackie Treehorn</v>
      </c>
      <c r="D9" s="3">
        <f>IF($B9="","",SUMPRODUCT(--(Lineups!$G$4:$G$41=$B9),--(Lineups!$B$4:$B$41="")))</f>
        <v>0</v>
      </c>
      <c r="E9" s="134">
        <f t="shared" ref="E9:E28" si="1">IF($B9="","",IF($D$3=0,"",D9/$D$3))</f>
        <v>0</v>
      </c>
      <c r="F9" s="142">
        <f>IF($B9="","",SUMPRODUCT(--(Lineups!$G$4:$G$41=$B9),--(Lineups!$B$4:$B$41="X")))</f>
        <v>0</v>
      </c>
      <c r="G9" s="142">
        <f>IF($B9="","",SUMPRODUCT(--(Lineups!K$4:K$41=$B9),--(Lineups!A$4:A$41&lt;&gt;"SP")))</f>
        <v>1</v>
      </c>
      <c r="H9" s="142">
        <f>IF($B9="","",SUMPRODUCT(--(Lineups!O$4:O$41=$B9),--(Lineups!A$4:A$41&lt;&gt;"SP")))</f>
        <v>4</v>
      </c>
      <c r="I9" s="142">
        <f>IF($B9="","",SUMPRODUCT(--(Lineups!S$4:S$41=$B9),--(Lineups!A$4:A$41&lt;&gt;"SP")))</f>
        <v>7</v>
      </c>
      <c r="J9" s="3">
        <f t="shared" ref="J9:J28" si="2">IF(B9="","",SUM(F9:I9))</f>
        <v>12</v>
      </c>
      <c r="K9" s="134">
        <f t="shared" ref="K9:K28" si="3">IF($B9="","",IF($D$3=0,"",J9/$D$3))</f>
        <v>0.6</v>
      </c>
      <c r="L9" s="3">
        <f t="shared" ref="L9:L28" si="4">IF(B9="","",SUM(D9,J9))</f>
        <v>12</v>
      </c>
      <c r="M9" s="134">
        <f t="shared" ref="M9:M28" si="5">IF($B9="","",IF($D$3=0,"",L9/$D$3))</f>
        <v>0.6</v>
      </c>
      <c r="N9" s="139" t="str">
        <f ca="1">IF(B9="","",IF(OR(SK!E172="",SK!E172=0),"",SK!H172))</f>
        <v/>
      </c>
      <c r="O9" s="3">
        <f>IF($B9="","",SUMPRODUCT(--(Lineups!C$4:C$41=$B9)))</f>
        <v>0</v>
      </c>
      <c r="P9" s="134">
        <f t="shared" ref="P9:P28" si="6">IF($B9="","",IF($D$3=0,"",O9/$D$3))</f>
        <v>0</v>
      </c>
      <c r="Q9" s="3">
        <f t="shared" ref="Q9:Q28" si="7">IF(B9="","",SUM(L9,O9))</f>
        <v>12</v>
      </c>
      <c r="R9" s="134">
        <f t="shared" ref="R9:R28" si="8">IF($B9="","",IF($D$3=0,"",Q9/$D$3))</f>
        <v>0.6</v>
      </c>
      <c r="T9" s="16">
        <f t="shared" ref="T9:T28" si="9">T8+1</f>
        <v>1</v>
      </c>
      <c r="U9" s="83" t="str">
        <f>IF(ISBLANK(IGRF!I14),"",IGRF!I14)</f>
        <v>12</v>
      </c>
      <c r="V9" s="83" t="str">
        <f>IF(ISBLANK(IGRF!J14),"",IGRF!J14)</f>
        <v>Zorra</v>
      </c>
      <c r="W9" s="3">
        <f>IF($U9="","",SUMPRODUCT(--(Lineups!$AG$4:$AG$41=$U9),--(Lineups!$AB$4:$AB$41="")))</f>
        <v>0</v>
      </c>
      <c r="X9" s="134">
        <f t="shared" ref="X9:X28" si="10">IF($U9="","",IF($W$3=0,"",W9/$W$3))</f>
        <v>0</v>
      </c>
      <c r="Y9" s="142">
        <f>IF($U9="","",SUMPRODUCT(--(Lineups!$AG$4:$AG$41=$U9),--(Lineups!$AB$4:$AB$41="X")))</f>
        <v>0</v>
      </c>
      <c r="Z9" s="142">
        <f>IF($U9="","",SUMPRODUCT(--(Lineups!AK$4:AK$41=$U9),--(Lineups!AA$4:AA$41&lt;&gt;"SP")))</f>
        <v>0</v>
      </c>
      <c r="AA9" s="142">
        <f>IF($U9="","",SUMPRODUCT(--(Lineups!AO$4:AO$41=$U9),--(Lineups!AA$4:AA$41&lt;&gt;"SP")))</f>
        <v>0</v>
      </c>
      <c r="AB9" s="142">
        <f>IF($U9="","",SUMPRODUCT(--(Lineups!AS$4:AS$41=$U9),--(Lineups!AA$4:AA$41&lt;&gt;"SP")))</f>
        <v>0</v>
      </c>
      <c r="AC9" s="3">
        <f t="shared" ref="AC9:AC28" si="11">IF(U9="","",SUM(Y9:AB9))</f>
        <v>0</v>
      </c>
      <c r="AD9" s="134">
        <f t="shared" ref="AD9:AD28" si="12">IF($U9="","",IF($W$3=0,"",AC9/$W$3))</f>
        <v>0</v>
      </c>
      <c r="AE9" s="3">
        <f t="shared" ref="AE9:AE28" si="13">IF(U9="","",SUM(W9,AC9))</f>
        <v>0</v>
      </c>
      <c r="AF9" s="134">
        <f t="shared" ref="AF9:AF28" si="14">IF($U9="","",IF($W$3=0,"",AE9/$W$3))</f>
        <v>0</v>
      </c>
      <c r="AG9" s="139">
        <f ca="1">IF(U9="","",IF(OR(SK!U172="",SK!U172=0),"",SK!X172))</f>
        <v>5</v>
      </c>
      <c r="AH9" s="3">
        <f>IF($U9="","",SUMPRODUCT(--(Lineups!AC$4:AC$41=$U9)))</f>
        <v>8</v>
      </c>
      <c r="AI9" s="134">
        <f t="shared" ref="AI9:AI28" si="15">IF($U9="","",IF($W$3=0,"",AH9/$W$3))</f>
        <v>0.4</v>
      </c>
      <c r="AJ9" s="3">
        <f t="shared" ref="AJ9:AJ28" si="16">IF(U9="","",SUM(AE9,AH9))</f>
        <v>8</v>
      </c>
      <c r="AK9" s="134">
        <f t="shared" ref="AK9:AK28" si="17">IF($U9="","",IF($W$3=0,"",AJ9/$W$3))</f>
        <v>0.4</v>
      </c>
    </row>
    <row r="10" spans="1:37" x14ac:dyDescent="0.3">
      <c r="A10" s="131">
        <f t="shared" si="0"/>
        <v>2</v>
      </c>
      <c r="B10" s="132" t="str">
        <f>IF(ISBLANK(IGRF!B15),"",IGRF!B15)</f>
        <v>123</v>
      </c>
      <c r="C10" s="132" t="str">
        <f>IF(ISBLANK(IGRF!C15),"",IGRF!C15)</f>
        <v>Bacon 4 Mercy</v>
      </c>
      <c r="D10" s="133">
        <f>IF($B10="","",SUMPRODUCT(--(Lineups!$G$4:$G$41=$B10),--(Lineups!$B$4:$B$41="")))</f>
        <v>0</v>
      </c>
      <c r="E10" s="135">
        <f t="shared" si="1"/>
        <v>0</v>
      </c>
      <c r="F10" s="142">
        <f>IF($B10="","",SUMPRODUCT(--(Lineups!$G$4:$G$41=$B10),--(Lineups!$B$4:$B$41="X")))</f>
        <v>0</v>
      </c>
      <c r="G10" s="142">
        <f>IF($B10="","",SUMPRODUCT(--(Lineups!K$4:K$41=$B10),--(Lineups!A$4:A$41&lt;&gt;"SP")))</f>
        <v>0</v>
      </c>
      <c r="H10" s="142">
        <f>IF($B10="","",SUMPRODUCT(--(Lineups!O$4:O$41=$B10),--(Lineups!A$4:A$41&lt;&gt;"SP")))</f>
        <v>0</v>
      </c>
      <c r="I10" s="142">
        <f>IF($B10="","",SUMPRODUCT(--(Lineups!S$4:S$41=$B10),--(Lineups!A$4:A$41&lt;&gt;"SP")))</f>
        <v>0</v>
      </c>
      <c r="J10" s="133">
        <f t="shared" si="2"/>
        <v>0</v>
      </c>
      <c r="K10" s="135">
        <f t="shared" si="3"/>
        <v>0</v>
      </c>
      <c r="L10" s="133">
        <f t="shared" si="4"/>
        <v>0</v>
      </c>
      <c r="M10" s="135">
        <f t="shared" si="5"/>
        <v>0</v>
      </c>
      <c r="N10" s="140">
        <f ca="1">IF(B10="","",IF(OR(SK!E175="",SK!E175=0),"",SK!H175))</f>
        <v>5</v>
      </c>
      <c r="O10" s="133">
        <f>IF($B10="","",SUMPRODUCT(--(Lineups!C$4:C$41=$B10)))</f>
        <v>6</v>
      </c>
      <c r="P10" s="135">
        <f t="shared" si="6"/>
        <v>0.3</v>
      </c>
      <c r="Q10" s="133">
        <f t="shared" si="7"/>
        <v>6</v>
      </c>
      <c r="R10" s="135">
        <f t="shared" si="8"/>
        <v>0.3</v>
      </c>
      <c r="T10" s="131">
        <f t="shared" si="9"/>
        <v>2</v>
      </c>
      <c r="U10" s="132" t="str">
        <f>IF(ISBLANK(IGRF!I15),"",IGRF!I15)</f>
        <v>16</v>
      </c>
      <c r="V10" s="132" t="str">
        <f>IF(ISBLANK(IGRF!J15),"",IGRF!J15)</f>
        <v>Dodge n Burn</v>
      </c>
      <c r="W10" s="133">
        <f>IF($U10="","",SUMPRODUCT(--(Lineups!$AG$4:$AG$41=$U10),--(Lineups!$AB$4:$AB$41="")))</f>
        <v>0</v>
      </c>
      <c r="X10" s="135">
        <f t="shared" si="10"/>
        <v>0</v>
      </c>
      <c r="Y10" s="142">
        <f>IF($U10="","",SUMPRODUCT(--(Lineups!$AG$4:$AG$41=$U10),--(Lineups!$AB$4:$AB$41="X")))</f>
        <v>0</v>
      </c>
      <c r="Z10" s="142">
        <f>IF($U10="","",SUMPRODUCT(--(Lineups!AK$4:AK$41=$U10),--(Lineups!AA$4:AA$41&lt;&gt;"SP")))</f>
        <v>0</v>
      </c>
      <c r="AA10" s="142">
        <f>IF($U10="","",SUMPRODUCT(--(Lineups!AO$4:AO$41=$U10),--(Lineups!AA$4:AA$41&lt;&gt;"SP")))</f>
        <v>1</v>
      </c>
      <c r="AB10" s="142">
        <f>IF($U10="","",SUMPRODUCT(--(Lineups!AS$4:AS$41=$U10),--(Lineups!AA$4:AA$41&lt;&gt;"SP")))</f>
        <v>0</v>
      </c>
      <c r="AC10" s="133">
        <f t="shared" si="11"/>
        <v>1</v>
      </c>
      <c r="AD10" s="135">
        <f t="shared" si="12"/>
        <v>0.05</v>
      </c>
      <c r="AE10" s="133">
        <f t="shared" si="13"/>
        <v>1</v>
      </c>
      <c r="AF10" s="135">
        <f t="shared" si="14"/>
        <v>0.05</v>
      </c>
      <c r="AG10" s="140" t="str">
        <f ca="1">IF(U10="","",IF(OR(SK!U175="",SK!U175=0),"",SK!X175))</f>
        <v/>
      </c>
      <c r="AH10" s="133">
        <f>IF($U10="","",SUMPRODUCT(--(Lineups!AC$4:AC$41=$U10)))</f>
        <v>0</v>
      </c>
      <c r="AI10" s="135">
        <f t="shared" si="15"/>
        <v>0</v>
      </c>
      <c r="AJ10" s="133">
        <f t="shared" si="16"/>
        <v>1</v>
      </c>
      <c r="AK10" s="135">
        <f t="shared" si="17"/>
        <v>0.05</v>
      </c>
    </row>
    <row r="11" spans="1:37" x14ac:dyDescent="0.3">
      <c r="A11" s="16">
        <f t="shared" si="0"/>
        <v>3</v>
      </c>
      <c r="B11" s="83" t="str">
        <f>IF(ISBLANK(IGRF!B16),"",IGRF!B16)</f>
        <v>1760</v>
      </c>
      <c r="C11" s="83" t="str">
        <f>IF(ISBLANK(IGRF!C16),"",IGRF!C16)</f>
        <v>By O. Hazard</v>
      </c>
      <c r="D11" s="3">
        <f>IF($B11="","",SUMPRODUCT(--(Lineups!$G$4:$G$41=$B11),--(Lineups!$B$4:$B$41="")))</f>
        <v>8</v>
      </c>
      <c r="E11" s="134">
        <f t="shared" si="1"/>
        <v>0.4</v>
      </c>
      <c r="F11" s="142">
        <f>IF($B11="","",SUMPRODUCT(--(Lineups!$G$4:$G$41=$B11),--(Lineups!$B$4:$B$41="X")))</f>
        <v>0</v>
      </c>
      <c r="G11" s="142">
        <f>IF($B11="","",SUMPRODUCT(--(Lineups!K$4:K$41=$B11),--(Lineups!A$4:A$41&lt;&gt;"SP")))</f>
        <v>3</v>
      </c>
      <c r="H11" s="142">
        <f>IF($B11="","",SUMPRODUCT(--(Lineups!O$4:O$41=$B11),--(Lineups!A$4:A$41&lt;&gt;"SP")))</f>
        <v>1</v>
      </c>
      <c r="I11" s="142">
        <f>IF($B11="","",SUMPRODUCT(--(Lineups!S$4:S$41=$B11),--(Lineups!A$4:A$41&lt;&gt;"SP")))</f>
        <v>1</v>
      </c>
      <c r="J11" s="3">
        <f t="shared" si="2"/>
        <v>5</v>
      </c>
      <c r="K11" s="134">
        <f t="shared" si="3"/>
        <v>0.25</v>
      </c>
      <c r="L11" s="3">
        <f t="shared" si="4"/>
        <v>13</v>
      </c>
      <c r="M11" s="134">
        <f t="shared" si="5"/>
        <v>0.65</v>
      </c>
      <c r="N11" s="139">
        <f ca="1">IF(B11="","",IF(OR(SK!E178="",SK!E178=0),"",SK!H178))</f>
        <v>0</v>
      </c>
      <c r="O11" s="3">
        <f>IF($B11="","",SUMPRODUCT(--(Lineups!C$4:C$41=$B11)))</f>
        <v>1</v>
      </c>
      <c r="P11" s="134">
        <f t="shared" si="6"/>
        <v>0.05</v>
      </c>
      <c r="Q11" s="3">
        <f t="shared" si="7"/>
        <v>14</v>
      </c>
      <c r="R11" s="134">
        <f t="shared" si="8"/>
        <v>0.7</v>
      </c>
      <c r="T11" s="16">
        <f t="shared" si="9"/>
        <v>3</v>
      </c>
      <c r="U11" s="83" t="str">
        <f>IF(ISBLANK(IGRF!I16),"",IGRF!I16)</f>
        <v>17</v>
      </c>
      <c r="V11" s="83" t="str">
        <f>IF(ISBLANK(IGRF!J16),"",IGRF!J16)</f>
        <v>Yinzey Lohan</v>
      </c>
      <c r="W11" s="3">
        <f>IF($U11="","",SUMPRODUCT(--(Lineups!$AG$4:$AG$41=$U11),--(Lineups!$AB$4:$AB$41="")))</f>
        <v>0</v>
      </c>
      <c r="X11" s="134">
        <f t="shared" si="10"/>
        <v>0</v>
      </c>
      <c r="Y11" s="142">
        <f>IF($U11="","",SUMPRODUCT(--(Lineups!$AG$4:$AG$41=$U11),--(Lineups!$AB$4:$AB$41="X")))</f>
        <v>0</v>
      </c>
      <c r="Z11" s="142">
        <f>IF($U11="","",SUMPRODUCT(--(Lineups!AK$4:AK$41=$U11),--(Lineups!AA$4:AA$41&lt;&gt;"SP")))</f>
        <v>5</v>
      </c>
      <c r="AA11" s="142">
        <f>IF($U11="","",SUMPRODUCT(--(Lineups!AO$4:AO$41=$U11),--(Lineups!AA$4:AA$41&lt;&gt;"SP")))</f>
        <v>3</v>
      </c>
      <c r="AB11" s="142">
        <f>IF($U11="","",SUMPRODUCT(--(Lineups!AS$4:AS$41=$U11),--(Lineups!AA$4:AA$41&lt;&gt;"SP")))</f>
        <v>0</v>
      </c>
      <c r="AC11" s="3">
        <f t="shared" si="11"/>
        <v>8</v>
      </c>
      <c r="AD11" s="134">
        <f t="shared" si="12"/>
        <v>0.4</v>
      </c>
      <c r="AE11" s="3">
        <f t="shared" si="13"/>
        <v>8</v>
      </c>
      <c r="AF11" s="134">
        <f t="shared" si="14"/>
        <v>0.4</v>
      </c>
      <c r="AG11" s="139" t="str">
        <f ca="1">IF(U11="","",IF(OR(SK!U178="",SK!U178=0),"",SK!X178))</f>
        <v/>
      </c>
      <c r="AH11" s="3">
        <f>IF($U11="","",SUMPRODUCT(--(Lineups!AC$4:AC$41=$U11)))</f>
        <v>0</v>
      </c>
      <c r="AI11" s="134">
        <f t="shared" si="15"/>
        <v>0</v>
      </c>
      <c r="AJ11" s="3">
        <f t="shared" si="16"/>
        <v>8</v>
      </c>
      <c r="AK11" s="134">
        <f t="shared" si="17"/>
        <v>0.4</v>
      </c>
    </row>
    <row r="12" spans="1:37" x14ac:dyDescent="0.3">
      <c r="A12" s="131">
        <f t="shared" si="0"/>
        <v>4</v>
      </c>
      <c r="B12" s="132" t="str">
        <f>IF(ISBLANK(IGRF!B17),"",IGRF!B17)</f>
        <v>202</v>
      </c>
      <c r="C12" s="132" t="str">
        <f>IF(ISBLANK(IGRF!C17),"",IGRF!C17)</f>
        <v>Thai-GRRR</v>
      </c>
      <c r="D12" s="133">
        <f>IF($B12="","",SUMPRODUCT(--(Lineups!$G$4:$G$41=$B12),--(Lineups!$B$4:$B$41="")))</f>
        <v>0</v>
      </c>
      <c r="E12" s="135">
        <f t="shared" si="1"/>
        <v>0</v>
      </c>
      <c r="F12" s="142">
        <f>IF($B12="","",SUMPRODUCT(--(Lineups!$G$4:$G$41=$B12),--(Lineups!$B$4:$B$41="X")))</f>
        <v>0</v>
      </c>
      <c r="G12" s="142">
        <f>IF($B12="","",SUMPRODUCT(--(Lineups!K$4:K$41=$B12),--(Lineups!A$4:A$41&lt;&gt;"SP")))</f>
        <v>0</v>
      </c>
      <c r="H12" s="142">
        <f>IF($B12="","",SUMPRODUCT(--(Lineups!O$4:O$41=$B12),--(Lineups!A$4:A$41&lt;&gt;"SP")))</f>
        <v>0</v>
      </c>
      <c r="I12" s="142">
        <f>IF($B12="","",SUMPRODUCT(--(Lineups!S$4:S$41=$B12),--(Lineups!A$4:A$41&lt;&gt;"SP")))</f>
        <v>0</v>
      </c>
      <c r="J12" s="133">
        <f t="shared" si="2"/>
        <v>0</v>
      </c>
      <c r="K12" s="135">
        <f t="shared" si="3"/>
        <v>0</v>
      </c>
      <c r="L12" s="133">
        <f t="shared" si="4"/>
        <v>0</v>
      </c>
      <c r="M12" s="135">
        <f t="shared" si="5"/>
        <v>0</v>
      </c>
      <c r="N12" s="140">
        <f ca="1">IF(B12="","",IF(OR(SK!E181="",SK!E181=0),"",SK!H181))</f>
        <v>4</v>
      </c>
      <c r="O12" s="133">
        <f>IF($B12="","",SUMPRODUCT(--(Lineups!C$4:C$41=$B12)))</f>
        <v>4</v>
      </c>
      <c r="P12" s="135">
        <f t="shared" si="6"/>
        <v>0.2</v>
      </c>
      <c r="Q12" s="133">
        <f t="shared" si="7"/>
        <v>4</v>
      </c>
      <c r="R12" s="135">
        <f t="shared" si="8"/>
        <v>0.2</v>
      </c>
      <c r="T12" s="131">
        <f t="shared" si="9"/>
        <v>4</v>
      </c>
      <c r="U12" s="132" t="str">
        <f>IF(ISBLANK(IGRF!I17),"",IGRF!I17)</f>
        <v>2</v>
      </c>
      <c r="V12" s="132" t="str">
        <f>IF(ISBLANK(IGRF!J17),"",IGRF!J17)</f>
        <v>Stark Raven</v>
      </c>
      <c r="W12" s="133">
        <f>IF($U12="","",SUMPRODUCT(--(Lineups!$AG$4:$AG$41=$U12),--(Lineups!$AB$4:$AB$41="")))</f>
        <v>0</v>
      </c>
      <c r="X12" s="135">
        <f t="shared" si="10"/>
        <v>0</v>
      </c>
      <c r="Y12" s="142">
        <f>IF($U12="","",SUMPRODUCT(--(Lineups!$AG$4:$AG$41=$U12),--(Lineups!$AB$4:$AB$41="X")))</f>
        <v>0</v>
      </c>
      <c r="Z12" s="142">
        <f>IF($U12="","",SUMPRODUCT(--(Lineups!AK$4:AK$41=$U12),--(Lineups!AA$4:AA$41&lt;&gt;"SP")))</f>
        <v>8</v>
      </c>
      <c r="AA12" s="142">
        <f>IF($U12="","",SUMPRODUCT(--(Lineups!AO$4:AO$41=$U12),--(Lineups!AA$4:AA$41&lt;&gt;"SP")))</f>
        <v>2</v>
      </c>
      <c r="AB12" s="142">
        <f>IF($U12="","",SUMPRODUCT(--(Lineups!AS$4:AS$41=$U12),--(Lineups!AA$4:AA$41&lt;&gt;"SP")))</f>
        <v>0</v>
      </c>
      <c r="AC12" s="133">
        <f t="shared" si="11"/>
        <v>10</v>
      </c>
      <c r="AD12" s="135">
        <f t="shared" si="12"/>
        <v>0.5</v>
      </c>
      <c r="AE12" s="133">
        <f t="shared" si="13"/>
        <v>10</v>
      </c>
      <c r="AF12" s="135">
        <f t="shared" si="14"/>
        <v>0.5</v>
      </c>
      <c r="AG12" s="140" t="str">
        <f ca="1">IF(U12="","",IF(OR(SK!U181="",SK!U181=0),"",SK!X181))</f>
        <v/>
      </c>
      <c r="AH12" s="133">
        <f>IF($U12="","",SUMPRODUCT(--(Lineups!AC$4:AC$41=$U12)))</f>
        <v>0</v>
      </c>
      <c r="AI12" s="135">
        <f t="shared" si="15"/>
        <v>0</v>
      </c>
      <c r="AJ12" s="133">
        <f t="shared" si="16"/>
        <v>10</v>
      </c>
      <c r="AK12" s="135">
        <f t="shared" si="17"/>
        <v>0.5</v>
      </c>
    </row>
    <row r="13" spans="1:37" x14ac:dyDescent="0.3">
      <c r="A13" s="16">
        <f t="shared" si="0"/>
        <v>5</v>
      </c>
      <c r="B13" s="83" t="str">
        <f>IF(ISBLANK(IGRF!B18),"",IGRF!B18)</f>
        <v>22</v>
      </c>
      <c r="C13" s="83" t="str">
        <f>IF(ISBLANK(IGRF!C18),"",IGRF!C18)</f>
        <v>Jen Hex</v>
      </c>
      <c r="D13" s="3">
        <f>IF($B13="","",SUMPRODUCT(--(Lineups!$G$4:$G$41=$B13),--(Lineups!$B$4:$B$41="")))</f>
        <v>0</v>
      </c>
      <c r="E13" s="134">
        <f t="shared" si="1"/>
        <v>0</v>
      </c>
      <c r="F13" s="142">
        <f>IF($B13="","",SUMPRODUCT(--(Lineups!$G$4:$G$41=$B13),--(Lineups!$B$4:$B$41="X")))</f>
        <v>1</v>
      </c>
      <c r="G13" s="142">
        <f>IF($B13="","",SUMPRODUCT(--(Lineups!K$4:K$41=$B13),--(Lineups!A$4:A$41&lt;&gt;"SP")))</f>
        <v>0</v>
      </c>
      <c r="H13" s="142">
        <f>IF($B13="","",SUMPRODUCT(--(Lineups!O$4:O$41=$B13),--(Lineups!A$4:A$41&lt;&gt;"SP")))</f>
        <v>0</v>
      </c>
      <c r="I13" s="142">
        <f>IF($B13="","",SUMPRODUCT(--(Lineups!S$4:S$41=$B13),--(Lineups!A$4:A$41&lt;&gt;"SP")))</f>
        <v>0</v>
      </c>
      <c r="J13" s="3">
        <f t="shared" si="2"/>
        <v>1</v>
      </c>
      <c r="K13" s="134">
        <f t="shared" si="3"/>
        <v>0.05</v>
      </c>
      <c r="L13" s="3">
        <f t="shared" si="4"/>
        <v>1</v>
      </c>
      <c r="M13" s="134">
        <f t="shared" si="5"/>
        <v>0.05</v>
      </c>
      <c r="N13" s="139">
        <f ca="1">IF(B13="","",IF(OR(SK!E184="",SK!E184=0),"",SK!H184))</f>
        <v>0</v>
      </c>
      <c r="O13" s="3">
        <f>IF($B13="","",SUMPRODUCT(--(Lineups!C$4:C$41=$B13)))</f>
        <v>1</v>
      </c>
      <c r="P13" s="134">
        <f t="shared" si="6"/>
        <v>0.05</v>
      </c>
      <c r="Q13" s="3">
        <f t="shared" si="7"/>
        <v>2</v>
      </c>
      <c r="R13" s="134">
        <f t="shared" si="8"/>
        <v>0.1</v>
      </c>
      <c r="T13" s="16">
        <f t="shared" si="9"/>
        <v>5</v>
      </c>
      <c r="U13" s="83" t="str">
        <f>IF(ISBLANK(IGRF!I18),"",IGRF!I18)</f>
        <v>219</v>
      </c>
      <c r="V13" s="83" t="str">
        <f>IF(ISBLANK(IGRF!J18),"",IGRF!J18)</f>
        <v>Dakota Slamming</v>
      </c>
      <c r="W13" s="3">
        <f>IF($U13="","",SUMPRODUCT(--(Lineups!$AG$4:$AG$41=$U13),--(Lineups!$AB$4:$AB$41="")))</f>
        <v>7</v>
      </c>
      <c r="X13" s="134">
        <f t="shared" si="10"/>
        <v>0.35</v>
      </c>
      <c r="Y13" s="142">
        <f>IF($U13="","",SUMPRODUCT(--(Lineups!$AG$4:$AG$41=$U13),--(Lineups!$AB$4:$AB$41="X")))</f>
        <v>0</v>
      </c>
      <c r="Z13" s="142">
        <f>IF($U13="","",SUMPRODUCT(--(Lineups!AK$4:AK$41=$U13),--(Lineups!AA$4:AA$41&lt;&gt;"SP")))</f>
        <v>1</v>
      </c>
      <c r="AA13" s="142">
        <f>IF($U13="","",SUMPRODUCT(--(Lineups!AO$4:AO$41=$U13),--(Lineups!AA$4:AA$41&lt;&gt;"SP")))</f>
        <v>0</v>
      </c>
      <c r="AB13" s="142">
        <f>IF($U13="","",SUMPRODUCT(--(Lineups!AS$4:AS$41=$U13),--(Lineups!AA$4:AA$41&lt;&gt;"SP")))</f>
        <v>2</v>
      </c>
      <c r="AC13" s="3">
        <f t="shared" si="11"/>
        <v>3</v>
      </c>
      <c r="AD13" s="134">
        <f t="shared" si="12"/>
        <v>0.15</v>
      </c>
      <c r="AE13" s="3">
        <f t="shared" si="13"/>
        <v>10</v>
      </c>
      <c r="AF13" s="134">
        <f t="shared" si="14"/>
        <v>0.5</v>
      </c>
      <c r="AG13" s="139">
        <f ca="1">IF(U13="","",IF(OR(SK!U184="",SK!U184=0),"",SK!X184))</f>
        <v>0</v>
      </c>
      <c r="AH13" s="3">
        <f>IF($U13="","",SUMPRODUCT(--(Lineups!AC$4:AC$41=$U13)))</f>
        <v>3</v>
      </c>
      <c r="AI13" s="134">
        <f t="shared" si="15"/>
        <v>0.15</v>
      </c>
      <c r="AJ13" s="3">
        <f t="shared" si="16"/>
        <v>13</v>
      </c>
      <c r="AK13" s="134">
        <f t="shared" si="17"/>
        <v>0.65</v>
      </c>
    </row>
    <row r="14" spans="1:37" x14ac:dyDescent="0.3">
      <c r="A14" s="131">
        <f t="shared" si="0"/>
        <v>6</v>
      </c>
      <c r="B14" s="132" t="str">
        <f>IF(ISBLANK(IGRF!B19),"",IGRF!B19)</f>
        <v>221*</v>
      </c>
      <c r="C14" s="132" t="str">
        <f>IF(ISBLANK(IGRF!C19),"",IGRF!C19)</f>
        <v>Kili Pepa</v>
      </c>
      <c r="D14" s="133">
        <f>IF($B14="","",SUMPRODUCT(--(Lineups!$G$4:$G$41=$B14),--(Lineups!$B$4:$B$41="")))</f>
        <v>0</v>
      </c>
      <c r="E14" s="135">
        <f t="shared" si="1"/>
        <v>0</v>
      </c>
      <c r="F14" s="142">
        <f>IF($B14="","",SUMPRODUCT(--(Lineups!$G$4:$G$41=$B14),--(Lineups!$B$4:$B$41="X")))</f>
        <v>0</v>
      </c>
      <c r="G14" s="142">
        <f>IF($B14="","",SUMPRODUCT(--(Lineups!K$4:K$41=$B14),--(Lineups!A$4:A$41&lt;&gt;"SP")))</f>
        <v>0</v>
      </c>
      <c r="H14" s="142">
        <f>IF($B14="","",SUMPRODUCT(--(Lineups!O$4:O$41=$B14),--(Lineups!A$4:A$41&lt;&gt;"SP")))</f>
        <v>0</v>
      </c>
      <c r="I14" s="142">
        <f>IF($B14="","",SUMPRODUCT(--(Lineups!S$4:S$41=$B14),--(Lineups!A$4:A$41&lt;&gt;"SP")))</f>
        <v>0</v>
      </c>
      <c r="J14" s="133">
        <f t="shared" si="2"/>
        <v>0</v>
      </c>
      <c r="K14" s="135">
        <f t="shared" si="3"/>
        <v>0</v>
      </c>
      <c r="L14" s="133">
        <f t="shared" si="4"/>
        <v>0</v>
      </c>
      <c r="M14" s="135">
        <f t="shared" si="5"/>
        <v>0</v>
      </c>
      <c r="N14" s="140" t="str">
        <f ca="1">IF(B14="","",IF(OR(SK!E187="",SK!E187=0),"",SK!H187))</f>
        <v/>
      </c>
      <c r="O14" s="133">
        <f>IF($B14="","",SUMPRODUCT(--(Lineups!C$4:C$41=$B14)))</f>
        <v>0</v>
      </c>
      <c r="P14" s="135">
        <f t="shared" si="6"/>
        <v>0</v>
      </c>
      <c r="Q14" s="133">
        <f t="shared" si="7"/>
        <v>0</v>
      </c>
      <c r="R14" s="135">
        <f t="shared" si="8"/>
        <v>0</v>
      </c>
      <c r="T14" s="131">
        <f t="shared" si="9"/>
        <v>6</v>
      </c>
      <c r="U14" s="132" t="str">
        <f>IF(ISBLANK(IGRF!I19),"",IGRF!I19)</f>
        <v>22</v>
      </c>
      <c r="V14" s="132" t="str">
        <f>IF(ISBLANK(IGRF!J19),"",IGRF!J19)</f>
        <v>Dammit Jammit</v>
      </c>
      <c r="W14" s="133">
        <f>IF($U14="","",SUMPRODUCT(--(Lineups!$AG$4:$AG$41=$U14),--(Lineups!$AB$4:$AB$41="")))</f>
        <v>1</v>
      </c>
      <c r="X14" s="135">
        <f t="shared" si="10"/>
        <v>0.05</v>
      </c>
      <c r="Y14" s="142">
        <f>IF($U14="","",SUMPRODUCT(--(Lineups!$AG$4:$AG$41=$U14),--(Lineups!$AB$4:$AB$41="X")))</f>
        <v>0</v>
      </c>
      <c r="Z14" s="142">
        <f>IF($U14="","",SUMPRODUCT(--(Lineups!AK$4:AK$41=$U14),--(Lineups!AA$4:AA$41&lt;&gt;"SP")))</f>
        <v>1</v>
      </c>
      <c r="AA14" s="142">
        <f>IF($U14="","",SUMPRODUCT(--(Lineups!AO$4:AO$41=$U14),--(Lineups!AA$4:AA$41&lt;&gt;"SP")))</f>
        <v>4</v>
      </c>
      <c r="AB14" s="142">
        <f>IF($U14="","",SUMPRODUCT(--(Lineups!AS$4:AS$41=$U14),--(Lineups!AA$4:AA$41&lt;&gt;"SP")))</f>
        <v>3</v>
      </c>
      <c r="AC14" s="133">
        <f t="shared" si="11"/>
        <v>8</v>
      </c>
      <c r="AD14" s="135">
        <f t="shared" si="12"/>
        <v>0.4</v>
      </c>
      <c r="AE14" s="133">
        <f t="shared" si="13"/>
        <v>9</v>
      </c>
      <c r="AF14" s="135">
        <f t="shared" si="14"/>
        <v>0.45</v>
      </c>
      <c r="AG14" s="140" t="str">
        <f ca="1">IF(U14="","",IF(OR(SK!U187="",SK!U187=0),"",SK!X187))</f>
        <v/>
      </c>
      <c r="AH14" s="133">
        <f>IF($U14="","",SUMPRODUCT(--(Lineups!AC$4:AC$41=$U14)))</f>
        <v>0</v>
      </c>
      <c r="AI14" s="135">
        <f t="shared" si="15"/>
        <v>0</v>
      </c>
      <c r="AJ14" s="133">
        <f t="shared" si="16"/>
        <v>9</v>
      </c>
      <c r="AK14" s="135">
        <f t="shared" si="17"/>
        <v>0.45</v>
      </c>
    </row>
    <row r="15" spans="1:37" x14ac:dyDescent="0.3">
      <c r="A15" s="16">
        <f t="shared" si="0"/>
        <v>7</v>
      </c>
      <c r="B15" s="83" t="str">
        <f>IF(ISBLANK(IGRF!B20),"",IGRF!B20)</f>
        <v>229</v>
      </c>
      <c r="C15" s="83" t="str">
        <f>IF(ISBLANK(IGRF!C20),"",IGRF!C20)</f>
        <v>Sparky</v>
      </c>
      <c r="D15" s="3">
        <f>IF($B15="","",SUMPRODUCT(--(Lineups!$G$4:$G$41=$B15),--(Lineups!$B$4:$B$41="")))</f>
        <v>0</v>
      </c>
      <c r="E15" s="134">
        <f t="shared" si="1"/>
        <v>0</v>
      </c>
      <c r="F15" s="142">
        <f>IF($B15="","",SUMPRODUCT(--(Lineups!$G$4:$G$41=$B15),--(Lineups!$B$4:$B$41="X")))</f>
        <v>0</v>
      </c>
      <c r="G15" s="142">
        <f>IF($B15="","",SUMPRODUCT(--(Lineups!K$4:K$41=$B15),--(Lineups!A$4:A$41&lt;&gt;"SP")))</f>
        <v>1</v>
      </c>
      <c r="H15" s="142">
        <f>IF($B15="","",SUMPRODUCT(--(Lineups!O$4:O$41=$B15),--(Lineups!A$4:A$41&lt;&gt;"SP")))</f>
        <v>2</v>
      </c>
      <c r="I15" s="142">
        <f>IF($B15="","",SUMPRODUCT(--(Lineups!S$4:S$41=$B15),--(Lineups!A$4:A$41&lt;&gt;"SP")))</f>
        <v>0</v>
      </c>
      <c r="J15" s="3">
        <f t="shared" si="2"/>
        <v>3</v>
      </c>
      <c r="K15" s="134">
        <f t="shared" si="3"/>
        <v>0.15</v>
      </c>
      <c r="L15" s="3">
        <f t="shared" si="4"/>
        <v>3</v>
      </c>
      <c r="M15" s="134">
        <f t="shared" si="5"/>
        <v>0.15</v>
      </c>
      <c r="N15" s="139" t="str">
        <f ca="1">IF(B15="","",IF(OR(SK!E190="",SK!E190=0),"",SK!H190))</f>
        <v/>
      </c>
      <c r="O15" s="3">
        <f>IF($B15="","",SUMPRODUCT(--(Lineups!C$4:C$41=$B15)))</f>
        <v>0</v>
      </c>
      <c r="P15" s="134">
        <f t="shared" si="6"/>
        <v>0</v>
      </c>
      <c r="Q15" s="3">
        <f t="shared" si="7"/>
        <v>3</v>
      </c>
      <c r="R15" s="134">
        <f t="shared" si="8"/>
        <v>0.15</v>
      </c>
      <c r="T15" s="16">
        <f t="shared" si="9"/>
        <v>7</v>
      </c>
      <c r="U15" s="83" t="str">
        <f>IF(ISBLANK(IGRF!I20),"",IGRF!I20)</f>
        <v>223</v>
      </c>
      <c r="V15" s="83" t="str">
        <f>IF(ISBLANK(IGRF!J20),"",IGRF!J20)</f>
        <v>Frida Killah</v>
      </c>
      <c r="W15" s="3">
        <f>IF($U15="","",SUMPRODUCT(--(Lineups!$AG$4:$AG$41=$U15),--(Lineups!$AB$4:$AB$41="")))</f>
        <v>0</v>
      </c>
      <c r="X15" s="134">
        <f t="shared" si="10"/>
        <v>0</v>
      </c>
      <c r="Y15" s="142">
        <f>IF($U15="","",SUMPRODUCT(--(Lineups!$AG$4:$AG$41=$U15),--(Lineups!$AB$4:$AB$41="X")))</f>
        <v>1</v>
      </c>
      <c r="Z15" s="142">
        <f>IF($U15="","",SUMPRODUCT(--(Lineups!AK$4:AK$41=$U15),--(Lineups!AA$4:AA$41&lt;&gt;"SP")))</f>
        <v>0</v>
      </c>
      <c r="AA15" s="142">
        <f>IF($U15="","",SUMPRODUCT(--(Lineups!AO$4:AO$41=$U15),--(Lineups!AA$4:AA$41&lt;&gt;"SP")))</f>
        <v>0</v>
      </c>
      <c r="AB15" s="142">
        <f>IF($U15="","",SUMPRODUCT(--(Lineups!AS$4:AS$41=$U15),--(Lineups!AA$4:AA$41&lt;&gt;"SP")))</f>
        <v>0</v>
      </c>
      <c r="AC15" s="3">
        <f t="shared" si="11"/>
        <v>1</v>
      </c>
      <c r="AD15" s="134">
        <f t="shared" si="12"/>
        <v>0.05</v>
      </c>
      <c r="AE15" s="3">
        <f t="shared" si="13"/>
        <v>1</v>
      </c>
      <c r="AF15" s="134">
        <f t="shared" si="14"/>
        <v>0.05</v>
      </c>
      <c r="AG15" s="139">
        <f ca="1">IF(U15="","",IF(OR(SK!U190="",SK!U190=0),"",SK!X190))</f>
        <v>0</v>
      </c>
      <c r="AH15" s="3">
        <f>IF($U15="","",SUMPRODUCT(--(Lineups!AC$4:AC$41=$U15)))</f>
        <v>1</v>
      </c>
      <c r="AI15" s="134">
        <f t="shared" si="15"/>
        <v>0.05</v>
      </c>
      <c r="AJ15" s="3">
        <f t="shared" si="16"/>
        <v>2</v>
      </c>
      <c r="AK15" s="134">
        <f t="shared" si="17"/>
        <v>0.1</v>
      </c>
    </row>
    <row r="16" spans="1:37" x14ac:dyDescent="0.3">
      <c r="A16" s="131">
        <f t="shared" si="0"/>
        <v>8</v>
      </c>
      <c r="B16" s="132" t="str">
        <f>IF(ISBLANK(IGRF!B21),"",IGRF!B21)</f>
        <v>237</v>
      </c>
      <c r="C16" s="132" t="str">
        <f>IF(ISBLANK(IGRF!C21),"",IGRF!C21)</f>
        <v>RedRum</v>
      </c>
      <c r="D16" s="133">
        <f>IF($B16="","",SUMPRODUCT(--(Lineups!$G$4:$G$41=$B16),--(Lineups!$B$4:$B$41="")))</f>
        <v>0</v>
      </c>
      <c r="E16" s="135">
        <f t="shared" si="1"/>
        <v>0</v>
      </c>
      <c r="F16" s="142">
        <f>IF($B16="","",SUMPRODUCT(--(Lineups!$G$4:$G$41=$B16),--(Lineups!$B$4:$B$41="X")))</f>
        <v>0</v>
      </c>
      <c r="G16" s="142">
        <f>IF($B16="","",SUMPRODUCT(--(Lineups!K$4:K$41=$B16),--(Lineups!A$4:A$41&lt;&gt;"SP")))</f>
        <v>3</v>
      </c>
      <c r="H16" s="142">
        <f>IF($B16="","",SUMPRODUCT(--(Lineups!O$4:O$41=$B16),--(Lineups!A$4:A$41&lt;&gt;"SP")))</f>
        <v>2</v>
      </c>
      <c r="I16" s="142">
        <f>IF($B16="","",SUMPRODUCT(--(Lineups!S$4:S$41=$B16),--(Lineups!A$4:A$41&lt;&gt;"SP")))</f>
        <v>6</v>
      </c>
      <c r="J16" s="133">
        <f t="shared" si="2"/>
        <v>11</v>
      </c>
      <c r="K16" s="135">
        <f t="shared" si="3"/>
        <v>0.55000000000000004</v>
      </c>
      <c r="L16" s="133">
        <f t="shared" si="4"/>
        <v>11</v>
      </c>
      <c r="M16" s="135">
        <f t="shared" si="5"/>
        <v>0.55000000000000004</v>
      </c>
      <c r="N16" s="140" t="str">
        <f ca="1">IF(B16="","",IF(OR(SK!E193="",SK!E193=0),"",SK!H193))</f>
        <v/>
      </c>
      <c r="O16" s="133">
        <f>IF($B16="","",SUMPRODUCT(--(Lineups!C$4:C$41=$B16)))</f>
        <v>0</v>
      </c>
      <c r="P16" s="135">
        <f t="shared" si="6"/>
        <v>0</v>
      </c>
      <c r="Q16" s="133">
        <f t="shared" si="7"/>
        <v>11</v>
      </c>
      <c r="R16" s="135">
        <f t="shared" si="8"/>
        <v>0.55000000000000004</v>
      </c>
      <c r="T16" s="131">
        <f t="shared" si="9"/>
        <v>8</v>
      </c>
      <c r="U16" s="132" t="str">
        <f>IF(ISBLANK(IGRF!I21),"",IGRF!I21)</f>
        <v>23</v>
      </c>
      <c r="V16" s="132" t="str">
        <f>IF(ISBLANK(IGRF!J21),"",IGRF!J21)</f>
        <v>Towanda Woman</v>
      </c>
      <c r="W16" s="133">
        <f>IF($U16="","",SUMPRODUCT(--(Lineups!$AG$4:$AG$41=$U16),--(Lineups!$AB$4:$AB$41="")))</f>
        <v>0</v>
      </c>
      <c r="X16" s="135">
        <f t="shared" si="10"/>
        <v>0</v>
      </c>
      <c r="Y16" s="142">
        <f>IF($U16="","",SUMPRODUCT(--(Lineups!$AG$4:$AG$41=$U16),--(Lineups!$AB$4:$AB$41="X")))</f>
        <v>1</v>
      </c>
      <c r="Z16" s="142">
        <f>IF($U16="","",SUMPRODUCT(--(Lineups!AK$4:AK$41=$U16),--(Lineups!AA$4:AA$41&lt;&gt;"SP")))</f>
        <v>0</v>
      </c>
      <c r="AA16" s="142">
        <f>IF($U16="","",SUMPRODUCT(--(Lineups!AO$4:AO$41=$U16),--(Lineups!AA$4:AA$41&lt;&gt;"SP")))</f>
        <v>0</v>
      </c>
      <c r="AB16" s="142">
        <f>IF($U16="","",SUMPRODUCT(--(Lineups!AS$4:AS$41=$U16),--(Lineups!AA$4:AA$41&lt;&gt;"SP")))</f>
        <v>0</v>
      </c>
      <c r="AC16" s="133">
        <f t="shared" si="11"/>
        <v>1</v>
      </c>
      <c r="AD16" s="135">
        <f t="shared" si="12"/>
        <v>0.05</v>
      </c>
      <c r="AE16" s="133">
        <f t="shared" si="13"/>
        <v>1</v>
      </c>
      <c r="AF16" s="135">
        <f t="shared" si="14"/>
        <v>0.05</v>
      </c>
      <c r="AG16" s="140">
        <f ca="1">IF(U16="","",IF(OR(SK!U193="",SK!U193=0),"",SK!X193))</f>
        <v>2</v>
      </c>
      <c r="AH16" s="133">
        <f>IF($U16="","",SUMPRODUCT(--(Lineups!AC$4:AC$41=$U16)))</f>
        <v>6</v>
      </c>
      <c r="AI16" s="135">
        <f t="shared" si="15"/>
        <v>0.3</v>
      </c>
      <c r="AJ16" s="133">
        <f t="shared" si="16"/>
        <v>7</v>
      </c>
      <c r="AK16" s="135">
        <f t="shared" si="17"/>
        <v>0.35</v>
      </c>
    </row>
    <row r="17" spans="1:37" x14ac:dyDescent="0.3">
      <c r="A17" s="16">
        <f t="shared" si="0"/>
        <v>9</v>
      </c>
      <c r="B17" s="83" t="str">
        <f>IF(ISBLANK(IGRF!B22),"",IGRF!B22)</f>
        <v>282*</v>
      </c>
      <c r="C17" s="83" t="str">
        <f>IF(ISBLANK(IGRF!C22),"",IGRF!C22)</f>
        <v>Dash Ketchum</v>
      </c>
      <c r="D17" s="3">
        <f>IF($B17="","",SUMPRODUCT(--(Lineups!$G$4:$G$41=$B17),--(Lineups!$B$4:$B$41="")))</f>
        <v>0</v>
      </c>
      <c r="E17" s="134">
        <f t="shared" si="1"/>
        <v>0</v>
      </c>
      <c r="F17" s="142">
        <f>IF($B17="","",SUMPRODUCT(--(Lineups!$G$4:$G$41=$B17),--(Lineups!$B$4:$B$41="X")))</f>
        <v>0</v>
      </c>
      <c r="G17" s="142">
        <f>IF($B17="","",SUMPRODUCT(--(Lineups!K$4:K$41=$B17),--(Lineups!A$4:A$41&lt;&gt;"SP")))</f>
        <v>0</v>
      </c>
      <c r="H17" s="142">
        <f>IF($B17="","",SUMPRODUCT(--(Lineups!O$4:O$41=$B17),--(Lineups!A$4:A$41&lt;&gt;"SP")))</f>
        <v>0</v>
      </c>
      <c r="I17" s="142">
        <f>IF($B17="","",SUMPRODUCT(--(Lineups!S$4:S$41=$B17),--(Lineups!A$4:A$41&lt;&gt;"SP")))</f>
        <v>0</v>
      </c>
      <c r="J17" s="3">
        <f t="shared" si="2"/>
        <v>0</v>
      </c>
      <c r="K17" s="134">
        <f t="shared" si="3"/>
        <v>0</v>
      </c>
      <c r="L17" s="3">
        <f t="shared" si="4"/>
        <v>0</v>
      </c>
      <c r="M17" s="134">
        <f t="shared" si="5"/>
        <v>0</v>
      </c>
      <c r="N17" s="139" t="str">
        <f ca="1">IF(B17="","",IF(OR(SK!E196="",SK!E196=0),"",SK!H196))</f>
        <v/>
      </c>
      <c r="O17" s="3">
        <f>IF($B17="","",SUMPRODUCT(--(Lineups!C$4:C$41=$B17)))</f>
        <v>0</v>
      </c>
      <c r="P17" s="134">
        <f t="shared" si="6"/>
        <v>0</v>
      </c>
      <c r="Q17" s="3">
        <f t="shared" si="7"/>
        <v>0</v>
      </c>
      <c r="R17" s="134">
        <f t="shared" si="8"/>
        <v>0</v>
      </c>
      <c r="T17" s="16">
        <f t="shared" si="9"/>
        <v>9</v>
      </c>
      <c r="U17" s="83" t="str">
        <f>IF(ISBLANK(IGRF!I22),"",IGRF!I22)</f>
        <v>25</v>
      </c>
      <c r="V17" s="83" t="str">
        <f>IF(ISBLANK(IGRF!J22),"",IGRF!J22)</f>
        <v>Ally McKill</v>
      </c>
      <c r="W17" s="3">
        <f>IF($U17="","",SUMPRODUCT(--(Lineups!$AG$4:$AG$41=$U17),--(Lineups!$AB$4:$AB$41="")))</f>
        <v>3</v>
      </c>
      <c r="X17" s="134">
        <f t="shared" si="10"/>
        <v>0.15</v>
      </c>
      <c r="Y17" s="142">
        <f>IF($U17="","",SUMPRODUCT(--(Lineups!$AG$4:$AG$41=$U17),--(Lineups!$AB$4:$AB$41="X")))</f>
        <v>0</v>
      </c>
      <c r="Z17" s="142">
        <f>IF($U17="","",SUMPRODUCT(--(Lineups!AK$4:AK$41=$U17),--(Lineups!AA$4:AA$41&lt;&gt;"SP")))</f>
        <v>2</v>
      </c>
      <c r="AA17" s="142">
        <f>IF($U17="","",SUMPRODUCT(--(Lineups!AO$4:AO$41=$U17),--(Lineups!AA$4:AA$41&lt;&gt;"SP")))</f>
        <v>3</v>
      </c>
      <c r="AB17" s="142">
        <f>IF($U17="","",SUMPRODUCT(--(Lineups!AS$4:AS$41=$U17),--(Lineups!AA$4:AA$41&lt;&gt;"SP")))</f>
        <v>3</v>
      </c>
      <c r="AC17" s="3">
        <f t="shared" si="11"/>
        <v>8</v>
      </c>
      <c r="AD17" s="134">
        <f t="shared" si="12"/>
        <v>0.4</v>
      </c>
      <c r="AE17" s="3">
        <f t="shared" si="13"/>
        <v>11</v>
      </c>
      <c r="AF17" s="134">
        <f t="shared" si="14"/>
        <v>0.55000000000000004</v>
      </c>
      <c r="AG17" s="139">
        <f ca="1">IF(U17="","",IF(OR(SK!U196="",SK!U196=0),"",SK!X196))</f>
        <v>0</v>
      </c>
      <c r="AH17" s="3">
        <f>IF($U17="","",SUMPRODUCT(--(Lineups!AC$4:AC$41=$U17)))</f>
        <v>1</v>
      </c>
      <c r="AI17" s="134">
        <f t="shared" si="15"/>
        <v>0.05</v>
      </c>
      <c r="AJ17" s="3">
        <f t="shared" si="16"/>
        <v>12</v>
      </c>
      <c r="AK17" s="134">
        <f t="shared" si="17"/>
        <v>0.6</v>
      </c>
    </row>
    <row r="18" spans="1:37" x14ac:dyDescent="0.3">
      <c r="A18" s="131">
        <f t="shared" si="0"/>
        <v>10</v>
      </c>
      <c r="B18" s="132" t="str">
        <f>IF(ISBLANK(IGRF!B23),"",IGRF!B23)</f>
        <v>337</v>
      </c>
      <c r="C18" s="132" t="str">
        <f>IF(ISBLANK(IGRF!C23),"",IGRF!C23)</f>
        <v>Susan Sure Ram Dem</v>
      </c>
      <c r="D18" s="133">
        <f>IF($B18="","",SUMPRODUCT(--(Lineups!$G$4:$G$41=$B18),--(Lineups!$B$4:$B$41="")))</f>
        <v>0</v>
      </c>
      <c r="E18" s="135">
        <f t="shared" si="1"/>
        <v>0</v>
      </c>
      <c r="F18" s="142">
        <f>IF($B18="","",SUMPRODUCT(--(Lineups!$G$4:$G$41=$B18),--(Lineups!$B$4:$B$41="X")))</f>
        <v>0</v>
      </c>
      <c r="G18" s="142">
        <f>IF($B18="","",SUMPRODUCT(--(Lineups!K$4:K$41=$B18),--(Lineups!A$4:A$41&lt;&gt;"SP")))</f>
        <v>2</v>
      </c>
      <c r="H18" s="142">
        <f>IF($B18="","",SUMPRODUCT(--(Lineups!O$4:O$41=$B18),--(Lineups!A$4:A$41&lt;&gt;"SP")))</f>
        <v>3</v>
      </c>
      <c r="I18" s="142">
        <f>IF($B18="","",SUMPRODUCT(--(Lineups!S$4:S$41=$B18),--(Lineups!A$4:A$41&lt;&gt;"SP")))</f>
        <v>2</v>
      </c>
      <c r="J18" s="133">
        <f t="shared" si="2"/>
        <v>7</v>
      </c>
      <c r="K18" s="135">
        <f t="shared" si="3"/>
        <v>0.35</v>
      </c>
      <c r="L18" s="133">
        <f t="shared" si="4"/>
        <v>7</v>
      </c>
      <c r="M18" s="135">
        <f t="shared" si="5"/>
        <v>0.35</v>
      </c>
      <c r="N18" s="140" t="str">
        <f ca="1">IF(B18="","",IF(OR(SK!E199="",SK!E199=0),"",SK!H199))</f>
        <v/>
      </c>
      <c r="O18" s="133">
        <f>IF($B18="","",SUMPRODUCT(--(Lineups!C$4:C$41=$B18)))</f>
        <v>0</v>
      </c>
      <c r="P18" s="135">
        <f t="shared" si="6"/>
        <v>0</v>
      </c>
      <c r="Q18" s="133">
        <f t="shared" si="7"/>
        <v>7</v>
      </c>
      <c r="R18" s="135">
        <f t="shared" si="8"/>
        <v>0.35</v>
      </c>
      <c r="T18" s="131">
        <f t="shared" si="9"/>
        <v>10</v>
      </c>
      <c r="U18" s="132" t="str">
        <f>IF(ISBLANK(IGRF!I23),"",IGRF!I23)</f>
        <v>26</v>
      </c>
      <c r="V18" s="132" t="str">
        <f>IF(ISBLANK(IGRF!J23),"",IGRF!J23)</f>
        <v>Strange</v>
      </c>
      <c r="W18" s="133">
        <f>IF($U18="","",SUMPRODUCT(--(Lineups!$AG$4:$AG$41=$U18),--(Lineups!$AB$4:$AB$41="")))</f>
        <v>0</v>
      </c>
      <c r="X18" s="135">
        <f t="shared" si="10"/>
        <v>0</v>
      </c>
      <c r="Y18" s="142">
        <f>IF($U18="","",SUMPRODUCT(--(Lineups!$AG$4:$AG$41=$U18),--(Lineups!$AB$4:$AB$41="X")))</f>
        <v>0</v>
      </c>
      <c r="Z18" s="142">
        <f>IF($U18="","",SUMPRODUCT(--(Lineups!AK$4:AK$41=$U18),--(Lineups!AA$4:AA$41&lt;&gt;"SP")))</f>
        <v>2</v>
      </c>
      <c r="AA18" s="142">
        <f>IF($U18="","",SUMPRODUCT(--(Lineups!AO$4:AO$41=$U18),--(Lineups!AA$4:AA$41&lt;&gt;"SP")))</f>
        <v>4</v>
      </c>
      <c r="AB18" s="142">
        <f>IF($U18="","",SUMPRODUCT(--(Lineups!AS$4:AS$41=$U18),--(Lineups!AA$4:AA$41&lt;&gt;"SP")))</f>
        <v>4</v>
      </c>
      <c r="AC18" s="133">
        <f t="shared" si="11"/>
        <v>10</v>
      </c>
      <c r="AD18" s="135">
        <f t="shared" si="12"/>
        <v>0.5</v>
      </c>
      <c r="AE18" s="133">
        <f t="shared" si="13"/>
        <v>10</v>
      </c>
      <c r="AF18" s="135">
        <f t="shared" si="14"/>
        <v>0.5</v>
      </c>
      <c r="AG18" s="140" t="str">
        <f ca="1">IF(U18="","",IF(OR(SK!U199="",SK!U199=0),"",SK!X199))</f>
        <v/>
      </c>
      <c r="AH18" s="133">
        <f>IF($U18="","",SUMPRODUCT(--(Lineups!AC$4:AC$41=$U18)))</f>
        <v>0</v>
      </c>
      <c r="AI18" s="135">
        <f t="shared" si="15"/>
        <v>0</v>
      </c>
      <c r="AJ18" s="133">
        <f t="shared" si="16"/>
        <v>10</v>
      </c>
      <c r="AK18" s="135">
        <f t="shared" si="17"/>
        <v>0.5</v>
      </c>
    </row>
    <row r="19" spans="1:37" x14ac:dyDescent="0.3">
      <c r="A19" s="16">
        <f t="shared" si="0"/>
        <v>11</v>
      </c>
      <c r="B19" s="83" t="str">
        <f>IF(ISBLANK(IGRF!B24),"",IGRF!B24)</f>
        <v>352</v>
      </c>
      <c r="C19" s="83" t="str">
        <f>IF(ISBLANK(IGRF!C24),"",IGRF!C24)</f>
        <v>Olive Havoc</v>
      </c>
      <c r="D19" s="3">
        <f>IF($B19="","",SUMPRODUCT(--(Lineups!$G$4:$G$41=$B19),--(Lineups!$B$4:$B$41="")))</f>
        <v>0</v>
      </c>
      <c r="E19" s="134">
        <f t="shared" si="1"/>
        <v>0</v>
      </c>
      <c r="F19" s="142">
        <f>IF($B19="","",SUMPRODUCT(--(Lineups!$G$4:$G$41=$B19),--(Lineups!$B$4:$B$41="X")))</f>
        <v>2</v>
      </c>
      <c r="G19" s="142">
        <f>IF($B19="","",SUMPRODUCT(--(Lineups!K$4:K$41=$B19),--(Lineups!A$4:A$41&lt;&gt;"SP")))</f>
        <v>0</v>
      </c>
      <c r="H19" s="142">
        <f>IF($B19="","",SUMPRODUCT(--(Lineups!O$4:O$41=$B19),--(Lineups!A$4:A$41&lt;&gt;"SP")))</f>
        <v>0</v>
      </c>
      <c r="I19" s="142">
        <f>IF($B19="","",SUMPRODUCT(--(Lineups!S$4:S$41=$B19),--(Lineups!A$4:A$41&lt;&gt;"SP")))</f>
        <v>0</v>
      </c>
      <c r="J19" s="3">
        <f t="shared" si="2"/>
        <v>2</v>
      </c>
      <c r="K19" s="134">
        <f t="shared" si="3"/>
        <v>0.1</v>
      </c>
      <c r="L19" s="3">
        <f t="shared" si="4"/>
        <v>2</v>
      </c>
      <c r="M19" s="134">
        <f t="shared" si="5"/>
        <v>0.1</v>
      </c>
      <c r="N19" s="139">
        <f ca="1">IF(B19="","",IF(OR(SK!E202="",SK!E202=0),"",SK!H202))</f>
        <v>3</v>
      </c>
      <c r="O19" s="3">
        <f>IF($B19="","",SUMPRODUCT(--(Lineups!C$4:C$41=$B19)))</f>
        <v>8</v>
      </c>
      <c r="P19" s="134">
        <f t="shared" si="6"/>
        <v>0.4</v>
      </c>
      <c r="Q19" s="3">
        <f t="shared" si="7"/>
        <v>10</v>
      </c>
      <c r="R19" s="134">
        <f t="shared" si="8"/>
        <v>0.5</v>
      </c>
      <c r="T19" s="16">
        <f t="shared" si="9"/>
        <v>11</v>
      </c>
      <c r="U19" s="83" t="str">
        <f>IF(ISBLANK(IGRF!I24),"",IGRF!I24)</f>
        <v>49</v>
      </c>
      <c r="V19" s="83" t="str">
        <f>IF(ISBLANK(IGRF!J24),"",IGRF!J24)</f>
        <v>Gnarly Manson</v>
      </c>
      <c r="W19" s="3">
        <f>IF($U19="","",SUMPRODUCT(--(Lineups!$AG$4:$AG$41=$U19),--(Lineups!$AB$4:$AB$41="")))</f>
        <v>0</v>
      </c>
      <c r="X19" s="134">
        <f t="shared" si="10"/>
        <v>0</v>
      </c>
      <c r="Y19" s="142">
        <f>IF($U19="","",SUMPRODUCT(--(Lineups!$AG$4:$AG$41=$U19),--(Lineups!$AB$4:$AB$41="X")))</f>
        <v>3</v>
      </c>
      <c r="Z19" s="142">
        <f>IF($U19="","",SUMPRODUCT(--(Lineups!AK$4:AK$41=$U19),--(Lineups!AA$4:AA$41&lt;&gt;"SP")))</f>
        <v>1</v>
      </c>
      <c r="AA19" s="142">
        <f>IF($U19="","",SUMPRODUCT(--(Lineups!AO$4:AO$41=$U19),--(Lineups!AA$4:AA$41&lt;&gt;"SP")))</f>
        <v>0</v>
      </c>
      <c r="AB19" s="142">
        <f>IF($U19="","",SUMPRODUCT(--(Lineups!AS$4:AS$41=$U19),--(Lineups!AA$4:AA$41&lt;&gt;"SP")))</f>
        <v>0</v>
      </c>
      <c r="AC19" s="3">
        <f t="shared" si="11"/>
        <v>4</v>
      </c>
      <c r="AD19" s="134">
        <f t="shared" si="12"/>
        <v>0.2</v>
      </c>
      <c r="AE19" s="3">
        <f t="shared" si="13"/>
        <v>4</v>
      </c>
      <c r="AF19" s="134">
        <f t="shared" si="14"/>
        <v>0.2</v>
      </c>
      <c r="AG19" s="139">
        <f ca="1">IF(U19="","",IF(OR(SK!U202="",SK!U202=0),"",SK!X202))</f>
        <v>0</v>
      </c>
      <c r="AH19" s="3">
        <f>IF($U19="","",SUMPRODUCT(--(Lineups!AC$4:AC$41=$U19)))</f>
        <v>5</v>
      </c>
      <c r="AI19" s="134">
        <f t="shared" si="15"/>
        <v>0.25</v>
      </c>
      <c r="AJ19" s="3">
        <f t="shared" si="16"/>
        <v>9</v>
      </c>
      <c r="AK19" s="134">
        <f t="shared" si="17"/>
        <v>0.45</v>
      </c>
    </row>
    <row r="20" spans="1:37" x14ac:dyDescent="0.3">
      <c r="A20" s="131">
        <f t="shared" si="0"/>
        <v>12</v>
      </c>
      <c r="B20" s="132" t="str">
        <f>IF(ISBLANK(IGRF!B25),"",IGRF!B25)</f>
        <v>36</v>
      </c>
      <c r="C20" s="132" t="str">
        <f>IF(ISBLANK(IGRF!C25),"",IGRF!C25)</f>
        <v>Meanie</v>
      </c>
      <c r="D20" s="133">
        <f>IF($B20="","",SUMPRODUCT(--(Lineups!$G$4:$G$41=$B20),--(Lineups!$B$4:$B$41="")))</f>
        <v>0</v>
      </c>
      <c r="E20" s="135">
        <f t="shared" si="1"/>
        <v>0</v>
      </c>
      <c r="F20" s="142">
        <f>IF($B20="","",SUMPRODUCT(--(Lineups!$G$4:$G$41=$B20),--(Lineups!$B$4:$B$41="X")))</f>
        <v>0</v>
      </c>
      <c r="G20" s="142">
        <f>IF($B20="","",SUMPRODUCT(--(Lineups!K$4:K$41=$B20),--(Lineups!A$4:A$41&lt;&gt;"SP")))</f>
        <v>1</v>
      </c>
      <c r="H20" s="142">
        <f>IF($B20="","",SUMPRODUCT(--(Lineups!O$4:O$41=$B20),--(Lineups!A$4:A$41&lt;&gt;"SP")))</f>
        <v>1</v>
      </c>
      <c r="I20" s="142">
        <f>IF($B20="","",SUMPRODUCT(--(Lineups!S$4:S$41=$B20),--(Lineups!A$4:A$41&lt;&gt;"SP")))</f>
        <v>1</v>
      </c>
      <c r="J20" s="133">
        <f t="shared" si="2"/>
        <v>3</v>
      </c>
      <c r="K20" s="135">
        <f t="shared" si="3"/>
        <v>0.15</v>
      </c>
      <c r="L20" s="133">
        <f t="shared" si="4"/>
        <v>3</v>
      </c>
      <c r="M20" s="135">
        <f t="shared" si="5"/>
        <v>0.15</v>
      </c>
      <c r="N20" s="140" t="str">
        <f ca="1">IF(B20="","",IF(OR(SK!E205="",SK!E205=0),"",SK!H205))</f>
        <v/>
      </c>
      <c r="O20" s="133">
        <f>IF($B20="","",SUMPRODUCT(--(Lineups!C$4:C$41=$B20)))</f>
        <v>0</v>
      </c>
      <c r="P20" s="135">
        <f t="shared" si="6"/>
        <v>0</v>
      </c>
      <c r="Q20" s="133">
        <f t="shared" si="7"/>
        <v>3</v>
      </c>
      <c r="R20" s="135">
        <f t="shared" si="8"/>
        <v>0.15</v>
      </c>
      <c r="T20" s="131">
        <f t="shared" si="9"/>
        <v>12</v>
      </c>
      <c r="U20" s="132" t="str">
        <f>IF(ISBLANK(IGRF!I25),"",IGRF!I25)</f>
        <v>78</v>
      </c>
      <c r="V20" s="132" t="str">
        <f>IF(ISBLANK(IGRF!J25),"",IGRF!J25)</f>
        <v>Debbie Scary</v>
      </c>
      <c r="W20" s="133">
        <f>IF($U20="","",SUMPRODUCT(--(Lineups!$AG$4:$AG$41=$U20),--(Lineups!$AB$4:$AB$41="")))</f>
        <v>0</v>
      </c>
      <c r="X20" s="135">
        <f t="shared" si="10"/>
        <v>0</v>
      </c>
      <c r="Y20" s="142">
        <f>IF($U20="","",SUMPRODUCT(--(Lineups!$AG$4:$AG$41=$U20),--(Lineups!$AB$4:$AB$41="X")))</f>
        <v>0</v>
      </c>
      <c r="Z20" s="142">
        <f>IF($U20="","",SUMPRODUCT(--(Lineups!AK$4:AK$41=$U20),--(Lineups!AA$4:AA$41&lt;&gt;"SP")))</f>
        <v>0</v>
      </c>
      <c r="AA20" s="142">
        <f>IF($U20="","",SUMPRODUCT(--(Lineups!AO$4:AO$41=$U20),--(Lineups!AA$4:AA$41&lt;&gt;"SP")))</f>
        <v>0</v>
      </c>
      <c r="AB20" s="142">
        <f>IF($U20="","",SUMPRODUCT(--(Lineups!AS$4:AS$41=$U20),--(Lineups!AA$4:AA$41&lt;&gt;"SP")))</f>
        <v>0</v>
      </c>
      <c r="AC20" s="133">
        <f t="shared" si="11"/>
        <v>0</v>
      </c>
      <c r="AD20" s="135">
        <f t="shared" si="12"/>
        <v>0</v>
      </c>
      <c r="AE20" s="133">
        <f t="shared" si="13"/>
        <v>0</v>
      </c>
      <c r="AF20" s="135">
        <f t="shared" si="14"/>
        <v>0</v>
      </c>
      <c r="AG20" s="140" t="str">
        <f ca="1">IF(U20="","",IF(OR(SK!U205="",SK!U205=0),"",SK!X205))</f>
        <v/>
      </c>
      <c r="AH20" s="133">
        <f>IF($U20="","",SUMPRODUCT(--(Lineups!AC$4:AC$41=$U20)))</f>
        <v>0</v>
      </c>
      <c r="AI20" s="135">
        <f t="shared" si="15"/>
        <v>0</v>
      </c>
      <c r="AJ20" s="133">
        <f t="shared" si="16"/>
        <v>0</v>
      </c>
      <c r="AK20" s="135">
        <f t="shared" si="17"/>
        <v>0</v>
      </c>
    </row>
    <row r="21" spans="1:37" x14ac:dyDescent="0.3">
      <c r="A21" s="16">
        <f t="shared" si="0"/>
        <v>13</v>
      </c>
      <c r="B21" s="83" t="str">
        <f>IF(ISBLANK(IGRF!B26),"",IGRF!B26)</f>
        <v>64</v>
      </c>
      <c r="C21" s="83" t="str">
        <f>IF(ISBLANK(IGRF!C26),"",IGRF!C26)</f>
        <v>Cruzella</v>
      </c>
      <c r="D21" s="3">
        <f>IF($B21="","",SUMPRODUCT(--(Lineups!$G$4:$G$41=$B21),--(Lineups!$B$4:$B$41="")))</f>
        <v>0</v>
      </c>
      <c r="E21" s="134">
        <f t="shared" si="1"/>
        <v>0</v>
      </c>
      <c r="F21" s="142">
        <f>IF($B21="","",SUMPRODUCT(--(Lineups!$G$4:$G$41=$B21),--(Lineups!$B$4:$B$41="X")))</f>
        <v>0</v>
      </c>
      <c r="G21" s="142">
        <f>IF($B21="","",SUMPRODUCT(--(Lineups!K$4:K$41=$B21),--(Lineups!A$4:A$41&lt;&gt;"SP")))</f>
        <v>0</v>
      </c>
      <c r="H21" s="142">
        <f>IF($B21="","",SUMPRODUCT(--(Lineups!O$4:O$41=$B21),--(Lineups!A$4:A$41&lt;&gt;"SP")))</f>
        <v>0</v>
      </c>
      <c r="I21" s="142">
        <f>IF($B21="","",SUMPRODUCT(--(Lineups!S$4:S$41=$B21),--(Lineups!A$4:A$41&lt;&gt;"SP")))</f>
        <v>0</v>
      </c>
      <c r="J21" s="3">
        <f t="shared" si="2"/>
        <v>0</v>
      </c>
      <c r="K21" s="134">
        <f t="shared" si="3"/>
        <v>0</v>
      </c>
      <c r="L21" s="3">
        <f t="shared" si="4"/>
        <v>0</v>
      </c>
      <c r="M21" s="134">
        <f t="shared" si="5"/>
        <v>0</v>
      </c>
      <c r="N21" s="139">
        <f ca="1">IF(B21="","",IF(OR(SK!E208="",SK!E208=0),"",SK!H208))</f>
        <v>1</v>
      </c>
      <c r="O21" s="3">
        <f>IF($B21="","",SUMPRODUCT(--(Lineups!C$4:C$41=$B21)))</f>
        <v>1</v>
      </c>
      <c r="P21" s="134">
        <f t="shared" si="6"/>
        <v>0.05</v>
      </c>
      <c r="Q21" s="3">
        <f t="shared" si="7"/>
        <v>1</v>
      </c>
      <c r="R21" s="134">
        <f t="shared" si="8"/>
        <v>0.05</v>
      </c>
      <c r="T21" s="16">
        <f t="shared" si="9"/>
        <v>13</v>
      </c>
      <c r="U21" s="83" t="str">
        <f>IF(ISBLANK(IGRF!I26),"",IGRF!I26)</f>
        <v>8*</v>
      </c>
      <c r="V21" s="83" t="str">
        <f>IF(ISBLANK(IGRF!J26),"",IGRF!J26)</f>
        <v>Venus Thigh Trap</v>
      </c>
      <c r="W21" s="3">
        <f>IF($U21="","",SUMPRODUCT(--(Lineups!$AG$4:$AG$41=$U21),--(Lineups!$AB$4:$AB$41="")))</f>
        <v>0</v>
      </c>
      <c r="X21" s="134">
        <f t="shared" si="10"/>
        <v>0</v>
      </c>
      <c r="Y21" s="142">
        <f>IF($U21="","",SUMPRODUCT(--(Lineups!$AG$4:$AG$41=$U21),--(Lineups!$AB$4:$AB$41="X")))</f>
        <v>0</v>
      </c>
      <c r="Z21" s="142">
        <f>IF($U21="","",SUMPRODUCT(--(Lineups!AK$4:AK$41=$U21),--(Lineups!AA$4:AA$41&lt;&gt;"SP")))</f>
        <v>0</v>
      </c>
      <c r="AA21" s="142">
        <f>IF($U21="","",SUMPRODUCT(--(Lineups!AO$4:AO$41=$U21),--(Lineups!AA$4:AA$41&lt;&gt;"SP")))</f>
        <v>0</v>
      </c>
      <c r="AB21" s="142">
        <f>IF($U21="","",SUMPRODUCT(--(Lineups!AS$4:AS$41=$U21),--(Lineups!AA$4:AA$41&lt;&gt;"SP")))</f>
        <v>0</v>
      </c>
      <c r="AC21" s="3">
        <f t="shared" si="11"/>
        <v>0</v>
      </c>
      <c r="AD21" s="134">
        <f t="shared" si="12"/>
        <v>0</v>
      </c>
      <c r="AE21" s="3">
        <f t="shared" si="13"/>
        <v>0</v>
      </c>
      <c r="AF21" s="134">
        <f t="shared" si="14"/>
        <v>0</v>
      </c>
      <c r="AG21" s="139" t="str">
        <f ca="1">IF(U21="","",IF(OR(SK!U208="",SK!U208=0),"",SK!X208))</f>
        <v/>
      </c>
      <c r="AH21" s="3">
        <f>IF($U21="","",SUMPRODUCT(--(Lineups!AC$4:AC$41=$U21)))</f>
        <v>0</v>
      </c>
      <c r="AI21" s="134">
        <f t="shared" si="15"/>
        <v>0</v>
      </c>
      <c r="AJ21" s="3">
        <f t="shared" si="16"/>
        <v>0</v>
      </c>
      <c r="AK21" s="134">
        <f t="shared" si="17"/>
        <v>0</v>
      </c>
    </row>
    <row r="22" spans="1:37" x14ac:dyDescent="0.3">
      <c r="A22" s="131">
        <f t="shared" si="0"/>
        <v>14</v>
      </c>
      <c r="B22" s="132" t="str">
        <f>IF(ISBLANK(IGRF!B27),"",IGRF!B27)</f>
        <v>825</v>
      </c>
      <c r="C22" s="132" t="str">
        <f>IF(ISBLANK(IGRF!C27),"",IGRF!C27)</f>
        <v>Rot-N 2 the Cor-E</v>
      </c>
      <c r="D22" s="133">
        <f>IF($B22="","",SUMPRODUCT(--(Lineups!$G$4:$G$41=$B22),--(Lineups!$B$4:$B$41="")))</f>
        <v>3</v>
      </c>
      <c r="E22" s="135">
        <f t="shared" si="1"/>
        <v>0.15</v>
      </c>
      <c r="F22" s="142">
        <f>IF($B22="","",SUMPRODUCT(--(Lineups!$G$4:$G$41=$B22),--(Lineups!$B$4:$B$41="X")))</f>
        <v>0</v>
      </c>
      <c r="G22" s="142">
        <f>IF($B22="","",SUMPRODUCT(--(Lineups!K$4:K$41=$B22),--(Lineups!A$4:A$41&lt;&gt;"SP")))</f>
        <v>0</v>
      </c>
      <c r="H22" s="142">
        <f>IF($B22="","",SUMPRODUCT(--(Lineups!O$4:O$41=$B22),--(Lineups!A$4:A$41&lt;&gt;"SP")))</f>
        <v>0</v>
      </c>
      <c r="I22" s="142">
        <f>IF($B22="","",SUMPRODUCT(--(Lineups!S$4:S$41=$B22),--(Lineups!A$4:A$41&lt;&gt;"SP")))</f>
        <v>0</v>
      </c>
      <c r="J22" s="133">
        <f t="shared" si="2"/>
        <v>0</v>
      </c>
      <c r="K22" s="135">
        <f t="shared" si="3"/>
        <v>0</v>
      </c>
      <c r="L22" s="133">
        <f t="shared" si="4"/>
        <v>3</v>
      </c>
      <c r="M22" s="135">
        <f t="shared" si="5"/>
        <v>0.15</v>
      </c>
      <c r="N22" s="140" t="str">
        <f ca="1">IF(B22="","",IF(OR(SK!E211="",SK!E211=0),"",SK!H211))</f>
        <v/>
      </c>
      <c r="O22" s="133">
        <f>IF($B22="","",SUMPRODUCT(--(Lineups!C$4:C$41=$B22)))</f>
        <v>0</v>
      </c>
      <c r="P22" s="135">
        <f t="shared" si="6"/>
        <v>0</v>
      </c>
      <c r="Q22" s="133">
        <f t="shared" si="7"/>
        <v>3</v>
      </c>
      <c r="R22" s="135">
        <f t="shared" si="8"/>
        <v>0.15</v>
      </c>
      <c r="T22" s="131">
        <f t="shared" si="9"/>
        <v>14</v>
      </c>
      <c r="U22" s="132" t="str">
        <f>IF(ISBLANK(IGRF!I27),"",IGRF!I27)</f>
        <v>800</v>
      </c>
      <c r="V22" s="132" t="str">
        <f>IF(ISBLANK(IGRF!J27),"",IGRF!J27)</f>
        <v>Terminate Her</v>
      </c>
      <c r="W22" s="133">
        <f>IF($U22="","",SUMPRODUCT(--(Lineups!$AG$4:$AG$41=$U22),--(Lineups!$AB$4:$AB$41="")))</f>
        <v>8</v>
      </c>
      <c r="X22" s="135">
        <f t="shared" si="10"/>
        <v>0.4</v>
      </c>
      <c r="Y22" s="142">
        <f>IF($U22="","",SUMPRODUCT(--(Lineups!$AG$4:$AG$41=$U22),--(Lineups!$AB$4:$AB$41="X")))</f>
        <v>0</v>
      </c>
      <c r="Z22" s="142">
        <f>IF($U22="","",SUMPRODUCT(--(Lineups!AK$4:AK$41=$U22),--(Lineups!AA$4:AA$41&lt;&gt;"SP")))</f>
        <v>0</v>
      </c>
      <c r="AA22" s="142">
        <f>IF($U22="","",SUMPRODUCT(--(Lineups!AO$4:AO$41=$U22),--(Lineups!AA$4:AA$41&lt;&gt;"SP")))</f>
        <v>2</v>
      </c>
      <c r="AB22" s="142">
        <f>IF($U22="","",SUMPRODUCT(--(Lineups!AS$4:AS$41=$U22),--(Lineups!AA$4:AA$41&lt;&gt;"SP")))</f>
        <v>0</v>
      </c>
      <c r="AC22" s="133">
        <f t="shared" si="11"/>
        <v>2</v>
      </c>
      <c r="AD22" s="135">
        <f t="shared" si="12"/>
        <v>0.1</v>
      </c>
      <c r="AE22" s="133">
        <f t="shared" si="13"/>
        <v>10</v>
      </c>
      <c r="AF22" s="135">
        <f t="shared" si="14"/>
        <v>0.5</v>
      </c>
      <c r="AG22" s="140">
        <f ca="1">IF(U22="","",IF(OR(SK!U211="",SK!U211=0),"",SK!X211))</f>
        <v>0</v>
      </c>
      <c r="AH22" s="133">
        <f>IF($U22="","",SUMPRODUCT(--(Lineups!AC$4:AC$41=$U22)))</f>
        <v>1</v>
      </c>
      <c r="AI22" s="135">
        <f t="shared" si="15"/>
        <v>0.05</v>
      </c>
      <c r="AJ22" s="133">
        <f t="shared" si="16"/>
        <v>11</v>
      </c>
      <c r="AK22" s="135">
        <f t="shared" si="17"/>
        <v>0.55000000000000004</v>
      </c>
    </row>
    <row r="23" spans="1:37" x14ac:dyDescent="0.3">
      <c r="A23" s="16">
        <f t="shared" si="0"/>
        <v>15</v>
      </c>
      <c r="B23" s="83" t="str">
        <f>IF(ISBLANK(IGRF!B28),"",IGRF!B28)</f>
        <v>83</v>
      </c>
      <c r="C23" s="83" t="str">
        <f>IF(ISBLANK(IGRF!C28),"",IGRF!C28)</f>
        <v>Grit n Barite</v>
      </c>
      <c r="D23" s="3">
        <f>IF($B23="","",SUMPRODUCT(--(Lineups!$G$4:$G$41=$B23),--(Lineups!$B$4:$B$41="")))</f>
        <v>0</v>
      </c>
      <c r="E23" s="134">
        <f t="shared" si="1"/>
        <v>0</v>
      </c>
      <c r="F23" s="142">
        <f>IF($B23="","",SUMPRODUCT(--(Lineups!$G$4:$G$41=$B23),--(Lineups!$B$4:$B$41="X")))</f>
        <v>0</v>
      </c>
      <c r="G23" s="142">
        <f>IF($B23="","",SUMPRODUCT(--(Lineups!K$4:K$41=$B23),--(Lineups!A$4:A$41&lt;&gt;"SP")))</f>
        <v>3</v>
      </c>
      <c r="H23" s="142">
        <f>IF($B23="","",SUMPRODUCT(--(Lineups!O$4:O$41=$B23),--(Lineups!A$4:A$41&lt;&gt;"SP")))</f>
        <v>4</v>
      </c>
      <c r="I23" s="142">
        <f>IF($B23="","",SUMPRODUCT(--(Lineups!S$4:S$41=$B23),--(Lineups!A$4:A$41&lt;&gt;"SP")))</f>
        <v>0</v>
      </c>
      <c r="J23" s="3">
        <f t="shared" si="2"/>
        <v>7</v>
      </c>
      <c r="K23" s="134">
        <f t="shared" si="3"/>
        <v>0.35</v>
      </c>
      <c r="L23" s="3">
        <f t="shared" si="4"/>
        <v>7</v>
      </c>
      <c r="M23" s="134">
        <f t="shared" si="5"/>
        <v>0.35</v>
      </c>
      <c r="N23" s="139" t="str">
        <f ca="1">IF(B23="","",IF(OR(SK!E214="",SK!E214=0),"",SK!H214))</f>
        <v/>
      </c>
      <c r="O23" s="3">
        <f>IF($B23="","",SUMPRODUCT(--(Lineups!C$4:C$41=$B23)))</f>
        <v>0</v>
      </c>
      <c r="P23" s="134">
        <f t="shared" si="6"/>
        <v>0</v>
      </c>
      <c r="Q23" s="3">
        <f t="shared" si="7"/>
        <v>7</v>
      </c>
      <c r="R23" s="134">
        <f t="shared" si="8"/>
        <v>0.35</v>
      </c>
      <c r="T23" s="16">
        <f t="shared" si="9"/>
        <v>15</v>
      </c>
      <c r="U23" s="83" t="str">
        <f>IF(ISBLANK(IGRF!I28),"",IGRF!I28)</f>
        <v>88*</v>
      </c>
      <c r="V23" s="83" t="str">
        <f>IF(ISBLANK(IGRF!J28),"",IGRF!J28)</f>
        <v>Flux</v>
      </c>
      <c r="W23" s="3">
        <f>IF($U23="","",SUMPRODUCT(--(Lineups!$AG$4:$AG$41=$U23),--(Lineups!$AB$4:$AB$41="")))</f>
        <v>0</v>
      </c>
      <c r="X23" s="134">
        <f t="shared" si="10"/>
        <v>0</v>
      </c>
      <c r="Y23" s="142">
        <f>IF($U23="","",SUMPRODUCT(--(Lineups!$AG$4:$AG$41=$U23),--(Lineups!$AB$4:$AB$41="X")))</f>
        <v>0</v>
      </c>
      <c r="Z23" s="142">
        <f>IF($U23="","",SUMPRODUCT(--(Lineups!AK$4:AK$41=$U23),--(Lineups!AA$4:AA$41&lt;&gt;"SP")))</f>
        <v>0</v>
      </c>
      <c r="AA23" s="142">
        <f>IF($U23="","",SUMPRODUCT(--(Lineups!AO$4:AO$41=$U23),--(Lineups!AA$4:AA$41&lt;&gt;"SP")))</f>
        <v>0</v>
      </c>
      <c r="AB23" s="142">
        <f>IF($U23="","",SUMPRODUCT(--(Lineups!AS$4:AS$41=$U23),--(Lineups!AA$4:AA$41&lt;&gt;"SP")))</f>
        <v>0</v>
      </c>
      <c r="AC23" s="3">
        <f t="shared" si="11"/>
        <v>0</v>
      </c>
      <c r="AD23" s="134">
        <f t="shared" si="12"/>
        <v>0</v>
      </c>
      <c r="AE23" s="3">
        <f t="shared" si="13"/>
        <v>0</v>
      </c>
      <c r="AF23" s="134">
        <f t="shared" si="14"/>
        <v>0</v>
      </c>
      <c r="AG23" s="139" t="str">
        <f ca="1">IF(U23="","",IF(OR(SK!U214="",SK!U214=0),"",SK!X214))</f>
        <v/>
      </c>
      <c r="AH23" s="3">
        <f>IF($U23="","",SUMPRODUCT(--(Lineups!AC$4:AC$41=$U23)))</f>
        <v>0</v>
      </c>
      <c r="AI23" s="134">
        <f t="shared" si="15"/>
        <v>0</v>
      </c>
      <c r="AJ23" s="3">
        <f t="shared" si="16"/>
        <v>0</v>
      </c>
      <c r="AK23" s="134">
        <f t="shared" si="17"/>
        <v>0</v>
      </c>
    </row>
    <row r="24" spans="1:37" x14ac:dyDescent="0.3">
      <c r="A24" s="131">
        <f t="shared" si="0"/>
        <v>16</v>
      </c>
      <c r="B24" s="132" t="str">
        <f>IF(ISBLANK(IGRF!B29),"",IGRF!B29)</f>
        <v>84</v>
      </c>
      <c r="C24" s="132" t="str">
        <f>IF(ISBLANK(IGRF!C29),"",IGRF!C29)</f>
        <v>Phoenix</v>
      </c>
      <c r="D24" s="133">
        <f>IF($B24="","",SUMPRODUCT(--(Lineups!$G$4:$G$41=$B24),--(Lineups!$B$4:$B$41="")))</f>
        <v>9</v>
      </c>
      <c r="E24" s="135">
        <f t="shared" si="1"/>
        <v>0.45</v>
      </c>
      <c r="F24" s="142">
        <f>IF($B24="","",SUMPRODUCT(--(Lineups!$G$4:$G$41=$B24),--(Lineups!$B$4:$B$41="X")))</f>
        <v>0</v>
      </c>
      <c r="G24" s="142">
        <f>IF($B24="","",SUMPRODUCT(--(Lineups!K$4:K$41=$B24),--(Lineups!A$4:A$41&lt;&gt;"SP")))</f>
        <v>1</v>
      </c>
      <c r="H24" s="142">
        <f>IF($B24="","",SUMPRODUCT(--(Lineups!O$4:O$41=$B24),--(Lineups!A$4:A$41&lt;&gt;"SP")))</f>
        <v>0</v>
      </c>
      <c r="I24" s="142">
        <f>IF($B24="","",SUMPRODUCT(--(Lineups!S$4:S$41=$B24),--(Lineups!A$4:A$41&lt;&gt;"SP")))</f>
        <v>0</v>
      </c>
      <c r="J24" s="133">
        <f t="shared" si="2"/>
        <v>1</v>
      </c>
      <c r="K24" s="135">
        <f t="shared" si="3"/>
        <v>0.05</v>
      </c>
      <c r="L24" s="133">
        <f t="shared" si="4"/>
        <v>10</v>
      </c>
      <c r="M24" s="135">
        <f t="shared" si="5"/>
        <v>0.5</v>
      </c>
      <c r="N24" s="140">
        <f ca="1">IF(B24="","",IF(OR(SK!E217="",SK!E217=0),"",SK!H217))</f>
        <v>0</v>
      </c>
      <c r="O24" s="133">
        <f>IF($B24="","",SUMPRODUCT(--(Lineups!C$4:C$41=$B24)))</f>
        <v>2</v>
      </c>
      <c r="P24" s="135">
        <f t="shared" si="6"/>
        <v>0.1</v>
      </c>
      <c r="Q24" s="133">
        <f t="shared" si="7"/>
        <v>12</v>
      </c>
      <c r="R24" s="135">
        <f t="shared" si="8"/>
        <v>0.6</v>
      </c>
      <c r="T24" s="131">
        <f t="shared" si="9"/>
        <v>16</v>
      </c>
      <c r="U24" s="132" t="str">
        <f>IF(ISBLANK(IGRF!I29),"",IGRF!I29)</f>
        <v>911</v>
      </c>
      <c r="V24" s="132" t="str">
        <f>IF(ISBLANK(IGRF!J29),"",IGRF!J29)</f>
        <v>Annie Mergency</v>
      </c>
      <c r="W24" s="133">
        <f>IF($U24="","",SUMPRODUCT(--(Lineups!$AG$4:$AG$41=$U24),--(Lineups!$AB$4:$AB$41="")))</f>
        <v>1</v>
      </c>
      <c r="X24" s="135">
        <f t="shared" si="10"/>
        <v>0.05</v>
      </c>
      <c r="Y24" s="142">
        <f>IF($U24="","",SUMPRODUCT(--(Lineups!$AG$4:$AG$41=$U24),--(Lineups!$AB$4:$AB$41="X")))</f>
        <v>0</v>
      </c>
      <c r="Z24" s="142">
        <f>IF($U24="","",SUMPRODUCT(--(Lineups!AK$4:AK$41=$U24),--(Lineups!AA$4:AA$41&lt;&gt;"SP")))</f>
        <v>0</v>
      </c>
      <c r="AA24" s="142">
        <f>IF($U24="","",SUMPRODUCT(--(Lineups!AO$4:AO$41=$U24),--(Lineups!AA$4:AA$41&lt;&gt;"SP")))</f>
        <v>0</v>
      </c>
      <c r="AB24" s="142">
        <f>IF($U24="","",SUMPRODUCT(--(Lineups!AS$4:AS$41=$U24),--(Lineups!AA$4:AA$41&lt;&gt;"SP")))</f>
        <v>7</v>
      </c>
      <c r="AC24" s="133">
        <f t="shared" si="11"/>
        <v>7</v>
      </c>
      <c r="AD24" s="135">
        <f t="shared" si="12"/>
        <v>0.35</v>
      </c>
      <c r="AE24" s="133">
        <f t="shared" si="13"/>
        <v>8</v>
      </c>
      <c r="AF24" s="135">
        <f t="shared" si="14"/>
        <v>0.4</v>
      </c>
      <c r="AG24" s="140" t="str">
        <f ca="1">IF(U24="","",IF(OR(SK!U217="",SK!U217=0),"",SK!X217))</f>
        <v/>
      </c>
      <c r="AH24" s="133">
        <f>IF($U24="","",SUMPRODUCT(--(Lineups!AC$4:AC$41=$U24)))</f>
        <v>0</v>
      </c>
      <c r="AI24" s="135">
        <f t="shared" si="15"/>
        <v>0</v>
      </c>
      <c r="AJ24" s="133">
        <f t="shared" si="16"/>
        <v>8</v>
      </c>
      <c r="AK24" s="135">
        <f t="shared" si="17"/>
        <v>0.4</v>
      </c>
    </row>
    <row r="25" spans="1:37" x14ac:dyDescent="0.3">
      <c r="A25" s="16">
        <f t="shared" si="0"/>
        <v>17</v>
      </c>
      <c r="B25" s="83" t="str">
        <f>IF(ISBLANK(IGRF!B30),"",IGRF!B30)</f>
        <v>86</v>
      </c>
      <c r="C25" s="83" t="str">
        <f>IF(ISBLANK(IGRF!C30),"",IGRF!C30)</f>
        <v>P.T.S.D.</v>
      </c>
      <c r="D25" s="3">
        <f>IF($B25="","",SUMPRODUCT(--(Lineups!$G$4:$G$41=$B25),--(Lineups!$B$4:$B$41="")))</f>
        <v>0</v>
      </c>
      <c r="E25" s="134">
        <f t="shared" si="1"/>
        <v>0</v>
      </c>
      <c r="F25" s="142">
        <f>IF($B25="","",SUMPRODUCT(--(Lineups!$G$4:$G$41=$B25),--(Lineups!$B$4:$B$41="X")))</f>
        <v>0</v>
      </c>
      <c r="G25" s="142">
        <f>IF($B25="","",SUMPRODUCT(--(Lineups!K$4:K$41=$B25),--(Lineups!A$4:A$41&lt;&gt;"SP")))</f>
        <v>5</v>
      </c>
      <c r="H25" s="142">
        <f>IF($B25="","",SUMPRODUCT(--(Lineups!O$4:O$41=$B25),--(Lineups!A$4:A$41&lt;&gt;"SP")))</f>
        <v>3</v>
      </c>
      <c r="I25" s="142">
        <f>IF($B25="","",SUMPRODUCT(--(Lineups!S$4:S$41=$B25),--(Lineups!A$4:A$41&lt;&gt;"SP")))</f>
        <v>3</v>
      </c>
      <c r="J25" s="3">
        <f t="shared" si="2"/>
        <v>11</v>
      </c>
      <c r="K25" s="134">
        <f t="shared" si="3"/>
        <v>0.55000000000000004</v>
      </c>
      <c r="L25" s="3">
        <f t="shared" si="4"/>
        <v>11</v>
      </c>
      <c r="M25" s="134">
        <f t="shared" si="5"/>
        <v>0.55000000000000004</v>
      </c>
      <c r="N25" s="139" t="str">
        <f ca="1">IF(B25="","",IF(OR(SK!E220="",SK!E220=0),"",SK!H220))</f>
        <v/>
      </c>
      <c r="O25" s="3">
        <f>IF($B25="","",SUMPRODUCT(--(Lineups!C$4:C$41=$B25)))</f>
        <v>0</v>
      </c>
      <c r="P25" s="134">
        <f t="shared" si="6"/>
        <v>0</v>
      </c>
      <c r="Q25" s="3">
        <f t="shared" si="7"/>
        <v>11</v>
      </c>
      <c r="R25" s="134">
        <f t="shared" si="8"/>
        <v>0.55000000000000004</v>
      </c>
      <c r="T25" s="16">
        <f t="shared" si="9"/>
        <v>17</v>
      </c>
      <c r="U25" s="83" t="str">
        <f>IF(ISBLANK(IGRF!I30),"",IGRF!I30)</f>
        <v>94</v>
      </c>
      <c r="V25" s="83" t="str">
        <f>IF(ISBLANK(IGRF!J30),"",IGRF!J30)</f>
        <v>The Kraken</v>
      </c>
      <c r="W25" s="3">
        <f>IF($U25="","",SUMPRODUCT(--(Lineups!$AG$4:$AG$41=$U25),--(Lineups!$AB$4:$AB$41="")))</f>
        <v>0</v>
      </c>
      <c r="X25" s="134">
        <f t="shared" si="10"/>
        <v>0</v>
      </c>
      <c r="Y25" s="142">
        <f>IF($U25="","",SUMPRODUCT(--(Lineups!$AG$4:$AG$41=$U25),--(Lineups!$AB$4:$AB$41="X")))</f>
        <v>0</v>
      </c>
      <c r="Z25" s="142">
        <f>IF($U25="","",SUMPRODUCT(--(Lineups!AK$4:AK$41=$U25),--(Lineups!AA$4:AA$41&lt;&gt;"SP")))</f>
        <v>0</v>
      </c>
      <c r="AA25" s="142">
        <f>IF($U25="","",SUMPRODUCT(--(Lineups!AO$4:AO$41=$U25),--(Lineups!AA$4:AA$41&lt;&gt;"SP")))</f>
        <v>1</v>
      </c>
      <c r="AB25" s="142">
        <f>IF($U25="","",SUMPRODUCT(--(Lineups!AS$4:AS$41=$U25),--(Lineups!AA$4:AA$41&lt;&gt;"SP")))</f>
        <v>1</v>
      </c>
      <c r="AC25" s="3">
        <f t="shared" si="11"/>
        <v>2</v>
      </c>
      <c r="AD25" s="134">
        <f t="shared" si="12"/>
        <v>0.1</v>
      </c>
      <c r="AE25" s="3">
        <f t="shared" si="13"/>
        <v>2</v>
      </c>
      <c r="AF25" s="134">
        <f t="shared" si="14"/>
        <v>0.1</v>
      </c>
      <c r="AG25" s="139" t="str">
        <f ca="1">IF(U25="","",IF(OR(SK!U220="",SK!U220=0),"",SK!X220))</f>
        <v/>
      </c>
      <c r="AH25" s="3">
        <f>IF($U25="","",SUMPRODUCT(--(Lineups!AC$4:AC$41=$U25)))</f>
        <v>0</v>
      </c>
      <c r="AI25" s="134">
        <f t="shared" si="15"/>
        <v>0</v>
      </c>
      <c r="AJ25" s="3">
        <f t="shared" si="16"/>
        <v>2</v>
      </c>
      <c r="AK25" s="134">
        <f t="shared" si="17"/>
        <v>0.1</v>
      </c>
    </row>
    <row r="26" spans="1:37" x14ac:dyDescent="0.3">
      <c r="A26" s="131">
        <f t="shared" si="0"/>
        <v>18</v>
      </c>
      <c r="B26" s="132" t="str">
        <f>IF(ISBLANK(IGRF!B31),"",IGRF!B31)</f>
        <v/>
      </c>
      <c r="C26" s="132" t="str">
        <f>IF(ISBLANK(IGRF!C31),"",IGRF!C31)</f>
        <v/>
      </c>
      <c r="D26" s="133" t="str">
        <f>IF($B26="","",SUMPRODUCT(--(Lineups!$G$4:$G$41=$B26),--(Lineups!$B$4:$B$41="")))</f>
        <v/>
      </c>
      <c r="E26" s="135" t="str">
        <f t="shared" si="1"/>
        <v/>
      </c>
      <c r="F26" s="142" t="str">
        <f>IF($B26="","",SUMPRODUCT(--(Lineups!$G$4:$G$41=$B26),--(Lineups!$B$4:$B$41="X")))</f>
        <v/>
      </c>
      <c r="G26" s="142" t="str">
        <f>IF($B26="","",SUMPRODUCT(--(Lineups!K$4:K$41=$B26),--(Lineups!A$4:A$41&lt;&gt;"SP")))</f>
        <v/>
      </c>
      <c r="H26" s="142" t="str">
        <f>IF($B26="","",SUMPRODUCT(--(Lineups!O$4:O$41=$B26),--(Lineups!A$4:A$41&lt;&gt;"SP")))</f>
        <v/>
      </c>
      <c r="I26" s="142" t="str">
        <f>IF($B26="","",SUMPRODUCT(--(Lineups!S$4:S$41=$B26),--(Lineups!A$4:A$41&lt;&gt;"SP")))</f>
        <v/>
      </c>
      <c r="J26" s="133" t="str">
        <f t="shared" si="2"/>
        <v/>
      </c>
      <c r="K26" s="135" t="str">
        <f t="shared" si="3"/>
        <v/>
      </c>
      <c r="L26" s="133" t="str">
        <f t="shared" si="4"/>
        <v/>
      </c>
      <c r="M26" s="135" t="str">
        <f t="shared" si="5"/>
        <v/>
      </c>
      <c r="N26" s="140" t="str">
        <f>IF(B26="","",IF(OR(SK!E223="",SK!E223=0),"",SK!H223))</f>
        <v/>
      </c>
      <c r="O26" s="133" t="str">
        <f>IF($B26="","",SUMPRODUCT(--(Lineups!C$4:C$41=$B26)))</f>
        <v/>
      </c>
      <c r="P26" s="135" t="str">
        <f t="shared" si="6"/>
        <v/>
      </c>
      <c r="Q26" s="133" t="str">
        <f t="shared" si="7"/>
        <v/>
      </c>
      <c r="R26" s="135" t="str">
        <f t="shared" si="8"/>
        <v/>
      </c>
      <c r="T26" s="131">
        <f t="shared" si="9"/>
        <v>18</v>
      </c>
      <c r="U26" s="132" t="str">
        <f>IF(ISBLANK(IGRF!I31),"",IGRF!I31)</f>
        <v/>
      </c>
      <c r="V26" s="132" t="str">
        <f>IF(ISBLANK(IGRF!J31),"",IGRF!J31)</f>
        <v/>
      </c>
      <c r="W26" s="133" t="str">
        <f>IF($U26="","",SUMPRODUCT(--(Lineups!$AG$4:$AG$41=$U26),--(Lineups!$AB$4:$AB$41="")))</f>
        <v/>
      </c>
      <c r="X26" s="135" t="str">
        <f t="shared" si="10"/>
        <v/>
      </c>
      <c r="Y26" s="142" t="str">
        <f>IF($U26="","",SUMPRODUCT(--(Lineups!$AG$4:$AG$41=$U26),--(Lineups!$AB$4:$AB$41="X")))</f>
        <v/>
      </c>
      <c r="Z26" s="142" t="str">
        <f>IF($U26="","",SUMPRODUCT(--(Lineups!AK$4:AK$41=$U26),--(Lineups!AA$4:AA$41&lt;&gt;"SP")))</f>
        <v/>
      </c>
      <c r="AA26" s="142" t="str">
        <f>IF($U26="","",SUMPRODUCT(--(Lineups!AO$4:AO$41=$U26),--(Lineups!AA$4:AA$41&lt;&gt;"SP")))</f>
        <v/>
      </c>
      <c r="AB26" s="142" t="str">
        <f>IF($U26="","",SUMPRODUCT(--(Lineups!AS$4:AS$41=$U26),--(Lineups!AA$4:AA$41&lt;&gt;"SP")))</f>
        <v/>
      </c>
      <c r="AC26" s="133" t="str">
        <f t="shared" si="11"/>
        <v/>
      </c>
      <c r="AD26" s="135" t="str">
        <f t="shared" si="12"/>
        <v/>
      </c>
      <c r="AE26" s="133" t="str">
        <f t="shared" si="13"/>
        <v/>
      </c>
      <c r="AF26" s="135" t="str">
        <f t="shared" si="14"/>
        <v/>
      </c>
      <c r="AG26" s="140" t="str">
        <f>IF(U26="","",IF(OR(SK!U223="",SK!U223=0),"",SK!X223))</f>
        <v/>
      </c>
      <c r="AH26" s="133" t="str">
        <f>IF($U26="","",SUMPRODUCT(--(Lineups!AC$4:AC$41=$U26)))</f>
        <v/>
      </c>
      <c r="AI26" s="135" t="str">
        <f t="shared" si="15"/>
        <v/>
      </c>
      <c r="AJ26" s="133" t="str">
        <f t="shared" si="16"/>
        <v/>
      </c>
      <c r="AK26" s="135" t="str">
        <f t="shared" si="17"/>
        <v/>
      </c>
    </row>
    <row r="27" spans="1:37" x14ac:dyDescent="0.3">
      <c r="A27" s="16">
        <f t="shared" si="0"/>
        <v>19</v>
      </c>
      <c r="B27" s="83" t="str">
        <f>IF(ISBLANK(IGRF!B32),"",IGRF!B32)</f>
        <v/>
      </c>
      <c r="C27" s="83" t="str">
        <f>IF(ISBLANK(IGRF!C32),"",IGRF!C32)</f>
        <v/>
      </c>
      <c r="D27" s="3" t="str">
        <f>IF($B27="","",SUMPRODUCT(--(Lineups!$G$4:$G$41=$B27),--(Lineups!$B$4:$B$41="")))</f>
        <v/>
      </c>
      <c r="E27" s="134" t="str">
        <f t="shared" si="1"/>
        <v/>
      </c>
      <c r="F27" s="142" t="str">
        <f>IF($B27="","",SUMPRODUCT(--(Lineups!$G$4:$G$41=$B27),--(Lineups!$B$4:$B$41="X")))</f>
        <v/>
      </c>
      <c r="G27" s="142" t="str">
        <f>IF($B27="","",SUMPRODUCT(--(Lineups!K$4:K$41=$B27),--(Lineups!A$4:A$41&lt;&gt;"SP")))</f>
        <v/>
      </c>
      <c r="H27" s="142" t="str">
        <f>IF($B27="","",SUMPRODUCT(--(Lineups!O$4:O$41=$B27),--(Lineups!A$4:A$41&lt;&gt;"SP")))</f>
        <v/>
      </c>
      <c r="I27" s="142" t="str">
        <f>IF($B27="","",SUMPRODUCT(--(Lineups!S$4:S$41=$B27),--(Lineups!A$4:A$41&lt;&gt;"SP")))</f>
        <v/>
      </c>
      <c r="J27" s="3" t="str">
        <f t="shared" si="2"/>
        <v/>
      </c>
      <c r="K27" s="134" t="str">
        <f t="shared" si="3"/>
        <v/>
      </c>
      <c r="L27" s="3" t="str">
        <f t="shared" si="4"/>
        <v/>
      </c>
      <c r="M27" s="134" t="str">
        <f t="shared" si="5"/>
        <v/>
      </c>
      <c r="N27" s="139" t="str">
        <f>IF(B27="","",IF(OR(SK!E226="",SK!E226=0),"",SK!H226))</f>
        <v/>
      </c>
      <c r="O27" s="3" t="str">
        <f>IF($B27="","",SUMPRODUCT(--(Lineups!C$4:C$41=$B27)))</f>
        <v/>
      </c>
      <c r="P27" s="134" t="str">
        <f t="shared" si="6"/>
        <v/>
      </c>
      <c r="Q27" s="3" t="str">
        <f t="shared" si="7"/>
        <v/>
      </c>
      <c r="R27" s="134" t="str">
        <f t="shared" si="8"/>
        <v/>
      </c>
      <c r="T27" s="16">
        <f t="shared" si="9"/>
        <v>19</v>
      </c>
      <c r="U27" s="83" t="str">
        <f>IF(ISBLANK(IGRF!I32),"",IGRF!I32)</f>
        <v/>
      </c>
      <c r="V27" s="83" t="str">
        <f>IF(ISBLANK(IGRF!J32),"",IGRF!J32)</f>
        <v/>
      </c>
      <c r="W27" s="3" t="str">
        <f>IF($U27="","",SUMPRODUCT(--(Lineups!$AG$4:$AG$41=$U27),--(Lineups!$AB$4:$AB$41="")))</f>
        <v/>
      </c>
      <c r="X27" s="134" t="str">
        <f t="shared" si="10"/>
        <v/>
      </c>
      <c r="Y27" s="142" t="str">
        <f>IF($U27="","",SUMPRODUCT(--(Lineups!$AG$4:$AG$41=$U27),--(Lineups!$AB$4:$AB$41="X")))</f>
        <v/>
      </c>
      <c r="Z27" s="142" t="str">
        <f>IF($U27="","",SUMPRODUCT(--(Lineups!AK$4:AK$41=$U27),--(Lineups!AA$4:AA$41&lt;&gt;"SP")))</f>
        <v/>
      </c>
      <c r="AA27" s="142" t="str">
        <f>IF($U27="","",SUMPRODUCT(--(Lineups!AO$4:AO$41=$U27),--(Lineups!AA$4:AA$41&lt;&gt;"SP")))</f>
        <v/>
      </c>
      <c r="AB27" s="142" t="str">
        <f>IF($U27="","",SUMPRODUCT(--(Lineups!AS$4:AS$41=$U27),--(Lineups!AA$4:AA$41&lt;&gt;"SP")))</f>
        <v/>
      </c>
      <c r="AC27" s="3" t="str">
        <f t="shared" si="11"/>
        <v/>
      </c>
      <c r="AD27" s="134" t="str">
        <f t="shared" si="12"/>
        <v/>
      </c>
      <c r="AE27" s="3" t="str">
        <f t="shared" si="13"/>
        <v/>
      </c>
      <c r="AF27" s="134" t="str">
        <f t="shared" si="14"/>
        <v/>
      </c>
      <c r="AG27" s="139" t="str">
        <f>IF(U27="","",IF(OR(SK!U226="",SK!U226=0),"",SK!X226))</f>
        <v/>
      </c>
      <c r="AH27" s="3" t="str">
        <f>IF($U27="","",SUMPRODUCT(--(Lineups!AC$4:AC$41=$U27)))</f>
        <v/>
      </c>
      <c r="AI27" s="134" t="str">
        <f t="shared" si="15"/>
        <v/>
      </c>
      <c r="AJ27" s="3" t="str">
        <f t="shared" si="16"/>
        <v/>
      </c>
      <c r="AK27" s="134" t="str">
        <f t="shared" si="17"/>
        <v/>
      </c>
    </row>
    <row r="28" spans="1:37" x14ac:dyDescent="0.3">
      <c r="A28" s="131">
        <f t="shared" si="0"/>
        <v>20</v>
      </c>
      <c r="B28" s="132" t="str">
        <f>IF(ISBLANK(IGRF!B33),"",IGRF!B33)</f>
        <v/>
      </c>
      <c r="C28" s="132" t="str">
        <f>IF(ISBLANK(IGRF!C33),"",IGRF!C33)</f>
        <v/>
      </c>
      <c r="D28" s="133" t="str">
        <f>IF($B28="","",SUMPRODUCT(--(Lineups!$G$4:$G$41=$B28),--(Lineups!$B$4:$B$41="")))</f>
        <v/>
      </c>
      <c r="E28" s="135" t="str">
        <f t="shared" si="1"/>
        <v/>
      </c>
      <c r="F28" s="142" t="str">
        <f>IF($B28="","",SUMPRODUCT(--(Lineups!$G$4:$G$41=$B28),--(Lineups!$B$4:$B$41="X")))</f>
        <v/>
      </c>
      <c r="G28" s="142" t="str">
        <f>IF($B28="","",SUMPRODUCT(--(Lineups!K$4:K$41=$B28),--(Lineups!A$4:A$41&lt;&gt;"SP")))</f>
        <v/>
      </c>
      <c r="H28" s="142" t="str">
        <f>IF($B28="","",SUMPRODUCT(--(Lineups!O$4:O$41=$B28),--(Lineups!A$4:A$41&lt;&gt;"SP")))</f>
        <v/>
      </c>
      <c r="I28" s="142" t="str">
        <f>IF($B28="","",SUMPRODUCT(--(Lineups!S$4:S$41=$B28),--(Lineups!A$4:A$41&lt;&gt;"SP")))</f>
        <v/>
      </c>
      <c r="J28" s="133" t="str">
        <f t="shared" si="2"/>
        <v/>
      </c>
      <c r="K28" s="135" t="str">
        <f t="shared" si="3"/>
        <v/>
      </c>
      <c r="L28" s="133" t="str">
        <f t="shared" si="4"/>
        <v/>
      </c>
      <c r="M28" s="135" t="str">
        <f t="shared" si="5"/>
        <v/>
      </c>
      <c r="N28" s="140" t="str">
        <f>IF(B28="","",IF(OR(SK!E229="",SK!E229=0),"",SK!H229))</f>
        <v/>
      </c>
      <c r="O28" s="133" t="str">
        <f>IF($B28="","",SUMPRODUCT(--(Lineups!C$4:C$41=$B28)))</f>
        <v/>
      </c>
      <c r="P28" s="135" t="str">
        <f t="shared" si="6"/>
        <v/>
      </c>
      <c r="Q28" s="133" t="str">
        <f t="shared" si="7"/>
        <v/>
      </c>
      <c r="R28" s="135" t="str">
        <f t="shared" si="8"/>
        <v/>
      </c>
      <c r="T28" s="131">
        <f t="shared" si="9"/>
        <v>20</v>
      </c>
      <c r="U28" s="132" t="str">
        <f>IF(ISBLANK(IGRF!I33),"",IGRF!I33)</f>
        <v/>
      </c>
      <c r="V28" s="132" t="str">
        <f>IF(ISBLANK(IGRF!J33),"",IGRF!J33)</f>
        <v/>
      </c>
      <c r="W28" s="133" t="str">
        <f>IF($U28="","",SUMPRODUCT(--(Lineups!$AG$4:$AG$41=$U28),--(Lineups!$AB$4:$AB$41="")))</f>
        <v/>
      </c>
      <c r="X28" s="135" t="str">
        <f t="shared" si="10"/>
        <v/>
      </c>
      <c r="Y28" s="142" t="str">
        <f>IF($U28="","",SUMPRODUCT(--(Lineups!$AG$4:$AG$41=$U28),--(Lineups!$AB$4:$AB$41="X")))</f>
        <v/>
      </c>
      <c r="Z28" s="142" t="str">
        <f>IF($U28="","",SUMPRODUCT(--(Lineups!AK$4:AK$41=$U28),--(Lineups!AA$4:AA$41&lt;&gt;"SP")))</f>
        <v/>
      </c>
      <c r="AA28" s="142" t="str">
        <f>IF($U28="","",SUMPRODUCT(--(Lineups!AO$4:AO$41=$U28),--(Lineups!AA$4:AA$41&lt;&gt;"SP")))</f>
        <v/>
      </c>
      <c r="AB28" s="142" t="str">
        <f>IF($U28="","",SUMPRODUCT(--(Lineups!AS$4:AS$41=$U28),--(Lineups!AA$4:AA$41&lt;&gt;"SP")))</f>
        <v/>
      </c>
      <c r="AC28" s="133" t="str">
        <f t="shared" si="11"/>
        <v/>
      </c>
      <c r="AD28" s="135" t="str">
        <f t="shared" si="12"/>
        <v/>
      </c>
      <c r="AE28" s="133" t="str">
        <f t="shared" si="13"/>
        <v/>
      </c>
      <c r="AF28" s="135" t="str">
        <f t="shared" si="14"/>
        <v/>
      </c>
      <c r="AG28" s="140" t="str">
        <f>IF(U28="","",IF(OR(SK!U229="",SK!U229=0),"",SK!X229))</f>
        <v/>
      </c>
      <c r="AH28" s="133" t="str">
        <f>IF($U28="","",SUMPRODUCT(--(Lineups!AC$4:AC$41=$U28)))</f>
        <v/>
      </c>
      <c r="AI28" s="135" t="str">
        <f t="shared" si="15"/>
        <v/>
      </c>
      <c r="AJ28" s="133" t="str">
        <f t="shared" si="16"/>
        <v/>
      </c>
      <c r="AK28" s="135" t="str">
        <f t="shared" si="17"/>
        <v/>
      </c>
    </row>
    <row r="30" spans="1:37" x14ac:dyDescent="0.3">
      <c r="A30" s="1200" t="s">
        <v>40</v>
      </c>
      <c r="B30" s="1200"/>
      <c r="C30" s="1200"/>
      <c r="D30" s="93"/>
      <c r="E30" s="93"/>
      <c r="F30" s="93"/>
      <c r="G30" s="93"/>
      <c r="H30" s="93"/>
      <c r="I30" s="93"/>
      <c r="J30" s="93"/>
      <c r="K30" s="93"/>
      <c r="L30" s="93"/>
      <c r="M30" s="93"/>
      <c r="N30" s="93"/>
      <c r="O30" s="93"/>
      <c r="P30" s="93"/>
      <c r="Q30" s="93"/>
      <c r="R30" s="93"/>
      <c r="T30" s="1200" t="s">
        <v>40</v>
      </c>
      <c r="U30" s="1200"/>
      <c r="V30" s="1200"/>
      <c r="W30" s="93"/>
      <c r="X30" s="93"/>
      <c r="Y30" s="93"/>
      <c r="Z30" s="93"/>
      <c r="AA30" s="93"/>
      <c r="AB30" s="93"/>
      <c r="AC30" s="93"/>
      <c r="AD30" s="93"/>
      <c r="AE30" s="93"/>
      <c r="AF30" s="93"/>
      <c r="AG30" s="93"/>
      <c r="AH30" s="93"/>
      <c r="AI30" s="93"/>
      <c r="AJ30" s="93"/>
      <c r="AK30" s="93"/>
    </row>
    <row r="31" spans="1:37" x14ac:dyDescent="0.3">
      <c r="A31" s="136">
        <v>0</v>
      </c>
      <c r="B31" s="136" t="s">
        <v>24</v>
      </c>
      <c r="C31" s="136" t="s">
        <v>25</v>
      </c>
      <c r="D31" s="136" t="s">
        <v>103</v>
      </c>
      <c r="E31" s="16"/>
      <c r="F31" s="141" t="s">
        <v>104</v>
      </c>
      <c r="G31" s="141" t="s">
        <v>104</v>
      </c>
      <c r="H31" s="141" t="s">
        <v>104</v>
      </c>
      <c r="I31" s="141" t="s">
        <v>104</v>
      </c>
      <c r="J31" s="136" t="s">
        <v>34</v>
      </c>
      <c r="K31" s="16"/>
      <c r="L31" s="136" t="s">
        <v>36</v>
      </c>
      <c r="M31" s="16"/>
      <c r="N31" s="138" t="s">
        <v>13</v>
      </c>
      <c r="O31" s="136" t="s">
        <v>105</v>
      </c>
      <c r="P31" s="16"/>
      <c r="Q31" s="136" t="s">
        <v>7</v>
      </c>
      <c r="R31" s="16"/>
      <c r="S31" s="16"/>
      <c r="T31" s="136">
        <v>0</v>
      </c>
      <c r="U31" s="136" t="s">
        <v>24</v>
      </c>
      <c r="V31" s="136" t="s">
        <v>25</v>
      </c>
      <c r="W31" s="136" t="s">
        <v>103</v>
      </c>
      <c r="X31" s="16"/>
      <c r="Y31" s="141" t="s">
        <v>104</v>
      </c>
      <c r="Z31" s="141" t="s">
        <v>104</v>
      </c>
      <c r="AA31" s="141" t="s">
        <v>104</v>
      </c>
      <c r="AB31" s="141" t="s">
        <v>104</v>
      </c>
      <c r="AC31" s="136" t="s">
        <v>34</v>
      </c>
      <c r="AD31" s="16"/>
      <c r="AE31" s="136" t="s">
        <v>36</v>
      </c>
      <c r="AF31" s="16"/>
      <c r="AG31" s="138" t="s">
        <v>13</v>
      </c>
      <c r="AH31" s="136" t="s">
        <v>105</v>
      </c>
      <c r="AI31" s="16"/>
      <c r="AJ31" s="136" t="s">
        <v>7</v>
      </c>
      <c r="AK31" s="16"/>
    </row>
    <row r="32" spans="1:37" x14ac:dyDescent="0.3">
      <c r="A32" s="16">
        <f t="shared" ref="A32:A51" si="18">A31+1</f>
        <v>1</v>
      </c>
      <c r="B32" s="16" t="str">
        <f t="shared" ref="B32:C51" si="19">B9</f>
        <v>101</v>
      </c>
      <c r="C32" s="16" t="str">
        <f t="shared" si="19"/>
        <v>Jackie Treehorn</v>
      </c>
      <c r="D32" s="16">
        <f t="shared" ref="D32:D51" ca="1" si="20">IF($B32="","",D55-D78)</f>
        <v>0</v>
      </c>
      <c r="F32" s="142">
        <f t="shared" ref="F32:I51" ca="1" si="21">IF($B32="","",F55-F78)</f>
        <v>0</v>
      </c>
      <c r="G32" s="142">
        <f t="shared" ref="G32:G51" ca="1" si="22">IF($B32="","",G55-G78)</f>
        <v>11</v>
      </c>
      <c r="H32" s="142">
        <f t="shared" ca="1" si="21"/>
        <v>1</v>
      </c>
      <c r="I32" s="142">
        <f t="shared" ca="1" si="21"/>
        <v>-1</v>
      </c>
      <c r="J32" s="16">
        <f t="shared" ref="J32:J51" ca="1" si="23">IF(B32="","",SUM(F32:I32))</f>
        <v>11</v>
      </c>
      <c r="L32" s="16">
        <f t="shared" ref="L32:L51" ca="1" si="24">IF(B32="","",SUM(D32,J32))</f>
        <v>11</v>
      </c>
      <c r="O32" s="16">
        <f t="shared" ref="O32:O51" ca="1" si="25">IF($B32="","",O55-O78)</f>
        <v>0</v>
      </c>
      <c r="Q32" s="16">
        <f t="shared" ref="Q32:Q51" ca="1" si="26">IF(B32="","",SUM(L32,O32))</f>
        <v>11</v>
      </c>
      <c r="T32" s="16">
        <f t="shared" ref="T32:T51" si="27">T31+1</f>
        <v>1</v>
      </c>
      <c r="U32" s="16" t="str">
        <f t="shared" ref="U32:V51" si="28">U9</f>
        <v>12</v>
      </c>
      <c r="V32" s="16" t="str">
        <f t="shared" si="28"/>
        <v>Zorra</v>
      </c>
      <c r="W32" s="16">
        <f t="shared" ref="W32:W51" ca="1" si="29">IF($U32="","",W55-W78)</f>
        <v>0</v>
      </c>
      <c r="Y32" s="142">
        <f t="shared" ref="Y32:AB51" ca="1" si="30">IF($U32="","",Y55-Y78)</f>
        <v>0</v>
      </c>
      <c r="Z32" s="142">
        <f t="shared" ref="Z32:Z51" ca="1" si="31">IF($U32="","",Z55-Z78)</f>
        <v>0</v>
      </c>
      <c r="AA32" s="142">
        <f t="shared" ca="1" si="30"/>
        <v>0</v>
      </c>
      <c r="AB32" s="142">
        <f t="shared" ca="1" si="30"/>
        <v>0</v>
      </c>
      <c r="AC32" s="16">
        <f t="shared" ref="AC32:AC51" ca="1" si="32">IF(U32="","",SUM(Y32:AB32))</f>
        <v>0</v>
      </c>
      <c r="AE32" s="16">
        <f t="shared" ref="AE32:AE51" ca="1" si="33">IF(U32="","",SUM(W32,AC32))</f>
        <v>0</v>
      </c>
      <c r="AH32" s="16">
        <f t="shared" ref="AH32:AH51" ca="1" si="34">IF($U32="","",AH55-AH78)</f>
        <v>17</v>
      </c>
      <c r="AJ32" s="16">
        <f t="shared" ref="AJ32:AJ51" ca="1" si="35">IF(U32="","",SUM(AE32,AH32))</f>
        <v>17</v>
      </c>
    </row>
    <row r="33" spans="1:36" x14ac:dyDescent="0.3">
      <c r="A33" s="131">
        <f t="shared" si="18"/>
        <v>2</v>
      </c>
      <c r="B33" s="131" t="str">
        <f t="shared" si="19"/>
        <v>123</v>
      </c>
      <c r="C33" s="131" t="str">
        <f t="shared" si="19"/>
        <v>Bacon 4 Mercy</v>
      </c>
      <c r="D33" s="131">
        <f t="shared" ca="1" si="20"/>
        <v>0</v>
      </c>
      <c r="F33" s="142">
        <f t="shared" ca="1" si="21"/>
        <v>0</v>
      </c>
      <c r="G33" s="142">
        <f t="shared" ca="1" si="22"/>
        <v>0</v>
      </c>
      <c r="H33" s="142">
        <f t="shared" ca="1" si="21"/>
        <v>0</v>
      </c>
      <c r="I33" s="142">
        <f t="shared" ca="1" si="21"/>
        <v>0</v>
      </c>
      <c r="J33" s="131">
        <f t="shared" ca="1" si="23"/>
        <v>0</v>
      </c>
      <c r="L33" s="131">
        <f t="shared" ca="1" si="24"/>
        <v>0</v>
      </c>
      <c r="O33" s="131">
        <f t="shared" ca="1" si="25"/>
        <v>29</v>
      </c>
      <c r="Q33" s="131">
        <f t="shared" ca="1" si="26"/>
        <v>29</v>
      </c>
      <c r="T33" s="131">
        <f t="shared" si="27"/>
        <v>2</v>
      </c>
      <c r="U33" s="131" t="str">
        <f t="shared" si="28"/>
        <v>16</v>
      </c>
      <c r="V33" s="131" t="str">
        <f t="shared" si="28"/>
        <v>Dodge n Burn</v>
      </c>
      <c r="W33" s="131">
        <f t="shared" ca="1" si="29"/>
        <v>0</v>
      </c>
      <c r="Y33" s="142">
        <f t="shared" ca="1" si="30"/>
        <v>0</v>
      </c>
      <c r="Z33" s="142">
        <f t="shared" ca="1" si="31"/>
        <v>0</v>
      </c>
      <c r="AA33" s="142">
        <f t="shared" ca="1" si="30"/>
        <v>-8</v>
      </c>
      <c r="AB33" s="142">
        <f t="shared" ca="1" si="30"/>
        <v>0</v>
      </c>
      <c r="AC33" s="131">
        <f t="shared" ca="1" si="32"/>
        <v>-8</v>
      </c>
      <c r="AE33" s="131">
        <f t="shared" ca="1" si="33"/>
        <v>-8</v>
      </c>
      <c r="AH33" s="131">
        <f t="shared" ca="1" si="34"/>
        <v>0</v>
      </c>
      <c r="AJ33" s="131">
        <f t="shared" ca="1" si="35"/>
        <v>-8</v>
      </c>
    </row>
    <row r="34" spans="1:36" x14ac:dyDescent="0.3">
      <c r="A34" s="16">
        <f t="shared" si="18"/>
        <v>3</v>
      </c>
      <c r="B34" s="16" t="str">
        <f t="shared" si="19"/>
        <v>1760</v>
      </c>
      <c r="C34" s="16" t="str">
        <f t="shared" si="19"/>
        <v>By O. Hazard</v>
      </c>
      <c r="D34" s="16">
        <f t="shared" ca="1" si="20"/>
        <v>-7</v>
      </c>
      <c r="F34" s="142">
        <f t="shared" ca="1" si="21"/>
        <v>0</v>
      </c>
      <c r="G34" s="142">
        <f t="shared" ca="1" si="22"/>
        <v>13</v>
      </c>
      <c r="H34" s="142">
        <f t="shared" ca="1" si="21"/>
        <v>-4</v>
      </c>
      <c r="I34" s="142">
        <f t="shared" ca="1" si="21"/>
        <v>4</v>
      </c>
      <c r="J34" s="16">
        <f t="shared" ca="1" si="23"/>
        <v>13</v>
      </c>
      <c r="L34" s="16">
        <f t="shared" ca="1" si="24"/>
        <v>6</v>
      </c>
      <c r="O34" s="16">
        <f t="shared" ca="1" si="25"/>
        <v>0</v>
      </c>
      <c r="Q34" s="16">
        <f t="shared" ca="1" si="26"/>
        <v>6</v>
      </c>
      <c r="T34" s="16">
        <f t="shared" si="27"/>
        <v>3</v>
      </c>
      <c r="U34" s="16" t="str">
        <f t="shared" si="28"/>
        <v>17</v>
      </c>
      <c r="V34" s="16" t="str">
        <f t="shared" si="28"/>
        <v>Yinzey Lohan</v>
      </c>
      <c r="W34" s="16">
        <f t="shared" ca="1" si="29"/>
        <v>0</v>
      </c>
      <c r="Y34" s="142">
        <f t="shared" ca="1" si="30"/>
        <v>0</v>
      </c>
      <c r="Z34" s="142">
        <f t="shared" ca="1" si="31"/>
        <v>-5</v>
      </c>
      <c r="AA34" s="142">
        <f t="shared" ca="1" si="30"/>
        <v>-12</v>
      </c>
      <c r="AB34" s="142">
        <f t="shared" ca="1" si="30"/>
        <v>0</v>
      </c>
      <c r="AC34" s="16">
        <f t="shared" ca="1" si="32"/>
        <v>-17</v>
      </c>
      <c r="AE34" s="16">
        <f t="shared" ca="1" si="33"/>
        <v>-17</v>
      </c>
      <c r="AH34" s="16">
        <f t="shared" ca="1" si="34"/>
        <v>0</v>
      </c>
      <c r="AJ34" s="16">
        <f t="shared" ca="1" si="35"/>
        <v>-17</v>
      </c>
    </row>
    <row r="35" spans="1:36" x14ac:dyDescent="0.3">
      <c r="A35" s="131">
        <f t="shared" si="18"/>
        <v>4</v>
      </c>
      <c r="B35" s="131" t="str">
        <f t="shared" si="19"/>
        <v>202</v>
      </c>
      <c r="C35" s="131" t="str">
        <f t="shared" si="19"/>
        <v>Thai-GRRR</v>
      </c>
      <c r="D35" s="131">
        <f t="shared" ca="1" si="20"/>
        <v>0</v>
      </c>
      <c r="F35" s="142">
        <f t="shared" ca="1" si="21"/>
        <v>0</v>
      </c>
      <c r="G35" s="142">
        <f t="shared" ca="1" si="22"/>
        <v>0</v>
      </c>
      <c r="H35" s="142">
        <f t="shared" ca="1" si="21"/>
        <v>0</v>
      </c>
      <c r="I35" s="142">
        <f t="shared" ca="1" si="21"/>
        <v>0</v>
      </c>
      <c r="J35" s="131">
        <f t="shared" ca="1" si="23"/>
        <v>0</v>
      </c>
      <c r="L35" s="131">
        <f t="shared" ca="1" si="24"/>
        <v>0</v>
      </c>
      <c r="O35" s="131">
        <f t="shared" ca="1" si="25"/>
        <v>17</v>
      </c>
      <c r="Q35" s="131">
        <f t="shared" ca="1" si="26"/>
        <v>17</v>
      </c>
      <c r="T35" s="131">
        <f t="shared" si="27"/>
        <v>4</v>
      </c>
      <c r="U35" s="131" t="str">
        <f t="shared" si="28"/>
        <v>2</v>
      </c>
      <c r="V35" s="131" t="str">
        <f t="shared" si="28"/>
        <v>Stark Raven</v>
      </c>
      <c r="W35" s="131">
        <f t="shared" ca="1" si="29"/>
        <v>0</v>
      </c>
      <c r="Y35" s="142">
        <f t="shared" ca="1" si="30"/>
        <v>0</v>
      </c>
      <c r="Z35" s="142">
        <f t="shared" ca="1" si="31"/>
        <v>-24</v>
      </c>
      <c r="AA35" s="142">
        <f t="shared" ca="1" si="30"/>
        <v>3</v>
      </c>
      <c r="AB35" s="142">
        <f t="shared" ca="1" si="30"/>
        <v>0</v>
      </c>
      <c r="AC35" s="131">
        <f t="shared" ca="1" si="32"/>
        <v>-21</v>
      </c>
      <c r="AE35" s="131">
        <f t="shared" ca="1" si="33"/>
        <v>-21</v>
      </c>
      <c r="AH35" s="131">
        <f t="shared" ca="1" si="34"/>
        <v>0</v>
      </c>
      <c r="AJ35" s="131">
        <f t="shared" ca="1" si="35"/>
        <v>-21</v>
      </c>
    </row>
    <row r="36" spans="1:36" x14ac:dyDescent="0.3">
      <c r="A36" s="16">
        <f t="shared" si="18"/>
        <v>5</v>
      </c>
      <c r="B36" s="16" t="str">
        <f t="shared" si="19"/>
        <v>22</v>
      </c>
      <c r="C36" s="16" t="str">
        <f t="shared" si="19"/>
        <v>Jen Hex</v>
      </c>
      <c r="D36" s="16">
        <f t="shared" ca="1" si="20"/>
        <v>0</v>
      </c>
      <c r="F36" s="142">
        <f t="shared" ca="1" si="21"/>
        <v>0</v>
      </c>
      <c r="G36" s="142">
        <f t="shared" ca="1" si="22"/>
        <v>0</v>
      </c>
      <c r="H36" s="142">
        <f t="shared" ca="1" si="21"/>
        <v>0</v>
      </c>
      <c r="I36" s="142">
        <f t="shared" ca="1" si="21"/>
        <v>0</v>
      </c>
      <c r="J36" s="16">
        <f t="shared" ca="1" si="23"/>
        <v>0</v>
      </c>
      <c r="L36" s="16">
        <f t="shared" ca="1" si="24"/>
        <v>0</v>
      </c>
      <c r="O36" s="16">
        <f t="shared" ca="1" si="25"/>
        <v>-4</v>
      </c>
      <c r="Q36" s="16">
        <f t="shared" ca="1" si="26"/>
        <v>-4</v>
      </c>
      <c r="T36" s="16">
        <f t="shared" si="27"/>
        <v>5</v>
      </c>
      <c r="U36" s="16" t="str">
        <f t="shared" si="28"/>
        <v>219</v>
      </c>
      <c r="V36" s="16" t="str">
        <f t="shared" si="28"/>
        <v>Dakota Slamming</v>
      </c>
      <c r="W36" s="16">
        <f t="shared" ca="1" si="29"/>
        <v>-11</v>
      </c>
      <c r="Y36" s="142">
        <f t="shared" ca="1" si="30"/>
        <v>0</v>
      </c>
      <c r="Z36" s="142">
        <f t="shared" ca="1" si="31"/>
        <v>4</v>
      </c>
      <c r="AA36" s="142">
        <f t="shared" ca="1" si="30"/>
        <v>0</v>
      </c>
      <c r="AB36" s="142">
        <f t="shared" ca="1" si="30"/>
        <v>-4</v>
      </c>
      <c r="AC36" s="16">
        <f t="shared" ca="1" si="32"/>
        <v>0</v>
      </c>
      <c r="AE36" s="16">
        <f t="shared" ca="1" si="33"/>
        <v>-11</v>
      </c>
      <c r="AH36" s="16">
        <f t="shared" ca="1" si="34"/>
        <v>4</v>
      </c>
      <c r="AJ36" s="16">
        <f t="shared" ca="1" si="35"/>
        <v>-7</v>
      </c>
    </row>
    <row r="37" spans="1:36" x14ac:dyDescent="0.3">
      <c r="A37" s="131">
        <f t="shared" si="18"/>
        <v>6</v>
      </c>
      <c r="B37" s="131" t="str">
        <f t="shared" si="19"/>
        <v>221*</v>
      </c>
      <c r="C37" s="131" t="str">
        <f t="shared" si="19"/>
        <v>Kili Pepa</v>
      </c>
      <c r="D37" s="131">
        <f t="shared" ca="1" si="20"/>
        <v>0</v>
      </c>
      <c r="F37" s="142">
        <f t="shared" ca="1" si="21"/>
        <v>0</v>
      </c>
      <c r="G37" s="142">
        <f t="shared" ca="1" si="22"/>
        <v>0</v>
      </c>
      <c r="H37" s="142">
        <f t="shared" ca="1" si="21"/>
        <v>0</v>
      </c>
      <c r="I37" s="142">
        <f t="shared" ca="1" si="21"/>
        <v>0</v>
      </c>
      <c r="J37" s="131">
        <f t="shared" ca="1" si="23"/>
        <v>0</v>
      </c>
      <c r="L37" s="131">
        <f t="shared" ca="1" si="24"/>
        <v>0</v>
      </c>
      <c r="O37" s="131">
        <f t="shared" ca="1" si="25"/>
        <v>0</v>
      </c>
      <c r="Q37" s="131">
        <f t="shared" ca="1" si="26"/>
        <v>0</v>
      </c>
      <c r="T37" s="131">
        <f t="shared" si="27"/>
        <v>6</v>
      </c>
      <c r="U37" s="131" t="str">
        <f t="shared" si="28"/>
        <v>22</v>
      </c>
      <c r="V37" s="131" t="str">
        <f t="shared" si="28"/>
        <v>Dammit Jammit</v>
      </c>
      <c r="W37" s="131">
        <f t="shared" ca="1" si="29"/>
        <v>-5</v>
      </c>
      <c r="Y37" s="142">
        <f t="shared" ca="1" si="30"/>
        <v>0</v>
      </c>
      <c r="Z37" s="142">
        <f t="shared" ca="1" si="31"/>
        <v>4</v>
      </c>
      <c r="AA37" s="142">
        <f t="shared" ca="1" si="30"/>
        <v>-15</v>
      </c>
      <c r="AB37" s="142">
        <f t="shared" ca="1" si="30"/>
        <v>7</v>
      </c>
      <c r="AC37" s="131">
        <f t="shared" ca="1" si="32"/>
        <v>-4</v>
      </c>
      <c r="AE37" s="131">
        <f t="shared" ca="1" si="33"/>
        <v>-9</v>
      </c>
      <c r="AH37" s="131">
        <f t="shared" ca="1" si="34"/>
        <v>0</v>
      </c>
      <c r="AJ37" s="131">
        <f t="shared" ca="1" si="35"/>
        <v>-9</v>
      </c>
    </row>
    <row r="38" spans="1:36" x14ac:dyDescent="0.3">
      <c r="A38" s="16">
        <f t="shared" si="18"/>
        <v>7</v>
      </c>
      <c r="B38" s="16" t="str">
        <f t="shared" si="19"/>
        <v>229</v>
      </c>
      <c r="C38" s="16" t="str">
        <f t="shared" si="19"/>
        <v>Sparky</v>
      </c>
      <c r="D38" s="16">
        <f t="shared" ca="1" si="20"/>
        <v>0</v>
      </c>
      <c r="F38" s="142">
        <f t="shared" ca="1" si="21"/>
        <v>0</v>
      </c>
      <c r="G38" s="142">
        <f t="shared" ca="1" si="22"/>
        <v>0</v>
      </c>
      <c r="H38" s="142">
        <f t="shared" ca="1" si="21"/>
        <v>8</v>
      </c>
      <c r="I38" s="142">
        <f t="shared" ca="1" si="21"/>
        <v>0</v>
      </c>
      <c r="J38" s="16">
        <f t="shared" ca="1" si="23"/>
        <v>8</v>
      </c>
      <c r="L38" s="16">
        <f t="shared" ca="1" si="24"/>
        <v>8</v>
      </c>
      <c r="O38" s="16">
        <f t="shared" ca="1" si="25"/>
        <v>0</v>
      </c>
      <c r="Q38" s="16">
        <f t="shared" ca="1" si="26"/>
        <v>8</v>
      </c>
      <c r="T38" s="16">
        <f t="shared" si="27"/>
        <v>7</v>
      </c>
      <c r="U38" s="16" t="str">
        <f t="shared" si="28"/>
        <v>223</v>
      </c>
      <c r="V38" s="16" t="str">
        <f t="shared" si="28"/>
        <v>Frida Killah</v>
      </c>
      <c r="W38" s="16">
        <f t="shared" ca="1" si="29"/>
        <v>0</v>
      </c>
      <c r="Y38" s="142">
        <f t="shared" ca="1" si="30"/>
        <v>4</v>
      </c>
      <c r="Z38" s="142">
        <f t="shared" ca="1" si="31"/>
        <v>0</v>
      </c>
      <c r="AA38" s="142">
        <f t="shared" ca="1" si="30"/>
        <v>0</v>
      </c>
      <c r="AB38" s="142">
        <f t="shared" ca="1" si="30"/>
        <v>0</v>
      </c>
      <c r="AC38" s="16">
        <f t="shared" ca="1" si="32"/>
        <v>4</v>
      </c>
      <c r="AE38" s="16">
        <f t="shared" ca="1" si="33"/>
        <v>4</v>
      </c>
      <c r="AH38" s="16">
        <f t="shared" ca="1" si="34"/>
        <v>-8</v>
      </c>
      <c r="AJ38" s="16">
        <f t="shared" ca="1" si="35"/>
        <v>-4</v>
      </c>
    </row>
    <row r="39" spans="1:36" x14ac:dyDescent="0.3">
      <c r="A39" s="131">
        <f t="shared" si="18"/>
        <v>8</v>
      </c>
      <c r="B39" s="131" t="str">
        <f t="shared" si="19"/>
        <v>237</v>
      </c>
      <c r="C39" s="131" t="str">
        <f t="shared" si="19"/>
        <v>RedRum</v>
      </c>
      <c r="D39" s="131">
        <f t="shared" ca="1" si="20"/>
        <v>0</v>
      </c>
      <c r="F39" s="142">
        <f t="shared" ca="1" si="21"/>
        <v>0</v>
      </c>
      <c r="G39" s="142">
        <f t="shared" ca="1" si="22"/>
        <v>8</v>
      </c>
      <c r="H39" s="142">
        <f t="shared" ca="1" si="21"/>
        <v>7</v>
      </c>
      <c r="I39" s="142">
        <f t="shared" ca="1" si="21"/>
        <v>28</v>
      </c>
      <c r="J39" s="131">
        <f t="shared" ca="1" si="23"/>
        <v>43</v>
      </c>
      <c r="L39" s="131">
        <f t="shared" ca="1" si="24"/>
        <v>43</v>
      </c>
      <c r="O39" s="131">
        <f t="shared" ca="1" si="25"/>
        <v>0</v>
      </c>
      <c r="Q39" s="131">
        <f t="shared" ca="1" si="26"/>
        <v>43</v>
      </c>
      <c r="T39" s="131">
        <f t="shared" si="27"/>
        <v>8</v>
      </c>
      <c r="U39" s="131" t="str">
        <f t="shared" si="28"/>
        <v>23</v>
      </c>
      <c r="V39" s="131" t="str">
        <f t="shared" si="28"/>
        <v>Towanda Woman</v>
      </c>
      <c r="W39" s="131">
        <f t="shared" ca="1" si="29"/>
        <v>0</v>
      </c>
      <c r="Y39" s="142">
        <f t="shared" ca="1" si="30"/>
        <v>0</v>
      </c>
      <c r="Z39" s="142">
        <f t="shared" ca="1" si="31"/>
        <v>0</v>
      </c>
      <c r="AA39" s="142">
        <f t="shared" ca="1" si="30"/>
        <v>0</v>
      </c>
      <c r="AB39" s="142">
        <f t="shared" ca="1" si="30"/>
        <v>0</v>
      </c>
      <c r="AC39" s="131">
        <f t="shared" ca="1" si="32"/>
        <v>0</v>
      </c>
      <c r="AE39" s="131">
        <f t="shared" ca="1" si="33"/>
        <v>0</v>
      </c>
      <c r="AH39" s="131">
        <f t="shared" ca="1" si="34"/>
        <v>-11</v>
      </c>
      <c r="AJ39" s="131">
        <f t="shared" ca="1" si="35"/>
        <v>-11</v>
      </c>
    </row>
    <row r="40" spans="1:36" x14ac:dyDescent="0.3">
      <c r="A40" s="16">
        <f t="shared" si="18"/>
        <v>9</v>
      </c>
      <c r="B40" s="16" t="str">
        <f t="shared" si="19"/>
        <v>282*</v>
      </c>
      <c r="C40" s="16" t="str">
        <f t="shared" si="19"/>
        <v>Dash Ketchum</v>
      </c>
      <c r="D40" s="16">
        <f t="shared" ca="1" si="20"/>
        <v>0</v>
      </c>
      <c r="F40" s="142">
        <f t="shared" ca="1" si="21"/>
        <v>0</v>
      </c>
      <c r="G40" s="142">
        <f t="shared" ca="1" si="22"/>
        <v>0</v>
      </c>
      <c r="H40" s="142">
        <f t="shared" ca="1" si="21"/>
        <v>0</v>
      </c>
      <c r="I40" s="142">
        <f t="shared" ca="1" si="21"/>
        <v>0</v>
      </c>
      <c r="J40" s="16">
        <f t="shared" ca="1" si="23"/>
        <v>0</v>
      </c>
      <c r="L40" s="16">
        <f t="shared" ca="1" si="24"/>
        <v>0</v>
      </c>
      <c r="O40" s="16">
        <f t="shared" ca="1" si="25"/>
        <v>0</v>
      </c>
      <c r="Q40" s="16">
        <f t="shared" ca="1" si="26"/>
        <v>0</v>
      </c>
      <c r="T40" s="16">
        <f t="shared" si="27"/>
        <v>9</v>
      </c>
      <c r="U40" s="16" t="str">
        <f t="shared" si="28"/>
        <v>25</v>
      </c>
      <c r="V40" s="16" t="str">
        <f t="shared" si="28"/>
        <v>Ally McKill</v>
      </c>
      <c r="W40" s="16">
        <f t="shared" ca="1" si="29"/>
        <v>0</v>
      </c>
      <c r="Y40" s="142">
        <f t="shared" ca="1" si="30"/>
        <v>0</v>
      </c>
      <c r="Z40" s="142">
        <f t="shared" ca="1" si="31"/>
        <v>2</v>
      </c>
      <c r="AA40" s="142">
        <f t="shared" ca="1" si="30"/>
        <v>-1</v>
      </c>
      <c r="AB40" s="142">
        <f t="shared" ca="1" si="30"/>
        <v>-19</v>
      </c>
      <c r="AC40" s="16">
        <f t="shared" ca="1" si="32"/>
        <v>-18</v>
      </c>
      <c r="AE40" s="16">
        <f t="shared" ca="1" si="33"/>
        <v>-18</v>
      </c>
      <c r="AH40" s="16">
        <f t="shared" ca="1" si="34"/>
        <v>0</v>
      </c>
      <c r="AJ40" s="16">
        <f t="shared" ca="1" si="35"/>
        <v>-18</v>
      </c>
    </row>
    <row r="41" spans="1:36" x14ac:dyDescent="0.3">
      <c r="A41" s="131">
        <f t="shared" si="18"/>
        <v>10</v>
      </c>
      <c r="B41" s="131" t="str">
        <f t="shared" si="19"/>
        <v>337</v>
      </c>
      <c r="C41" s="131" t="str">
        <f t="shared" si="19"/>
        <v>Susan Sure Ram Dem</v>
      </c>
      <c r="D41" s="131">
        <f t="shared" ca="1" si="20"/>
        <v>0</v>
      </c>
      <c r="F41" s="142">
        <f t="shared" ca="1" si="21"/>
        <v>0</v>
      </c>
      <c r="G41" s="142">
        <f t="shared" ca="1" si="22"/>
        <v>0</v>
      </c>
      <c r="H41" s="142">
        <f t="shared" ca="1" si="21"/>
        <v>-4</v>
      </c>
      <c r="I41" s="142">
        <f t="shared" ca="1" si="21"/>
        <v>-11</v>
      </c>
      <c r="J41" s="131">
        <f t="shared" ca="1" si="23"/>
        <v>-15</v>
      </c>
      <c r="L41" s="131">
        <f t="shared" ca="1" si="24"/>
        <v>-15</v>
      </c>
      <c r="O41" s="131">
        <f t="shared" ca="1" si="25"/>
        <v>0</v>
      </c>
      <c r="Q41" s="131">
        <f t="shared" ca="1" si="26"/>
        <v>-15</v>
      </c>
      <c r="T41" s="131">
        <f t="shared" si="27"/>
        <v>10</v>
      </c>
      <c r="U41" s="131" t="str">
        <f t="shared" si="28"/>
        <v>26</v>
      </c>
      <c r="V41" s="131" t="str">
        <f t="shared" si="28"/>
        <v>Strange</v>
      </c>
      <c r="W41" s="131">
        <f t="shared" ca="1" si="29"/>
        <v>0</v>
      </c>
      <c r="Y41" s="142">
        <f t="shared" ca="1" si="30"/>
        <v>0</v>
      </c>
      <c r="Z41" s="142">
        <f t="shared" ca="1" si="31"/>
        <v>-8</v>
      </c>
      <c r="AA41" s="142">
        <f t="shared" ca="1" si="30"/>
        <v>6</v>
      </c>
      <c r="AB41" s="142">
        <f t="shared" ca="1" si="30"/>
        <v>-5</v>
      </c>
      <c r="AC41" s="131">
        <f t="shared" ca="1" si="32"/>
        <v>-7</v>
      </c>
      <c r="AE41" s="131">
        <f t="shared" ca="1" si="33"/>
        <v>-7</v>
      </c>
      <c r="AH41" s="131">
        <f t="shared" ca="1" si="34"/>
        <v>0</v>
      </c>
      <c r="AJ41" s="131">
        <f t="shared" ca="1" si="35"/>
        <v>-7</v>
      </c>
    </row>
    <row r="42" spans="1:36" x14ac:dyDescent="0.3">
      <c r="A42" s="16">
        <f t="shared" si="18"/>
        <v>11</v>
      </c>
      <c r="B42" s="16" t="str">
        <f t="shared" si="19"/>
        <v>352</v>
      </c>
      <c r="C42" s="16" t="str">
        <f t="shared" si="19"/>
        <v>Olive Havoc</v>
      </c>
      <c r="D42" s="16">
        <f t="shared" ca="1" si="20"/>
        <v>0</v>
      </c>
      <c r="F42" s="142">
        <f t="shared" ca="1" si="21"/>
        <v>0</v>
      </c>
      <c r="G42" s="142">
        <f t="shared" ca="1" si="22"/>
        <v>0</v>
      </c>
      <c r="H42" s="142">
        <f t="shared" ca="1" si="21"/>
        <v>0</v>
      </c>
      <c r="I42" s="142">
        <f t="shared" ca="1" si="21"/>
        <v>0</v>
      </c>
      <c r="J42" s="16">
        <f t="shared" ca="1" si="23"/>
        <v>0</v>
      </c>
      <c r="L42" s="16">
        <f t="shared" ca="1" si="24"/>
        <v>0</v>
      </c>
      <c r="O42" s="16">
        <f t="shared" ca="1" si="25"/>
        <v>-18</v>
      </c>
      <c r="Q42" s="16">
        <f t="shared" ca="1" si="26"/>
        <v>-18</v>
      </c>
      <c r="T42" s="16">
        <f t="shared" si="27"/>
        <v>11</v>
      </c>
      <c r="U42" s="16" t="str">
        <f t="shared" si="28"/>
        <v>49</v>
      </c>
      <c r="V42" s="16" t="str">
        <f t="shared" si="28"/>
        <v>Gnarly Manson</v>
      </c>
      <c r="W42" s="16">
        <f t="shared" ca="1" si="29"/>
        <v>0</v>
      </c>
      <c r="Y42" s="142">
        <f t="shared" ca="1" si="30"/>
        <v>0</v>
      </c>
      <c r="Z42" s="142">
        <f t="shared" ca="1" si="31"/>
        <v>-1</v>
      </c>
      <c r="AA42" s="142">
        <f t="shared" ca="1" si="30"/>
        <v>0</v>
      </c>
      <c r="AB42" s="142">
        <f t="shared" ca="1" si="30"/>
        <v>0</v>
      </c>
      <c r="AC42" s="16">
        <f t="shared" ca="1" si="32"/>
        <v>-1</v>
      </c>
      <c r="AE42" s="16">
        <f t="shared" ca="1" si="33"/>
        <v>-1</v>
      </c>
      <c r="AH42" s="16">
        <f t="shared" ca="1" si="34"/>
        <v>-30</v>
      </c>
      <c r="AJ42" s="16">
        <f t="shared" ca="1" si="35"/>
        <v>-31</v>
      </c>
    </row>
    <row r="43" spans="1:36" x14ac:dyDescent="0.3">
      <c r="A43" s="131">
        <f t="shared" si="18"/>
        <v>12</v>
      </c>
      <c r="B43" s="131" t="str">
        <f t="shared" si="19"/>
        <v>36</v>
      </c>
      <c r="C43" s="131" t="str">
        <f t="shared" si="19"/>
        <v>Meanie</v>
      </c>
      <c r="D43" s="131">
        <f t="shared" ca="1" si="20"/>
        <v>0</v>
      </c>
      <c r="F43" s="142">
        <f t="shared" ca="1" si="21"/>
        <v>0</v>
      </c>
      <c r="G43" s="142">
        <f t="shared" ca="1" si="22"/>
        <v>-4</v>
      </c>
      <c r="H43" s="142">
        <f t="shared" ca="1" si="21"/>
        <v>4</v>
      </c>
      <c r="I43" s="142">
        <f t="shared" ca="1" si="21"/>
        <v>3</v>
      </c>
      <c r="J43" s="131">
        <f t="shared" ca="1" si="23"/>
        <v>3</v>
      </c>
      <c r="L43" s="131">
        <f t="shared" ca="1" si="24"/>
        <v>3</v>
      </c>
      <c r="O43" s="131">
        <f t="shared" ca="1" si="25"/>
        <v>0</v>
      </c>
      <c r="Q43" s="131">
        <f t="shared" ca="1" si="26"/>
        <v>3</v>
      </c>
      <c r="T43" s="131">
        <f t="shared" si="27"/>
        <v>12</v>
      </c>
      <c r="U43" s="131" t="str">
        <f t="shared" si="28"/>
        <v>78</v>
      </c>
      <c r="V43" s="131" t="str">
        <f t="shared" si="28"/>
        <v>Debbie Scary</v>
      </c>
      <c r="W43" s="131">
        <f t="shared" ca="1" si="29"/>
        <v>0</v>
      </c>
      <c r="Y43" s="142">
        <f t="shared" ca="1" si="30"/>
        <v>0</v>
      </c>
      <c r="Z43" s="142">
        <f t="shared" ca="1" si="31"/>
        <v>0</v>
      </c>
      <c r="AA43" s="142">
        <f t="shared" ca="1" si="30"/>
        <v>0</v>
      </c>
      <c r="AB43" s="142">
        <f t="shared" ca="1" si="30"/>
        <v>0</v>
      </c>
      <c r="AC43" s="131">
        <f t="shared" ca="1" si="32"/>
        <v>0</v>
      </c>
      <c r="AE43" s="131">
        <f t="shared" ca="1" si="33"/>
        <v>0</v>
      </c>
      <c r="AH43" s="131">
        <f t="shared" ca="1" si="34"/>
        <v>0</v>
      </c>
      <c r="AJ43" s="131">
        <f t="shared" ca="1" si="35"/>
        <v>0</v>
      </c>
    </row>
    <row r="44" spans="1:36" x14ac:dyDescent="0.3">
      <c r="A44" s="16">
        <f t="shared" si="18"/>
        <v>13</v>
      </c>
      <c r="B44" s="16" t="str">
        <f t="shared" si="19"/>
        <v>64</v>
      </c>
      <c r="C44" s="16" t="str">
        <f t="shared" si="19"/>
        <v>Cruzella</v>
      </c>
      <c r="D44" s="16">
        <f t="shared" ca="1" si="20"/>
        <v>0</v>
      </c>
      <c r="F44" s="142">
        <f t="shared" ca="1" si="21"/>
        <v>0</v>
      </c>
      <c r="G44" s="142">
        <f t="shared" ca="1" si="22"/>
        <v>0</v>
      </c>
      <c r="H44" s="142">
        <f t="shared" ca="1" si="21"/>
        <v>0</v>
      </c>
      <c r="I44" s="142">
        <f t="shared" ca="1" si="21"/>
        <v>0</v>
      </c>
      <c r="J44" s="16">
        <f t="shared" ca="1" si="23"/>
        <v>0</v>
      </c>
      <c r="L44" s="16">
        <f t="shared" ca="1" si="24"/>
        <v>0</v>
      </c>
      <c r="O44" s="16">
        <f t="shared" ca="1" si="25"/>
        <v>4</v>
      </c>
      <c r="Q44" s="16">
        <f t="shared" ca="1" si="26"/>
        <v>4</v>
      </c>
      <c r="T44" s="16">
        <f t="shared" si="27"/>
        <v>13</v>
      </c>
      <c r="U44" s="16" t="str">
        <f t="shared" si="28"/>
        <v>8*</v>
      </c>
      <c r="V44" s="16" t="str">
        <f t="shared" si="28"/>
        <v>Venus Thigh Trap</v>
      </c>
      <c r="W44" s="16">
        <f t="shared" ca="1" si="29"/>
        <v>0</v>
      </c>
      <c r="Y44" s="142">
        <f t="shared" ca="1" si="30"/>
        <v>0</v>
      </c>
      <c r="Z44" s="142">
        <f t="shared" ca="1" si="31"/>
        <v>0</v>
      </c>
      <c r="AA44" s="142">
        <f t="shared" ca="1" si="30"/>
        <v>0</v>
      </c>
      <c r="AB44" s="142">
        <f t="shared" ca="1" si="30"/>
        <v>0</v>
      </c>
      <c r="AC44" s="16">
        <f t="shared" ca="1" si="32"/>
        <v>0</v>
      </c>
      <c r="AE44" s="16">
        <f t="shared" ca="1" si="33"/>
        <v>0</v>
      </c>
      <c r="AH44" s="16">
        <f t="shared" ca="1" si="34"/>
        <v>0</v>
      </c>
      <c r="AJ44" s="16">
        <f t="shared" ca="1" si="35"/>
        <v>0</v>
      </c>
    </row>
    <row r="45" spans="1:36" x14ac:dyDescent="0.3">
      <c r="A45" s="131">
        <f t="shared" si="18"/>
        <v>14</v>
      </c>
      <c r="B45" s="131" t="str">
        <f t="shared" si="19"/>
        <v>825</v>
      </c>
      <c r="C45" s="131" t="str">
        <f t="shared" si="19"/>
        <v>Rot-N 2 the Cor-E</v>
      </c>
      <c r="D45" s="131">
        <f t="shared" ca="1" si="20"/>
        <v>4</v>
      </c>
      <c r="F45" s="142">
        <f t="shared" ca="1" si="21"/>
        <v>0</v>
      </c>
      <c r="G45" s="142">
        <f t="shared" ca="1" si="22"/>
        <v>0</v>
      </c>
      <c r="H45" s="142">
        <f t="shared" ca="1" si="21"/>
        <v>0</v>
      </c>
      <c r="I45" s="142">
        <f t="shared" ca="1" si="21"/>
        <v>0</v>
      </c>
      <c r="J45" s="131">
        <f t="shared" ca="1" si="23"/>
        <v>0</v>
      </c>
      <c r="L45" s="131">
        <f t="shared" ca="1" si="24"/>
        <v>4</v>
      </c>
      <c r="O45" s="131">
        <f t="shared" ca="1" si="25"/>
        <v>0</v>
      </c>
      <c r="Q45" s="131">
        <f t="shared" ca="1" si="26"/>
        <v>4</v>
      </c>
      <c r="T45" s="131">
        <f t="shared" si="27"/>
        <v>14</v>
      </c>
      <c r="U45" s="131" t="str">
        <f t="shared" si="28"/>
        <v>800</v>
      </c>
      <c r="V45" s="131" t="str">
        <f t="shared" si="28"/>
        <v>Terminate Her</v>
      </c>
      <c r="W45" s="131">
        <f t="shared" ca="1" si="29"/>
        <v>-20</v>
      </c>
      <c r="Y45" s="142">
        <f t="shared" ca="1" si="30"/>
        <v>0</v>
      </c>
      <c r="Z45" s="142">
        <f t="shared" ca="1" si="31"/>
        <v>0</v>
      </c>
      <c r="AA45" s="142">
        <f t="shared" ca="1" si="30"/>
        <v>-1</v>
      </c>
      <c r="AB45" s="142">
        <f t="shared" ca="1" si="30"/>
        <v>0</v>
      </c>
      <c r="AC45" s="131">
        <f t="shared" ca="1" si="32"/>
        <v>-1</v>
      </c>
      <c r="AE45" s="131">
        <f t="shared" ca="1" si="33"/>
        <v>-21</v>
      </c>
      <c r="AH45" s="131">
        <f t="shared" ca="1" si="34"/>
        <v>0</v>
      </c>
      <c r="AJ45" s="131">
        <f t="shared" ca="1" si="35"/>
        <v>-21</v>
      </c>
    </row>
    <row r="46" spans="1:36" x14ac:dyDescent="0.3">
      <c r="A46" s="16">
        <f t="shared" si="18"/>
        <v>15</v>
      </c>
      <c r="B46" s="16" t="str">
        <f t="shared" si="19"/>
        <v>83</v>
      </c>
      <c r="C46" s="16" t="str">
        <f t="shared" si="19"/>
        <v>Grit n Barite</v>
      </c>
      <c r="D46" s="16">
        <f t="shared" ca="1" si="20"/>
        <v>0</v>
      </c>
      <c r="F46" s="142">
        <f t="shared" ca="1" si="21"/>
        <v>0</v>
      </c>
      <c r="G46" s="142">
        <f t="shared" ca="1" si="22"/>
        <v>0</v>
      </c>
      <c r="H46" s="142">
        <f t="shared" ca="1" si="21"/>
        <v>16</v>
      </c>
      <c r="I46" s="142">
        <f t="shared" ca="1" si="21"/>
        <v>0</v>
      </c>
      <c r="J46" s="16">
        <f t="shared" ca="1" si="23"/>
        <v>16</v>
      </c>
      <c r="L46" s="16">
        <f t="shared" ca="1" si="24"/>
        <v>16</v>
      </c>
      <c r="O46" s="16">
        <f t="shared" ca="1" si="25"/>
        <v>0</v>
      </c>
      <c r="Q46" s="16">
        <f t="shared" ca="1" si="26"/>
        <v>16</v>
      </c>
      <c r="T46" s="16">
        <f t="shared" si="27"/>
        <v>15</v>
      </c>
      <c r="U46" s="16" t="str">
        <f t="shared" si="28"/>
        <v>88*</v>
      </c>
      <c r="V46" s="16" t="str">
        <f t="shared" si="28"/>
        <v>Flux</v>
      </c>
      <c r="W46" s="16">
        <f t="shared" ca="1" si="29"/>
        <v>0</v>
      </c>
      <c r="Y46" s="142">
        <f t="shared" ca="1" si="30"/>
        <v>0</v>
      </c>
      <c r="Z46" s="142">
        <f t="shared" ca="1" si="31"/>
        <v>0</v>
      </c>
      <c r="AA46" s="142">
        <f t="shared" ca="1" si="30"/>
        <v>0</v>
      </c>
      <c r="AB46" s="142">
        <f t="shared" ca="1" si="30"/>
        <v>0</v>
      </c>
      <c r="AC46" s="16">
        <f t="shared" ca="1" si="32"/>
        <v>0</v>
      </c>
      <c r="AE46" s="16">
        <f t="shared" ca="1" si="33"/>
        <v>0</v>
      </c>
      <c r="AH46" s="16">
        <f t="shared" ca="1" si="34"/>
        <v>0</v>
      </c>
      <c r="AJ46" s="16">
        <f t="shared" ca="1" si="35"/>
        <v>0</v>
      </c>
    </row>
    <row r="47" spans="1:36" x14ac:dyDescent="0.3">
      <c r="A47" s="131">
        <f t="shared" si="18"/>
        <v>16</v>
      </c>
      <c r="B47" s="131" t="str">
        <f t="shared" si="19"/>
        <v>84</v>
      </c>
      <c r="C47" s="131" t="str">
        <f t="shared" si="19"/>
        <v>Phoenix</v>
      </c>
      <c r="D47" s="131">
        <f t="shared" ca="1" si="20"/>
        <v>31</v>
      </c>
      <c r="F47" s="142">
        <f t="shared" ca="1" si="21"/>
        <v>0</v>
      </c>
      <c r="G47" s="142">
        <f t="shared" ca="1" si="22"/>
        <v>4</v>
      </c>
      <c r="H47" s="142">
        <f t="shared" ca="1" si="21"/>
        <v>0</v>
      </c>
      <c r="I47" s="142">
        <f t="shared" ca="1" si="21"/>
        <v>0</v>
      </c>
      <c r="J47" s="131">
        <f t="shared" ca="1" si="23"/>
        <v>4</v>
      </c>
      <c r="L47" s="131">
        <f t="shared" ca="1" si="24"/>
        <v>35</v>
      </c>
      <c r="O47" s="131">
        <f t="shared" ca="1" si="25"/>
        <v>0</v>
      </c>
      <c r="Q47" s="131">
        <f t="shared" ca="1" si="26"/>
        <v>35</v>
      </c>
      <c r="T47" s="131">
        <f t="shared" si="27"/>
        <v>16</v>
      </c>
      <c r="U47" s="131" t="str">
        <f t="shared" si="28"/>
        <v>911</v>
      </c>
      <c r="V47" s="131" t="str">
        <f t="shared" si="28"/>
        <v>Annie Mergency</v>
      </c>
      <c r="W47" s="131">
        <f t="shared" ca="1" si="29"/>
        <v>4</v>
      </c>
      <c r="Y47" s="142">
        <f t="shared" ca="1" si="30"/>
        <v>0</v>
      </c>
      <c r="Z47" s="142">
        <f t="shared" ca="1" si="31"/>
        <v>0</v>
      </c>
      <c r="AA47" s="142">
        <f t="shared" ca="1" si="30"/>
        <v>0</v>
      </c>
      <c r="AB47" s="142">
        <f t="shared" ca="1" si="30"/>
        <v>-2</v>
      </c>
      <c r="AC47" s="131">
        <f t="shared" ca="1" si="32"/>
        <v>-2</v>
      </c>
      <c r="AE47" s="131">
        <f t="shared" ca="1" si="33"/>
        <v>2</v>
      </c>
      <c r="AH47" s="131">
        <f t="shared" ca="1" si="34"/>
        <v>0</v>
      </c>
      <c r="AJ47" s="131">
        <f t="shared" ca="1" si="35"/>
        <v>2</v>
      </c>
    </row>
    <row r="48" spans="1:36" x14ac:dyDescent="0.3">
      <c r="A48" s="16">
        <f t="shared" si="18"/>
        <v>17</v>
      </c>
      <c r="B48" s="16" t="str">
        <f t="shared" si="19"/>
        <v>86</v>
      </c>
      <c r="C48" s="16" t="str">
        <f t="shared" si="19"/>
        <v>P.T.S.D.</v>
      </c>
      <c r="D48" s="16">
        <f t="shared" ca="1" si="20"/>
        <v>0</v>
      </c>
      <c r="F48" s="142">
        <f t="shared" ca="1" si="21"/>
        <v>0</v>
      </c>
      <c r="G48" s="142">
        <f t="shared" ca="1" si="22"/>
        <v>-4</v>
      </c>
      <c r="H48" s="142">
        <f t="shared" ca="1" si="21"/>
        <v>0</v>
      </c>
      <c r="I48" s="142">
        <f t="shared" ca="1" si="21"/>
        <v>5</v>
      </c>
      <c r="J48" s="16">
        <f t="shared" ca="1" si="23"/>
        <v>1</v>
      </c>
      <c r="L48" s="16">
        <f t="shared" ca="1" si="24"/>
        <v>1</v>
      </c>
      <c r="O48" s="16">
        <f t="shared" ca="1" si="25"/>
        <v>0</v>
      </c>
      <c r="Q48" s="16">
        <f t="shared" ca="1" si="26"/>
        <v>1</v>
      </c>
      <c r="T48" s="16">
        <f t="shared" si="27"/>
        <v>17</v>
      </c>
      <c r="U48" s="16" t="str">
        <f t="shared" si="28"/>
        <v>94</v>
      </c>
      <c r="V48" s="16" t="str">
        <f t="shared" si="28"/>
        <v>The Kraken</v>
      </c>
      <c r="W48" s="16">
        <f t="shared" ca="1" si="29"/>
        <v>0</v>
      </c>
      <c r="Y48" s="142">
        <f t="shared" ca="1" si="30"/>
        <v>0</v>
      </c>
      <c r="Z48" s="142">
        <f t="shared" ca="1" si="31"/>
        <v>0</v>
      </c>
      <c r="AA48" s="142">
        <f t="shared" ca="1" si="30"/>
        <v>0</v>
      </c>
      <c r="AB48" s="142">
        <f t="shared" ca="1" si="30"/>
        <v>-5</v>
      </c>
      <c r="AC48" s="16">
        <f t="shared" ca="1" si="32"/>
        <v>-5</v>
      </c>
      <c r="AE48" s="16">
        <f t="shared" ca="1" si="33"/>
        <v>-5</v>
      </c>
      <c r="AH48" s="16">
        <f t="shared" ca="1" si="34"/>
        <v>0</v>
      </c>
      <c r="AJ48" s="16">
        <f t="shared" ca="1" si="35"/>
        <v>-5</v>
      </c>
    </row>
    <row r="49" spans="1:37" x14ac:dyDescent="0.3">
      <c r="A49" s="131">
        <f t="shared" si="18"/>
        <v>18</v>
      </c>
      <c r="B49" s="131" t="str">
        <f t="shared" si="19"/>
        <v/>
      </c>
      <c r="C49" s="131" t="str">
        <f t="shared" si="19"/>
        <v/>
      </c>
      <c r="D49" s="131" t="str">
        <f t="shared" si="20"/>
        <v/>
      </c>
      <c r="F49" s="142" t="str">
        <f t="shared" si="21"/>
        <v/>
      </c>
      <c r="G49" s="142" t="str">
        <f t="shared" si="22"/>
        <v/>
      </c>
      <c r="H49" s="142" t="str">
        <f t="shared" si="21"/>
        <v/>
      </c>
      <c r="I49" s="142" t="str">
        <f t="shared" si="21"/>
        <v/>
      </c>
      <c r="J49" s="131" t="str">
        <f t="shared" si="23"/>
        <v/>
      </c>
      <c r="L49" s="131" t="str">
        <f t="shared" si="24"/>
        <v/>
      </c>
      <c r="O49" s="131" t="str">
        <f t="shared" si="25"/>
        <v/>
      </c>
      <c r="Q49" s="131" t="str">
        <f t="shared" si="26"/>
        <v/>
      </c>
      <c r="T49" s="131">
        <f t="shared" si="27"/>
        <v>18</v>
      </c>
      <c r="U49" s="131" t="str">
        <f t="shared" si="28"/>
        <v/>
      </c>
      <c r="V49" s="131" t="str">
        <f t="shared" si="28"/>
        <v/>
      </c>
      <c r="W49" s="131" t="str">
        <f t="shared" si="29"/>
        <v/>
      </c>
      <c r="Y49" s="142" t="str">
        <f t="shared" si="30"/>
        <v/>
      </c>
      <c r="Z49" s="142" t="str">
        <f t="shared" si="31"/>
        <v/>
      </c>
      <c r="AA49" s="142" t="str">
        <f t="shared" si="30"/>
        <v/>
      </c>
      <c r="AB49" s="142" t="str">
        <f t="shared" si="30"/>
        <v/>
      </c>
      <c r="AC49" s="131" t="str">
        <f t="shared" si="32"/>
        <v/>
      </c>
      <c r="AE49" s="131" t="str">
        <f t="shared" si="33"/>
        <v/>
      </c>
      <c r="AH49" s="131" t="str">
        <f t="shared" si="34"/>
        <v/>
      </c>
      <c r="AJ49" s="131" t="str">
        <f t="shared" si="35"/>
        <v/>
      </c>
    </row>
    <row r="50" spans="1:37" x14ac:dyDescent="0.3">
      <c r="A50" s="16">
        <f t="shared" si="18"/>
        <v>19</v>
      </c>
      <c r="B50" s="16" t="str">
        <f t="shared" si="19"/>
        <v/>
      </c>
      <c r="C50" s="16" t="str">
        <f t="shared" si="19"/>
        <v/>
      </c>
      <c r="D50" s="16" t="str">
        <f t="shared" si="20"/>
        <v/>
      </c>
      <c r="F50" s="142" t="str">
        <f t="shared" si="21"/>
        <v/>
      </c>
      <c r="G50" s="142" t="str">
        <f t="shared" si="22"/>
        <v/>
      </c>
      <c r="H50" s="142" t="str">
        <f t="shared" si="21"/>
        <v/>
      </c>
      <c r="I50" s="142" t="str">
        <f t="shared" si="21"/>
        <v/>
      </c>
      <c r="J50" s="16" t="str">
        <f t="shared" si="23"/>
        <v/>
      </c>
      <c r="L50" s="16" t="str">
        <f t="shared" si="24"/>
        <v/>
      </c>
      <c r="O50" s="16" t="str">
        <f t="shared" si="25"/>
        <v/>
      </c>
      <c r="Q50" s="16" t="str">
        <f t="shared" si="26"/>
        <v/>
      </c>
      <c r="T50" s="16">
        <f t="shared" si="27"/>
        <v>19</v>
      </c>
      <c r="U50" s="16" t="str">
        <f t="shared" si="28"/>
        <v/>
      </c>
      <c r="V50" s="16" t="str">
        <f t="shared" si="28"/>
        <v/>
      </c>
      <c r="W50" s="16" t="str">
        <f t="shared" si="29"/>
        <v/>
      </c>
      <c r="Y50" s="142" t="str">
        <f t="shared" si="30"/>
        <v/>
      </c>
      <c r="Z50" s="142" t="str">
        <f t="shared" si="31"/>
        <v/>
      </c>
      <c r="AA50" s="142" t="str">
        <f t="shared" si="30"/>
        <v/>
      </c>
      <c r="AB50" s="142" t="str">
        <f t="shared" si="30"/>
        <v/>
      </c>
      <c r="AC50" s="16" t="str">
        <f t="shared" si="32"/>
        <v/>
      </c>
      <c r="AE50" s="16" t="str">
        <f t="shared" si="33"/>
        <v/>
      </c>
      <c r="AH50" s="16" t="str">
        <f t="shared" si="34"/>
        <v/>
      </c>
      <c r="AJ50" s="16" t="str">
        <f t="shared" si="35"/>
        <v/>
      </c>
    </row>
    <row r="51" spans="1:37" x14ac:dyDescent="0.3">
      <c r="A51" s="131">
        <f t="shared" si="18"/>
        <v>20</v>
      </c>
      <c r="B51" s="131" t="str">
        <f t="shared" si="19"/>
        <v/>
      </c>
      <c r="C51" s="131" t="str">
        <f t="shared" si="19"/>
        <v/>
      </c>
      <c r="D51" s="131" t="str">
        <f t="shared" si="20"/>
        <v/>
      </c>
      <c r="F51" s="142" t="str">
        <f t="shared" si="21"/>
        <v/>
      </c>
      <c r="G51" s="142" t="str">
        <f t="shared" si="22"/>
        <v/>
      </c>
      <c r="H51" s="142" t="str">
        <f t="shared" si="21"/>
        <v/>
      </c>
      <c r="I51" s="142" t="str">
        <f t="shared" si="21"/>
        <v/>
      </c>
      <c r="J51" s="131" t="str">
        <f t="shared" si="23"/>
        <v/>
      </c>
      <c r="L51" s="131" t="str">
        <f t="shared" si="24"/>
        <v/>
      </c>
      <c r="O51" s="131" t="str">
        <f t="shared" si="25"/>
        <v/>
      </c>
      <c r="Q51" s="131" t="str">
        <f t="shared" si="26"/>
        <v/>
      </c>
      <c r="T51" s="131">
        <f t="shared" si="27"/>
        <v>20</v>
      </c>
      <c r="U51" s="131" t="str">
        <f t="shared" si="28"/>
        <v/>
      </c>
      <c r="V51" s="131" t="str">
        <f t="shared" si="28"/>
        <v/>
      </c>
      <c r="W51" s="131" t="str">
        <f t="shared" si="29"/>
        <v/>
      </c>
      <c r="Y51" s="142" t="str">
        <f t="shared" si="30"/>
        <v/>
      </c>
      <c r="Z51" s="142" t="str">
        <f t="shared" si="31"/>
        <v/>
      </c>
      <c r="AA51" s="142" t="str">
        <f t="shared" si="30"/>
        <v/>
      </c>
      <c r="AB51" s="142" t="str">
        <f t="shared" si="30"/>
        <v/>
      </c>
      <c r="AC51" s="131" t="str">
        <f t="shared" si="32"/>
        <v/>
      </c>
      <c r="AE51" s="131" t="str">
        <f t="shared" si="33"/>
        <v/>
      </c>
      <c r="AH51" s="131" t="str">
        <f t="shared" si="34"/>
        <v/>
      </c>
      <c r="AJ51" s="131" t="str">
        <f t="shared" si="35"/>
        <v/>
      </c>
    </row>
    <row r="53" spans="1:37" x14ac:dyDescent="0.3">
      <c r="A53" s="1200" t="s">
        <v>41</v>
      </c>
      <c r="B53" s="1200"/>
      <c r="C53" s="1200"/>
      <c r="D53" s="93"/>
      <c r="E53" s="93"/>
      <c r="F53" s="93"/>
      <c r="G53" s="93"/>
      <c r="H53" s="93"/>
      <c r="I53" s="93"/>
      <c r="J53" s="93"/>
      <c r="K53" s="93"/>
      <c r="L53" s="93"/>
      <c r="M53" s="93"/>
      <c r="N53" s="93"/>
      <c r="O53" s="93"/>
      <c r="P53" s="93"/>
      <c r="Q53" s="93"/>
      <c r="R53" s="93"/>
      <c r="T53" s="1200" t="s">
        <v>41</v>
      </c>
      <c r="U53" s="1200"/>
      <c r="V53" s="1200"/>
      <c r="W53" s="93"/>
      <c r="X53" s="93"/>
      <c r="Y53" s="93"/>
      <c r="Z53" s="93"/>
      <c r="AA53" s="93"/>
      <c r="AB53" s="93"/>
      <c r="AC53" s="93"/>
      <c r="AD53" s="93"/>
      <c r="AE53" s="93"/>
      <c r="AF53" s="93"/>
      <c r="AG53" s="93"/>
      <c r="AH53" s="93"/>
      <c r="AI53" s="93"/>
      <c r="AJ53" s="93"/>
      <c r="AK53" s="93"/>
    </row>
    <row r="54" spans="1:37" x14ac:dyDescent="0.3">
      <c r="A54" s="136">
        <v>0</v>
      </c>
      <c r="B54" s="136" t="s">
        <v>24</v>
      </c>
      <c r="C54" s="136" t="s">
        <v>25</v>
      </c>
      <c r="D54" s="136" t="s">
        <v>103</v>
      </c>
      <c r="E54" s="16"/>
      <c r="F54" s="141" t="s">
        <v>104</v>
      </c>
      <c r="G54" s="141" t="s">
        <v>104</v>
      </c>
      <c r="H54" s="141" t="s">
        <v>104</v>
      </c>
      <c r="I54" s="141" t="s">
        <v>104</v>
      </c>
      <c r="J54" s="136" t="s">
        <v>34</v>
      </c>
      <c r="K54" s="16"/>
      <c r="L54" s="136" t="s">
        <v>36</v>
      </c>
      <c r="M54" s="16"/>
      <c r="N54" s="138" t="s">
        <v>13</v>
      </c>
      <c r="O54" s="136" t="s">
        <v>105</v>
      </c>
      <c r="P54" s="16"/>
      <c r="Q54" s="136" t="s">
        <v>7</v>
      </c>
      <c r="R54" s="16"/>
      <c r="S54" s="16"/>
      <c r="T54" s="136">
        <v>0</v>
      </c>
      <c r="U54" s="136" t="s">
        <v>24</v>
      </c>
      <c r="V54" s="136" t="s">
        <v>25</v>
      </c>
      <c r="W54" s="136" t="s">
        <v>103</v>
      </c>
      <c r="X54" s="16"/>
      <c r="Y54" s="141" t="s">
        <v>104</v>
      </c>
      <c r="Z54" s="141" t="s">
        <v>104</v>
      </c>
      <c r="AA54" s="141" t="s">
        <v>104</v>
      </c>
      <c r="AB54" s="141" t="s">
        <v>104</v>
      </c>
      <c r="AC54" s="136" t="s">
        <v>34</v>
      </c>
      <c r="AD54" s="16"/>
      <c r="AE54" s="136" t="s">
        <v>36</v>
      </c>
      <c r="AF54" s="16"/>
      <c r="AG54" s="138" t="s">
        <v>13</v>
      </c>
      <c r="AH54" s="136" t="s">
        <v>105</v>
      </c>
      <c r="AI54" s="16"/>
      <c r="AJ54" s="136" t="s">
        <v>7</v>
      </c>
      <c r="AK54" s="16"/>
    </row>
    <row r="55" spans="1:37" x14ac:dyDescent="0.3">
      <c r="A55" s="16">
        <f t="shared" ref="A55:A74" si="36">A54+1</f>
        <v>1</v>
      </c>
      <c r="B55" s="16" t="str">
        <f t="shared" ref="B55:C74" si="37">B9</f>
        <v>101</v>
      </c>
      <c r="C55" s="16" t="str">
        <f t="shared" si="37"/>
        <v>Jackie Treehorn</v>
      </c>
      <c r="D55" s="16">
        <f ca="1">IF($B55="","",SUMPRODUCT(--(Lineups!$G$4:$G$41=$B55),--(Lineups!$B$4:$B$41=""),Lineups!$W$4:$W$41))</f>
        <v>0</v>
      </c>
      <c r="F55" s="142">
        <f ca="1">IF($B55="","",SUMPRODUCT(--(Lineups!$G$4:$G$41=$B55),--(Lineups!$B$4:$B$41="X"),Lineups!$W$4:$W$41))</f>
        <v>0</v>
      </c>
      <c r="G55" s="142">
        <f ca="1">IF($B55="","",SUMPRODUCT(--(Lineups!$K$4:$K$41=$B55),Lineups!$W$4:$W$41))</f>
        <v>11</v>
      </c>
      <c r="H55" s="142">
        <f ca="1">IF($B55="","",SUMPRODUCT(--(Lineups!$O$4:$O$41=$B55),Lineups!$W$4:$W$41))</f>
        <v>8</v>
      </c>
      <c r="I55" s="142">
        <f ca="1">IF($B55="","",SUMPRODUCT(--(Lineups!$S$4:$S$41=$B55),Lineups!$W$4:$W$41))</f>
        <v>20</v>
      </c>
      <c r="J55" s="16">
        <f t="shared" ref="J55:J74" ca="1" si="38">IF(B55="","",SUM(F55:I55))</f>
        <v>39</v>
      </c>
      <c r="L55" s="16">
        <f t="shared" ref="L55:L74" ca="1" si="39">IF(B55="","",SUM(D55,J55))</f>
        <v>39</v>
      </c>
      <c r="O55" s="16">
        <f ca="1">IF($B55="","",SUMPRODUCT(--(Lineups!$C$4:$C$41=$B55),Lineups!$W$4:$W$41))</f>
        <v>0</v>
      </c>
      <c r="Q55" s="16">
        <f t="shared" ref="Q55:Q74" ca="1" si="40">IF(B55="","",SUM(L55,O55))</f>
        <v>39</v>
      </c>
      <c r="T55" s="16">
        <f t="shared" ref="T55:T74" si="41">T54+1</f>
        <v>1</v>
      </c>
      <c r="U55" s="16" t="str">
        <f t="shared" ref="U55:V74" si="42">U9</f>
        <v>12</v>
      </c>
      <c r="V55" s="16" t="str">
        <f t="shared" si="42"/>
        <v>Zorra</v>
      </c>
      <c r="W55" s="16">
        <f ca="1">IF($U55="","",SUMPRODUCT(--(Lineups!$AG$4:$AG$41=$U55),--(Lineups!$AB$4:$AB$41=""),Lineups!$AW$4:$AW$41))</f>
        <v>0</v>
      </c>
      <c r="Y55" s="142">
        <f ca="1">IF($U55="","",SUMPRODUCT(--(Lineups!$AG$4:$AG$41=$U55),--(Lineups!$AB$4:$AB$41="X"),Lineups!$AW$4:$AW$41))</f>
        <v>0</v>
      </c>
      <c r="Z55" s="142">
        <f ca="1">IF($U55="","",SUMPRODUCT(--(Lineups!$AK$4:$AK$41=$U55),Lineups!$AW$4:$AW$41))</f>
        <v>0</v>
      </c>
      <c r="AA55" s="142">
        <f ca="1">IF($U55="","",SUMPRODUCT(--(Lineups!$AO$4:$AO$41=$U55),Lineups!$AW$4:$AW$41))</f>
        <v>0</v>
      </c>
      <c r="AB55" s="142">
        <f ca="1">IF($U55="","",SUMPRODUCT(--(Lineups!$AS$4:$AS$41=$U55),Lineups!$AW$4:$AW$41))</f>
        <v>0</v>
      </c>
      <c r="AC55" s="16">
        <f t="shared" ref="AC55:AC74" ca="1" si="43">IF(U55="","",SUM(Y55:AB55))</f>
        <v>0</v>
      </c>
      <c r="AE55" s="16">
        <f t="shared" ref="AE55:AE74" ca="1" si="44">IF(U55="","",SUM(W55,AC55))</f>
        <v>0</v>
      </c>
      <c r="AH55" s="16">
        <f ca="1">IF($U55="","",SUMPRODUCT(--(Lineups!$AC$4:$AC$41=$U55),Lineups!$AW$4:$AW$41))</f>
        <v>29</v>
      </c>
      <c r="AJ55" s="16">
        <f t="shared" ref="AJ55:AJ74" ca="1" si="45">IF(U55="","",SUM(AE55,AH55))</f>
        <v>29</v>
      </c>
    </row>
    <row r="56" spans="1:37" x14ac:dyDescent="0.3">
      <c r="A56" s="131">
        <f t="shared" si="36"/>
        <v>2</v>
      </c>
      <c r="B56" s="131" t="str">
        <f t="shared" si="37"/>
        <v>123</v>
      </c>
      <c r="C56" s="131" t="str">
        <f t="shared" si="37"/>
        <v>Bacon 4 Mercy</v>
      </c>
      <c r="D56" s="131">
        <f ca="1">IF($B56="","",SUMPRODUCT(--(Lineups!$G$4:$G$41=$B56),--(Lineups!$B$4:$B$41=""),Lineups!$W$4:$W$41))</f>
        <v>0</v>
      </c>
      <c r="F56" s="142">
        <f ca="1">IF($B56="","",SUMPRODUCT(--(Lineups!$G$4:$G$41=$B56),--(Lineups!$B$4:$B$41="X"),Lineups!$W$4:$W$41))</f>
        <v>0</v>
      </c>
      <c r="G56" s="142">
        <f ca="1">IF($B56="","",SUMPRODUCT(--(Lineups!$K$4:$K$41=$B56),Lineups!$W$4:$W$41))</f>
        <v>0</v>
      </c>
      <c r="H56" s="142">
        <f ca="1">IF($B56="","",SUMPRODUCT(--(Lineups!$O$4:$O$41=$B56),Lineups!$W$4:$W$41))</f>
        <v>0</v>
      </c>
      <c r="I56" s="142">
        <f ca="1">IF($B56="","",SUMPRODUCT(--(Lineups!$S$4:$S$41=$B56),Lineups!$W$4:$W$41))</f>
        <v>0</v>
      </c>
      <c r="J56" s="131">
        <f t="shared" ca="1" si="38"/>
        <v>0</v>
      </c>
      <c r="L56" s="131">
        <f t="shared" ca="1" si="39"/>
        <v>0</v>
      </c>
      <c r="O56" s="131">
        <f ca="1">IF($B56="","",SUMPRODUCT(--(Lineups!$C$4:$C$41=$B56),Lineups!$W$4:$W$41))</f>
        <v>31</v>
      </c>
      <c r="Q56" s="131">
        <f t="shared" ca="1" si="40"/>
        <v>31</v>
      </c>
      <c r="T56" s="131">
        <f t="shared" si="41"/>
        <v>2</v>
      </c>
      <c r="U56" s="131" t="str">
        <f t="shared" si="42"/>
        <v>16</v>
      </c>
      <c r="V56" s="131" t="str">
        <f t="shared" si="42"/>
        <v>Dodge n Burn</v>
      </c>
      <c r="W56" s="131">
        <f ca="1">IF($U56="","",SUMPRODUCT(--(Lineups!$AG$4:$AG$41=$U56),--(Lineups!$AB$4:$AB$41=""),Lineups!$AW$4:$AW$41))</f>
        <v>0</v>
      </c>
      <c r="Y56" s="142">
        <f ca="1">IF($U56="","",SUMPRODUCT(--(Lineups!$AG$4:$AG$41=$U56),--(Lineups!$AB$4:$AB$41="X"),Lineups!$AW$4:$AW$41))</f>
        <v>0</v>
      </c>
      <c r="Z56" s="142">
        <f ca="1">IF($U56="","",SUMPRODUCT(--(Lineups!$AK$4:$AK$41=$U56),Lineups!$AW$4:$AW$41))</f>
        <v>0</v>
      </c>
      <c r="AA56" s="142">
        <f ca="1">IF($U56="","",SUMPRODUCT(--(Lineups!$AO$4:$AO$41=$U56),Lineups!$AW$4:$AW$41))</f>
        <v>0</v>
      </c>
      <c r="AB56" s="142">
        <f ca="1">IF($U56="","",SUMPRODUCT(--(Lineups!$AS$4:$AS$41=$U56),Lineups!$AW$4:$AW$41))</f>
        <v>0</v>
      </c>
      <c r="AC56" s="131">
        <f t="shared" ca="1" si="43"/>
        <v>0</v>
      </c>
      <c r="AE56" s="131">
        <f t="shared" ca="1" si="44"/>
        <v>0</v>
      </c>
      <c r="AH56" s="131">
        <f ca="1">IF($U56="","",SUMPRODUCT(--(Lineups!$AC$4:$AC$41=$U56),Lineups!$AW$4:$AW$41))</f>
        <v>0</v>
      </c>
      <c r="AJ56" s="131">
        <f t="shared" ca="1" si="45"/>
        <v>0</v>
      </c>
    </row>
    <row r="57" spans="1:37" x14ac:dyDescent="0.3">
      <c r="A57" s="16">
        <f t="shared" si="36"/>
        <v>3</v>
      </c>
      <c r="B57" s="16" t="str">
        <f t="shared" si="37"/>
        <v>1760</v>
      </c>
      <c r="C57" s="16" t="str">
        <f t="shared" si="37"/>
        <v>By O. Hazard</v>
      </c>
      <c r="D57" s="16">
        <f ca="1">IF($B57="","",SUMPRODUCT(--(Lineups!$G$4:$G$41=$B57),--(Lineups!$B$4:$B$41=""),Lineups!$W$4:$W$41))</f>
        <v>16</v>
      </c>
      <c r="F57" s="142">
        <f ca="1">IF($B57="","",SUMPRODUCT(--(Lineups!$G$4:$G$41=$B57),--(Lineups!$B$4:$B$41="X"),Lineups!$W$4:$W$41))</f>
        <v>0</v>
      </c>
      <c r="G57" s="142">
        <f ca="1">IF($B57="","",SUMPRODUCT(--(Lineups!$K$4:$K$41=$B57),Lineups!$W$4:$W$41))</f>
        <v>20</v>
      </c>
      <c r="H57" s="142">
        <f ca="1">IF($B57="","",SUMPRODUCT(--(Lineups!$O$4:$O$41=$B57),Lineups!$W$4:$W$41))</f>
        <v>0</v>
      </c>
      <c r="I57" s="142">
        <f ca="1">IF($B57="","",SUMPRODUCT(--(Lineups!$S$4:$S$41=$B57),Lineups!$W$4:$W$41))</f>
        <v>4</v>
      </c>
      <c r="J57" s="16">
        <f t="shared" ca="1" si="38"/>
        <v>24</v>
      </c>
      <c r="L57" s="16">
        <f t="shared" ca="1" si="39"/>
        <v>40</v>
      </c>
      <c r="O57" s="16">
        <f ca="1">IF($B57="","",SUMPRODUCT(--(Lineups!$C$4:$C$41=$B57),Lineups!$W$4:$W$41))</f>
        <v>0</v>
      </c>
      <c r="Q57" s="16">
        <f t="shared" ca="1" si="40"/>
        <v>40</v>
      </c>
      <c r="T57" s="16">
        <f t="shared" si="41"/>
        <v>3</v>
      </c>
      <c r="U57" s="16" t="str">
        <f t="shared" si="42"/>
        <v>17</v>
      </c>
      <c r="V57" s="16" t="str">
        <f t="shared" si="42"/>
        <v>Yinzey Lohan</v>
      </c>
      <c r="W57" s="16">
        <f ca="1">IF($U57="","",SUMPRODUCT(--(Lineups!$AG$4:$AG$41=$U57),--(Lineups!$AB$4:$AB$41=""),Lineups!$AW$4:$AW$41))</f>
        <v>0</v>
      </c>
      <c r="Y57" s="142">
        <f ca="1">IF($U57="","",SUMPRODUCT(--(Lineups!$AG$4:$AG$41=$U57),--(Lineups!$AB$4:$AB$41="X"),Lineups!$AW$4:$AW$41))</f>
        <v>0</v>
      </c>
      <c r="Z57" s="142">
        <f ca="1">IF($U57="","",SUMPRODUCT(--(Lineups!$AK$4:$AK$41=$U57),Lineups!$AW$4:$AW$41))</f>
        <v>3</v>
      </c>
      <c r="AA57" s="142">
        <f ca="1">IF($U57="","",SUMPRODUCT(--(Lineups!$AO$4:$AO$41=$U57),Lineups!$AW$4:$AW$41))</f>
        <v>4</v>
      </c>
      <c r="AB57" s="142">
        <f ca="1">IF($U57="","",SUMPRODUCT(--(Lineups!$AS$4:$AS$41=$U57),Lineups!$AW$4:$AW$41))</f>
        <v>0</v>
      </c>
      <c r="AC57" s="16">
        <f t="shared" ca="1" si="43"/>
        <v>7</v>
      </c>
      <c r="AE57" s="16">
        <f t="shared" ca="1" si="44"/>
        <v>7</v>
      </c>
      <c r="AH57" s="16">
        <f ca="1">IF($U57="","",SUMPRODUCT(--(Lineups!$AC$4:$AC$41=$U57),Lineups!$AW$4:$AW$41))</f>
        <v>0</v>
      </c>
      <c r="AJ57" s="16">
        <f t="shared" ca="1" si="45"/>
        <v>7</v>
      </c>
    </row>
    <row r="58" spans="1:37" x14ac:dyDescent="0.3">
      <c r="A58" s="131">
        <f t="shared" si="36"/>
        <v>4</v>
      </c>
      <c r="B58" s="131" t="str">
        <f t="shared" si="37"/>
        <v>202</v>
      </c>
      <c r="C58" s="131" t="str">
        <f t="shared" si="37"/>
        <v>Thai-GRRR</v>
      </c>
      <c r="D58" s="131">
        <f ca="1">IF($B58="","",SUMPRODUCT(--(Lineups!$G$4:$G$41=$B58),--(Lineups!$B$4:$B$41=""),Lineups!$W$4:$W$41))</f>
        <v>0</v>
      </c>
      <c r="F58" s="142">
        <f ca="1">IF($B58="","",SUMPRODUCT(--(Lineups!$G$4:$G$41=$B58),--(Lineups!$B$4:$B$41="X"),Lineups!$W$4:$W$41))</f>
        <v>0</v>
      </c>
      <c r="G58" s="142">
        <f ca="1">IF($B58="","",SUMPRODUCT(--(Lineups!$K$4:$K$41=$B58),Lineups!$W$4:$W$41))</f>
        <v>0</v>
      </c>
      <c r="H58" s="142">
        <f ca="1">IF($B58="","",SUMPRODUCT(--(Lineups!$O$4:$O$41=$B58),Lineups!$W$4:$W$41))</f>
        <v>0</v>
      </c>
      <c r="I58" s="142">
        <f ca="1">IF($B58="","",SUMPRODUCT(--(Lineups!$S$4:$S$41=$B58),Lineups!$W$4:$W$41))</f>
        <v>0</v>
      </c>
      <c r="J58" s="131">
        <f t="shared" ca="1" si="38"/>
        <v>0</v>
      </c>
      <c r="L58" s="131">
        <f t="shared" ca="1" si="39"/>
        <v>0</v>
      </c>
      <c r="O58" s="131">
        <f ca="1">IF($B58="","",SUMPRODUCT(--(Lineups!$C$4:$C$41=$B58),Lineups!$W$4:$W$41))</f>
        <v>24</v>
      </c>
      <c r="Q58" s="131">
        <f t="shared" ca="1" si="40"/>
        <v>24</v>
      </c>
      <c r="T58" s="131">
        <f t="shared" si="41"/>
        <v>4</v>
      </c>
      <c r="U58" s="131" t="str">
        <f t="shared" si="42"/>
        <v>2</v>
      </c>
      <c r="V58" s="131" t="str">
        <f t="shared" si="42"/>
        <v>Stark Raven</v>
      </c>
      <c r="W58" s="131">
        <f ca="1">IF($U58="","",SUMPRODUCT(--(Lineups!$AG$4:$AG$41=$U58),--(Lineups!$AB$4:$AB$41=""),Lineups!$AW$4:$AW$41))</f>
        <v>0</v>
      </c>
      <c r="Y58" s="142">
        <f ca="1">IF($U58="","",SUMPRODUCT(--(Lineups!$AG$4:$AG$41=$U58),--(Lineups!$AB$4:$AB$41="X"),Lineups!$AW$4:$AW$41))</f>
        <v>0</v>
      </c>
      <c r="Z58" s="142">
        <f ca="1">IF($U58="","",SUMPRODUCT(--(Lineups!$AK$4:$AK$41=$U58),Lineups!$AW$4:$AW$41))</f>
        <v>14</v>
      </c>
      <c r="AA58" s="142">
        <f ca="1">IF($U58="","",SUMPRODUCT(--(Lineups!$AO$4:$AO$41=$U58),Lineups!$AW$4:$AW$41))</f>
        <v>7</v>
      </c>
      <c r="AB58" s="142">
        <f ca="1">IF($U58="","",SUMPRODUCT(--(Lineups!$AS$4:$AS$41=$U58),Lineups!$AW$4:$AW$41))</f>
        <v>0</v>
      </c>
      <c r="AC58" s="131">
        <f t="shared" ca="1" si="43"/>
        <v>21</v>
      </c>
      <c r="AE58" s="131">
        <f t="shared" ca="1" si="44"/>
        <v>21</v>
      </c>
      <c r="AH58" s="131">
        <f ca="1">IF($U58="","",SUMPRODUCT(--(Lineups!$AC$4:$AC$41=$U58),Lineups!$AW$4:$AW$41))</f>
        <v>0</v>
      </c>
      <c r="AJ58" s="131">
        <f t="shared" ca="1" si="45"/>
        <v>21</v>
      </c>
    </row>
    <row r="59" spans="1:37" x14ac:dyDescent="0.3">
      <c r="A59" s="16">
        <f t="shared" si="36"/>
        <v>5</v>
      </c>
      <c r="B59" s="16" t="str">
        <f t="shared" si="37"/>
        <v>22</v>
      </c>
      <c r="C59" s="16" t="str">
        <f t="shared" si="37"/>
        <v>Jen Hex</v>
      </c>
      <c r="D59" s="16">
        <f ca="1">IF($B59="","",SUMPRODUCT(--(Lineups!$G$4:$G$41=$B59),--(Lineups!$B$4:$B$41=""),Lineups!$W$4:$W$41))</f>
        <v>0</v>
      </c>
      <c r="F59" s="142">
        <f ca="1">IF($B59="","",SUMPRODUCT(--(Lineups!$G$4:$G$41=$B59),--(Lineups!$B$4:$B$41="X"),Lineups!$W$4:$W$41))</f>
        <v>0</v>
      </c>
      <c r="G59" s="142">
        <f ca="1">IF($B59="","",SUMPRODUCT(--(Lineups!$K$4:$K$41=$B59),Lineups!$W$4:$W$41))</f>
        <v>0</v>
      </c>
      <c r="H59" s="142">
        <f ca="1">IF($B59="","",SUMPRODUCT(--(Lineups!$O$4:$O$41=$B59),Lineups!$W$4:$W$41))</f>
        <v>0</v>
      </c>
      <c r="I59" s="142">
        <f ca="1">IF($B59="","",SUMPRODUCT(--(Lineups!$S$4:$S$41=$B59),Lineups!$W$4:$W$41))</f>
        <v>0</v>
      </c>
      <c r="J59" s="16">
        <f t="shared" ca="1" si="38"/>
        <v>0</v>
      </c>
      <c r="L59" s="16">
        <f t="shared" ca="1" si="39"/>
        <v>0</v>
      </c>
      <c r="O59" s="16">
        <f ca="1">IF($B59="","",SUMPRODUCT(--(Lineups!$C$4:$C$41=$B59),Lineups!$W$4:$W$41))</f>
        <v>0</v>
      </c>
      <c r="Q59" s="16">
        <f t="shared" ca="1" si="40"/>
        <v>0</v>
      </c>
      <c r="T59" s="16">
        <f t="shared" si="41"/>
        <v>5</v>
      </c>
      <c r="U59" s="16" t="str">
        <f t="shared" si="42"/>
        <v>219</v>
      </c>
      <c r="V59" s="16" t="str">
        <f t="shared" si="42"/>
        <v>Dakota Slamming</v>
      </c>
      <c r="W59" s="16">
        <f ca="1">IF($U59="","",SUMPRODUCT(--(Lineups!$AG$4:$AG$41=$U59),--(Lineups!$AB$4:$AB$41=""),Lineups!$AW$4:$AW$41))</f>
        <v>13</v>
      </c>
      <c r="Y59" s="142">
        <f ca="1">IF($U59="","",SUMPRODUCT(--(Lineups!$AG$4:$AG$41=$U59),--(Lineups!$AB$4:$AB$41="X"),Lineups!$AW$4:$AW$41))</f>
        <v>0</v>
      </c>
      <c r="Z59" s="142">
        <f ca="1">IF($U59="","",SUMPRODUCT(--(Lineups!$AK$4:$AK$41=$U59),Lineups!$AW$4:$AW$41))</f>
        <v>4</v>
      </c>
      <c r="AA59" s="142">
        <f ca="1">IF($U59="","",SUMPRODUCT(--(Lineups!$AO$4:$AO$41=$U59),Lineups!$AW$4:$AW$41))</f>
        <v>0</v>
      </c>
      <c r="AB59" s="142">
        <f ca="1">IF($U59="","",SUMPRODUCT(--(Lineups!$AS$4:$AS$41=$U59),Lineups!$AW$4:$AW$41))</f>
        <v>0</v>
      </c>
      <c r="AC59" s="16">
        <f t="shared" ca="1" si="43"/>
        <v>4</v>
      </c>
      <c r="AE59" s="16">
        <f t="shared" ca="1" si="44"/>
        <v>17</v>
      </c>
      <c r="AH59" s="16">
        <f ca="1">IF($U59="","",SUMPRODUCT(--(Lineups!$AC$4:$AC$41=$U59),Lineups!$AW$4:$AW$41))</f>
        <v>4</v>
      </c>
      <c r="AJ59" s="16">
        <f t="shared" ca="1" si="45"/>
        <v>21</v>
      </c>
    </row>
    <row r="60" spans="1:37" x14ac:dyDescent="0.3">
      <c r="A60" s="131">
        <f t="shared" si="36"/>
        <v>6</v>
      </c>
      <c r="B60" s="131" t="str">
        <f t="shared" si="37"/>
        <v>221*</v>
      </c>
      <c r="C60" s="131" t="str">
        <f t="shared" si="37"/>
        <v>Kili Pepa</v>
      </c>
      <c r="D60" s="131">
        <f ca="1">IF($B60="","",SUMPRODUCT(--(Lineups!$G$4:$G$41=$B60),--(Lineups!$B$4:$B$41=""),Lineups!$W$4:$W$41))</f>
        <v>0</v>
      </c>
      <c r="F60" s="142">
        <f ca="1">IF($B60="","",SUMPRODUCT(--(Lineups!$G$4:$G$41=$B60),--(Lineups!$B$4:$B$41="X"),Lineups!$W$4:$W$41))</f>
        <v>0</v>
      </c>
      <c r="G60" s="142">
        <f ca="1">IF($B60="","",SUMPRODUCT(--(Lineups!$K$4:$K$41=$B60),Lineups!$W$4:$W$41))</f>
        <v>0</v>
      </c>
      <c r="H60" s="142">
        <f ca="1">IF($B60="","",SUMPRODUCT(--(Lineups!$O$4:$O$41=$B60),Lineups!$W$4:$W$41))</f>
        <v>0</v>
      </c>
      <c r="I60" s="142">
        <f ca="1">IF($B60="","",SUMPRODUCT(--(Lineups!$S$4:$S$41=$B60),Lineups!$W$4:$W$41))</f>
        <v>0</v>
      </c>
      <c r="J60" s="131">
        <f t="shared" ca="1" si="38"/>
        <v>0</v>
      </c>
      <c r="L60" s="131">
        <f t="shared" ca="1" si="39"/>
        <v>0</v>
      </c>
      <c r="O60" s="131">
        <f ca="1">IF($B60="","",SUMPRODUCT(--(Lineups!$C$4:$C$41=$B60),Lineups!$W$4:$W$41))</f>
        <v>0</v>
      </c>
      <c r="Q60" s="131">
        <f t="shared" ca="1" si="40"/>
        <v>0</v>
      </c>
      <c r="T60" s="131">
        <f t="shared" si="41"/>
        <v>6</v>
      </c>
      <c r="U60" s="131" t="str">
        <f t="shared" si="42"/>
        <v>22</v>
      </c>
      <c r="V60" s="131" t="str">
        <f t="shared" si="42"/>
        <v>Dammit Jammit</v>
      </c>
      <c r="W60" s="131">
        <f ca="1">IF($U60="","",SUMPRODUCT(--(Lineups!$AG$4:$AG$41=$U60),--(Lineups!$AB$4:$AB$41=""),Lineups!$AW$4:$AW$41))</f>
        <v>3</v>
      </c>
      <c r="Y60" s="142">
        <f ca="1">IF($U60="","",SUMPRODUCT(--(Lineups!$AG$4:$AG$41=$U60),--(Lineups!$AB$4:$AB$41="X"),Lineups!$AW$4:$AW$41))</f>
        <v>0</v>
      </c>
      <c r="Z60" s="142">
        <f ca="1">IF($U60="","",SUMPRODUCT(--(Lineups!$AK$4:$AK$41=$U60),Lineups!$AW$4:$AW$41))</f>
        <v>4</v>
      </c>
      <c r="AA60" s="142">
        <f ca="1">IF($U60="","",SUMPRODUCT(--(Lineups!$AO$4:$AO$41=$U60),Lineups!$AW$4:$AW$41))</f>
        <v>7</v>
      </c>
      <c r="AB60" s="142">
        <f ca="1">IF($U60="","",SUMPRODUCT(--(Lineups!$AS$4:$AS$41=$U60),Lineups!$AW$4:$AW$41))</f>
        <v>11</v>
      </c>
      <c r="AC60" s="131">
        <f t="shared" ca="1" si="43"/>
        <v>22</v>
      </c>
      <c r="AE60" s="131">
        <f t="shared" ca="1" si="44"/>
        <v>25</v>
      </c>
      <c r="AH60" s="131">
        <f ca="1">IF($U60="","",SUMPRODUCT(--(Lineups!$AC$4:$AC$41=$U60),Lineups!$AW$4:$AW$41))</f>
        <v>0</v>
      </c>
      <c r="AJ60" s="131">
        <f t="shared" ca="1" si="45"/>
        <v>25</v>
      </c>
    </row>
    <row r="61" spans="1:37" x14ac:dyDescent="0.3">
      <c r="A61" s="16">
        <f t="shared" si="36"/>
        <v>7</v>
      </c>
      <c r="B61" s="16" t="str">
        <f t="shared" si="37"/>
        <v>229</v>
      </c>
      <c r="C61" s="16" t="str">
        <f t="shared" si="37"/>
        <v>Sparky</v>
      </c>
      <c r="D61" s="16">
        <f ca="1">IF($B61="","",SUMPRODUCT(--(Lineups!$G$4:$G$41=$B61),--(Lineups!$B$4:$B$41=""),Lineups!$W$4:$W$41))</f>
        <v>0</v>
      </c>
      <c r="F61" s="142">
        <f ca="1">IF($B61="","",SUMPRODUCT(--(Lineups!$G$4:$G$41=$B61),--(Lineups!$B$4:$B$41="X"),Lineups!$W$4:$W$41))</f>
        <v>0</v>
      </c>
      <c r="G61" s="142">
        <f ca="1">IF($B61="","",SUMPRODUCT(--(Lineups!$K$4:$K$41=$B61),Lineups!$W$4:$W$41))</f>
        <v>0</v>
      </c>
      <c r="H61" s="142">
        <f ca="1">IF($B61="","",SUMPRODUCT(--(Lineups!$O$4:$O$41=$B61),Lineups!$W$4:$W$41))</f>
        <v>8</v>
      </c>
      <c r="I61" s="142">
        <f ca="1">IF($B61="","",SUMPRODUCT(--(Lineups!$S$4:$S$41=$B61),Lineups!$W$4:$W$41))</f>
        <v>0</v>
      </c>
      <c r="J61" s="16">
        <f t="shared" ca="1" si="38"/>
        <v>8</v>
      </c>
      <c r="L61" s="16">
        <f t="shared" ca="1" si="39"/>
        <v>8</v>
      </c>
      <c r="O61" s="16">
        <f ca="1">IF($B61="","",SUMPRODUCT(--(Lineups!$C$4:$C$41=$B61),Lineups!$W$4:$W$41))</f>
        <v>0</v>
      </c>
      <c r="Q61" s="16">
        <f t="shared" ca="1" si="40"/>
        <v>8</v>
      </c>
      <c r="T61" s="16">
        <f t="shared" si="41"/>
        <v>7</v>
      </c>
      <c r="U61" s="16" t="str">
        <f t="shared" si="42"/>
        <v>223</v>
      </c>
      <c r="V61" s="16" t="str">
        <f t="shared" si="42"/>
        <v>Frida Killah</v>
      </c>
      <c r="W61" s="16">
        <f ca="1">IF($U61="","",SUMPRODUCT(--(Lineups!$AG$4:$AG$41=$U61),--(Lineups!$AB$4:$AB$41=""),Lineups!$AW$4:$AW$41))</f>
        <v>0</v>
      </c>
      <c r="Y61" s="142">
        <f ca="1">IF($U61="","",SUMPRODUCT(--(Lineups!$AG$4:$AG$41=$U61),--(Lineups!$AB$4:$AB$41="X"),Lineups!$AW$4:$AW$41))</f>
        <v>4</v>
      </c>
      <c r="Z61" s="142">
        <f ca="1">IF($U61="","",SUMPRODUCT(--(Lineups!$AK$4:$AK$41=$U61),Lineups!$AW$4:$AW$41))</f>
        <v>0</v>
      </c>
      <c r="AA61" s="142">
        <f ca="1">IF($U61="","",SUMPRODUCT(--(Lineups!$AO$4:$AO$41=$U61),Lineups!$AW$4:$AW$41))</f>
        <v>0</v>
      </c>
      <c r="AB61" s="142">
        <f ca="1">IF($U61="","",SUMPRODUCT(--(Lineups!$AS$4:$AS$41=$U61),Lineups!$AW$4:$AW$41))</f>
        <v>0</v>
      </c>
      <c r="AC61" s="16">
        <f t="shared" ca="1" si="43"/>
        <v>4</v>
      </c>
      <c r="AE61" s="16">
        <f t="shared" ca="1" si="44"/>
        <v>4</v>
      </c>
      <c r="AH61" s="16">
        <f ca="1">IF($U61="","",SUMPRODUCT(--(Lineups!$AC$4:$AC$41=$U61),Lineups!$AW$4:$AW$41))</f>
        <v>0</v>
      </c>
      <c r="AJ61" s="16">
        <f t="shared" ca="1" si="45"/>
        <v>4</v>
      </c>
    </row>
    <row r="62" spans="1:37" x14ac:dyDescent="0.3">
      <c r="A62" s="131">
        <f t="shared" si="36"/>
        <v>8</v>
      </c>
      <c r="B62" s="131" t="str">
        <f t="shared" si="37"/>
        <v>237</v>
      </c>
      <c r="C62" s="131" t="str">
        <f t="shared" si="37"/>
        <v>RedRum</v>
      </c>
      <c r="D62" s="131">
        <f ca="1">IF($B62="","",SUMPRODUCT(--(Lineups!$G$4:$G$41=$B62),--(Lineups!$B$4:$B$41=""),Lineups!$W$4:$W$41))</f>
        <v>0</v>
      </c>
      <c r="F62" s="142">
        <f ca="1">IF($B62="","",SUMPRODUCT(--(Lineups!$G$4:$G$41=$B62),--(Lineups!$B$4:$B$41="X"),Lineups!$W$4:$W$41))</f>
        <v>0</v>
      </c>
      <c r="G62" s="142">
        <f ca="1">IF($B62="","",SUMPRODUCT(--(Lineups!$K$4:$K$41=$B62),Lineups!$W$4:$W$41))</f>
        <v>12</v>
      </c>
      <c r="H62" s="142">
        <f ca="1">IF($B62="","",SUMPRODUCT(--(Lineups!$O$4:$O$41=$B62),Lineups!$W$4:$W$41))</f>
        <v>7</v>
      </c>
      <c r="I62" s="142">
        <f ca="1">IF($B62="","",SUMPRODUCT(--(Lineups!$S$4:$S$41=$B62),Lineups!$W$4:$W$41))</f>
        <v>35</v>
      </c>
      <c r="J62" s="131">
        <f t="shared" ca="1" si="38"/>
        <v>54</v>
      </c>
      <c r="L62" s="131">
        <f t="shared" ca="1" si="39"/>
        <v>54</v>
      </c>
      <c r="O62" s="131">
        <f ca="1">IF($B62="","",SUMPRODUCT(--(Lineups!$C$4:$C$41=$B62),Lineups!$W$4:$W$41))</f>
        <v>0</v>
      </c>
      <c r="Q62" s="131">
        <f t="shared" ca="1" si="40"/>
        <v>54</v>
      </c>
      <c r="T62" s="131">
        <f t="shared" si="41"/>
        <v>8</v>
      </c>
      <c r="U62" s="131" t="str">
        <f t="shared" si="42"/>
        <v>23</v>
      </c>
      <c r="V62" s="131" t="str">
        <f t="shared" si="42"/>
        <v>Towanda Woman</v>
      </c>
      <c r="W62" s="131">
        <f ca="1">IF($U62="","",SUMPRODUCT(--(Lineups!$AG$4:$AG$41=$U62),--(Lineups!$AB$4:$AB$41=""),Lineups!$AW$4:$AW$41))</f>
        <v>0</v>
      </c>
      <c r="Y62" s="142">
        <f ca="1">IF($U62="","",SUMPRODUCT(--(Lineups!$AG$4:$AG$41=$U62),--(Lineups!$AB$4:$AB$41="X"),Lineups!$AW$4:$AW$41))</f>
        <v>0</v>
      </c>
      <c r="Z62" s="142">
        <f ca="1">IF($U62="","",SUMPRODUCT(--(Lineups!$AK$4:$AK$41=$U62),Lineups!$AW$4:$AW$41))</f>
        <v>0</v>
      </c>
      <c r="AA62" s="142">
        <f ca="1">IF($U62="","",SUMPRODUCT(--(Lineups!$AO$4:$AO$41=$U62),Lineups!$AW$4:$AW$41))</f>
        <v>0</v>
      </c>
      <c r="AB62" s="142">
        <f ca="1">IF($U62="","",SUMPRODUCT(--(Lineups!$AS$4:$AS$41=$U62),Lineups!$AW$4:$AW$41))</f>
        <v>0</v>
      </c>
      <c r="AC62" s="131">
        <f t="shared" ca="1" si="43"/>
        <v>0</v>
      </c>
      <c r="AE62" s="131">
        <f t="shared" ca="1" si="44"/>
        <v>0</v>
      </c>
      <c r="AH62" s="131">
        <f ca="1">IF($U62="","",SUMPRODUCT(--(Lineups!$AC$4:$AC$41=$U62),Lineups!$AW$4:$AW$41))</f>
        <v>9</v>
      </c>
      <c r="AJ62" s="131">
        <f t="shared" ca="1" si="45"/>
        <v>9</v>
      </c>
    </row>
    <row r="63" spans="1:37" x14ac:dyDescent="0.3">
      <c r="A63" s="16">
        <f t="shared" si="36"/>
        <v>9</v>
      </c>
      <c r="B63" s="16" t="str">
        <f t="shared" si="37"/>
        <v>282*</v>
      </c>
      <c r="C63" s="16" t="str">
        <f t="shared" si="37"/>
        <v>Dash Ketchum</v>
      </c>
      <c r="D63" s="16">
        <f ca="1">IF($B63="","",SUMPRODUCT(--(Lineups!$G$4:$G$41=$B63),--(Lineups!$B$4:$B$41=""),Lineups!$W$4:$W$41))</f>
        <v>0</v>
      </c>
      <c r="F63" s="142">
        <f ca="1">IF($B63="","",SUMPRODUCT(--(Lineups!$G$4:$G$41=$B63),--(Lineups!$B$4:$B$41="X"),Lineups!$W$4:$W$41))</f>
        <v>0</v>
      </c>
      <c r="G63" s="142">
        <f ca="1">IF($B63="","",SUMPRODUCT(--(Lineups!$K$4:$K$41=$B63),Lineups!$W$4:$W$41))</f>
        <v>0</v>
      </c>
      <c r="H63" s="142">
        <f ca="1">IF($B63="","",SUMPRODUCT(--(Lineups!$O$4:$O$41=$B63),Lineups!$W$4:$W$41))</f>
        <v>0</v>
      </c>
      <c r="I63" s="142">
        <f ca="1">IF($B63="","",SUMPRODUCT(--(Lineups!$S$4:$S$41=$B63),Lineups!$W$4:$W$41))</f>
        <v>0</v>
      </c>
      <c r="J63" s="16">
        <f t="shared" ca="1" si="38"/>
        <v>0</v>
      </c>
      <c r="L63" s="16">
        <f t="shared" ca="1" si="39"/>
        <v>0</v>
      </c>
      <c r="O63" s="16">
        <f ca="1">IF($B63="","",SUMPRODUCT(--(Lineups!$C$4:$C$41=$B63),Lineups!$W$4:$W$41))</f>
        <v>0</v>
      </c>
      <c r="Q63" s="16">
        <f t="shared" ca="1" si="40"/>
        <v>0</v>
      </c>
      <c r="T63" s="16">
        <f t="shared" si="41"/>
        <v>9</v>
      </c>
      <c r="U63" s="16" t="str">
        <f t="shared" si="42"/>
        <v>25</v>
      </c>
      <c r="V63" s="16" t="str">
        <f t="shared" si="42"/>
        <v>Ally McKill</v>
      </c>
      <c r="W63" s="16">
        <f ca="1">IF($U63="","",SUMPRODUCT(--(Lineups!$AG$4:$AG$41=$U63),--(Lineups!$AB$4:$AB$41=""),Lineups!$AW$4:$AW$41))</f>
        <v>4</v>
      </c>
      <c r="Y63" s="142">
        <f ca="1">IF($U63="","",SUMPRODUCT(--(Lineups!$AG$4:$AG$41=$U63),--(Lineups!$AB$4:$AB$41="X"),Lineups!$AW$4:$AW$41))</f>
        <v>0</v>
      </c>
      <c r="Z63" s="142">
        <f ca="1">IF($U63="","",SUMPRODUCT(--(Lineups!$AK$4:$AK$41=$U63),Lineups!$AW$4:$AW$41))</f>
        <v>10</v>
      </c>
      <c r="AA63" s="142">
        <f ca="1">IF($U63="","",SUMPRODUCT(--(Lineups!$AO$4:$AO$41=$U63),Lineups!$AW$4:$AW$41))</f>
        <v>3</v>
      </c>
      <c r="AB63" s="142">
        <f ca="1">IF($U63="","",SUMPRODUCT(--(Lineups!$AS$4:$AS$41=$U63),Lineups!$AW$4:$AW$41))</f>
        <v>4</v>
      </c>
      <c r="AC63" s="16">
        <f t="shared" ca="1" si="43"/>
        <v>17</v>
      </c>
      <c r="AE63" s="16">
        <f t="shared" ca="1" si="44"/>
        <v>21</v>
      </c>
      <c r="AH63" s="16">
        <f ca="1">IF($U63="","",SUMPRODUCT(--(Lineups!$AC$4:$AC$41=$U63),Lineups!$AW$4:$AW$41))</f>
        <v>0</v>
      </c>
      <c r="AJ63" s="16">
        <f t="shared" ca="1" si="45"/>
        <v>21</v>
      </c>
    </row>
    <row r="64" spans="1:37" x14ac:dyDescent="0.3">
      <c r="A64" s="131">
        <f t="shared" si="36"/>
        <v>10</v>
      </c>
      <c r="B64" s="131" t="str">
        <f t="shared" si="37"/>
        <v>337</v>
      </c>
      <c r="C64" s="131" t="str">
        <f t="shared" si="37"/>
        <v>Susan Sure Ram Dem</v>
      </c>
      <c r="D64" s="131">
        <f ca="1">IF($B64="","",SUMPRODUCT(--(Lineups!$G$4:$G$41=$B64),--(Lineups!$B$4:$B$41=""),Lineups!$W$4:$W$41))</f>
        <v>0</v>
      </c>
      <c r="F64" s="142">
        <f ca="1">IF($B64="","",SUMPRODUCT(--(Lineups!$G$4:$G$41=$B64),--(Lineups!$B$4:$B$41="X"),Lineups!$W$4:$W$41))</f>
        <v>0</v>
      </c>
      <c r="G64" s="142">
        <f ca="1">IF($B64="","",SUMPRODUCT(--(Lineups!$K$4:$K$41=$B64),Lineups!$W$4:$W$41))</f>
        <v>4</v>
      </c>
      <c r="H64" s="142">
        <f ca="1">IF($B64="","",SUMPRODUCT(--(Lineups!$O$4:$O$41=$B64),Lineups!$W$4:$W$41))</f>
        <v>12</v>
      </c>
      <c r="I64" s="142">
        <f ca="1">IF($B64="","",SUMPRODUCT(--(Lineups!$S$4:$S$41=$B64),Lineups!$W$4:$W$41))</f>
        <v>0</v>
      </c>
      <c r="J64" s="131">
        <f t="shared" ca="1" si="38"/>
        <v>16</v>
      </c>
      <c r="L64" s="131">
        <f t="shared" ca="1" si="39"/>
        <v>16</v>
      </c>
      <c r="O64" s="131">
        <f ca="1">IF($B64="","",SUMPRODUCT(--(Lineups!$C$4:$C$41=$B64),Lineups!$W$4:$W$41))</f>
        <v>0</v>
      </c>
      <c r="Q64" s="131">
        <f t="shared" ca="1" si="40"/>
        <v>16</v>
      </c>
      <c r="T64" s="131">
        <f t="shared" si="41"/>
        <v>10</v>
      </c>
      <c r="U64" s="131" t="str">
        <f t="shared" si="42"/>
        <v>26</v>
      </c>
      <c r="V64" s="131" t="str">
        <f t="shared" si="42"/>
        <v>Strange</v>
      </c>
      <c r="W64" s="131">
        <f ca="1">IF($U64="","",SUMPRODUCT(--(Lineups!$AG$4:$AG$41=$U64),--(Lineups!$AB$4:$AB$41=""),Lineups!$AW$4:$AW$41))</f>
        <v>0</v>
      </c>
      <c r="Y64" s="142">
        <f ca="1">IF($U64="","",SUMPRODUCT(--(Lineups!$AG$4:$AG$41=$U64),--(Lineups!$AB$4:$AB$41="X"),Lineups!$AW$4:$AW$41))</f>
        <v>0</v>
      </c>
      <c r="Z64" s="142">
        <f ca="1">IF($U64="","",SUMPRODUCT(--(Lineups!$AK$4:$AK$41=$U64),Lineups!$AW$4:$AW$41))</f>
        <v>4</v>
      </c>
      <c r="AA64" s="142">
        <f ca="1">IF($U64="","",SUMPRODUCT(--(Lineups!$AO$4:$AO$41=$U64),Lineups!$AW$4:$AW$41))</f>
        <v>14</v>
      </c>
      <c r="AB64" s="142">
        <f ca="1">IF($U64="","",SUMPRODUCT(--(Lineups!$AS$4:$AS$41=$U64),Lineups!$AW$4:$AW$41))</f>
        <v>3</v>
      </c>
      <c r="AC64" s="131">
        <f t="shared" ca="1" si="43"/>
        <v>21</v>
      </c>
      <c r="AE64" s="131">
        <f t="shared" ca="1" si="44"/>
        <v>21</v>
      </c>
      <c r="AH64" s="131">
        <f ca="1">IF($U64="","",SUMPRODUCT(--(Lineups!$AC$4:$AC$41=$U64),Lineups!$AW$4:$AW$41))</f>
        <v>0</v>
      </c>
      <c r="AJ64" s="131">
        <f t="shared" ca="1" si="45"/>
        <v>21</v>
      </c>
    </row>
    <row r="65" spans="1:37" x14ac:dyDescent="0.3">
      <c r="A65" s="16">
        <f t="shared" si="36"/>
        <v>11</v>
      </c>
      <c r="B65" s="16" t="str">
        <f t="shared" si="37"/>
        <v>352</v>
      </c>
      <c r="C65" s="16" t="str">
        <f t="shared" si="37"/>
        <v>Olive Havoc</v>
      </c>
      <c r="D65" s="16">
        <f ca="1">IF($B65="","",SUMPRODUCT(--(Lineups!$G$4:$G$41=$B65),--(Lineups!$B$4:$B$41=""),Lineups!$W$4:$W$41))</f>
        <v>0</v>
      </c>
      <c r="F65" s="142">
        <f ca="1">IF($B65="","",SUMPRODUCT(--(Lineups!$G$4:$G$41=$B65),--(Lineups!$B$4:$B$41="X"),Lineups!$W$4:$W$41))</f>
        <v>0</v>
      </c>
      <c r="G65" s="142">
        <f ca="1">IF($B65="","",SUMPRODUCT(--(Lineups!$K$4:$K$41=$B65),Lineups!$W$4:$W$41))</f>
        <v>0</v>
      </c>
      <c r="H65" s="142">
        <f ca="1">IF($B65="","",SUMPRODUCT(--(Lineups!$O$4:$O$41=$B65),Lineups!$W$4:$W$41))</f>
        <v>0</v>
      </c>
      <c r="I65" s="142">
        <f ca="1">IF($B65="","",SUMPRODUCT(--(Lineups!$S$4:$S$41=$B65),Lineups!$W$4:$W$41))</f>
        <v>0</v>
      </c>
      <c r="J65" s="16">
        <f t="shared" ca="1" si="38"/>
        <v>0</v>
      </c>
      <c r="L65" s="16">
        <f t="shared" ca="1" si="39"/>
        <v>0</v>
      </c>
      <c r="O65" s="16">
        <f ca="1">IF($B65="","",SUMPRODUCT(--(Lineups!$C$4:$C$41=$B65),Lineups!$W$4:$W$41))</f>
        <v>11</v>
      </c>
      <c r="Q65" s="16">
        <f t="shared" ca="1" si="40"/>
        <v>11</v>
      </c>
      <c r="T65" s="16">
        <f t="shared" si="41"/>
        <v>11</v>
      </c>
      <c r="U65" s="16" t="str">
        <f t="shared" si="42"/>
        <v>49</v>
      </c>
      <c r="V65" s="16" t="str">
        <f t="shared" si="42"/>
        <v>Gnarly Manson</v>
      </c>
      <c r="W65" s="16">
        <f ca="1">IF($U65="","",SUMPRODUCT(--(Lineups!$AG$4:$AG$41=$U65),--(Lineups!$AB$4:$AB$41=""),Lineups!$AW$4:$AW$41))</f>
        <v>0</v>
      </c>
      <c r="Y65" s="142">
        <f ca="1">IF($U65="","",SUMPRODUCT(--(Lineups!$AG$4:$AG$41=$U65),--(Lineups!$AB$4:$AB$41="X"),Lineups!$AW$4:$AW$41))</f>
        <v>0</v>
      </c>
      <c r="Z65" s="142">
        <f ca="1">IF($U65="","",SUMPRODUCT(--(Lineups!$AK$4:$AK$41=$U65),Lineups!$AW$4:$AW$41))</f>
        <v>3</v>
      </c>
      <c r="AA65" s="142">
        <f ca="1">IF($U65="","",SUMPRODUCT(--(Lineups!$AO$4:$AO$41=$U65),Lineups!$AW$4:$AW$41))</f>
        <v>0</v>
      </c>
      <c r="AB65" s="142">
        <f ca="1">IF($U65="","",SUMPRODUCT(--(Lineups!$AS$4:$AS$41=$U65),Lineups!$AW$4:$AW$41))</f>
        <v>0</v>
      </c>
      <c r="AC65" s="16">
        <f t="shared" ca="1" si="43"/>
        <v>3</v>
      </c>
      <c r="AE65" s="16">
        <f t="shared" ca="1" si="44"/>
        <v>3</v>
      </c>
      <c r="AH65" s="16">
        <f ca="1">IF($U65="","",SUMPRODUCT(--(Lineups!$AC$4:$AC$41=$U65),Lineups!$AW$4:$AW$41))</f>
        <v>0</v>
      </c>
      <c r="AJ65" s="16">
        <f t="shared" ca="1" si="45"/>
        <v>3</v>
      </c>
    </row>
    <row r="66" spans="1:37" x14ac:dyDescent="0.3">
      <c r="A66" s="131">
        <f t="shared" si="36"/>
        <v>12</v>
      </c>
      <c r="B66" s="131" t="str">
        <f t="shared" si="37"/>
        <v>36</v>
      </c>
      <c r="C66" s="131" t="str">
        <f t="shared" si="37"/>
        <v>Meanie</v>
      </c>
      <c r="D66" s="131">
        <f ca="1">IF($B66="","",SUMPRODUCT(--(Lineups!$G$4:$G$41=$B66),--(Lineups!$B$4:$B$41=""),Lineups!$W$4:$W$41))</f>
        <v>0</v>
      </c>
      <c r="F66" s="142">
        <f ca="1">IF($B66="","",SUMPRODUCT(--(Lineups!$G$4:$G$41=$B66),--(Lineups!$B$4:$B$41="X"),Lineups!$W$4:$W$41))</f>
        <v>0</v>
      </c>
      <c r="G66" s="142">
        <f ca="1">IF($B66="","",SUMPRODUCT(--(Lineups!$K$4:$K$41=$B66),Lineups!$W$4:$W$41))</f>
        <v>0</v>
      </c>
      <c r="H66" s="142">
        <f ca="1">IF($B66="","",SUMPRODUCT(--(Lineups!$O$4:$O$41=$B66),Lineups!$W$4:$W$41))</f>
        <v>4</v>
      </c>
      <c r="I66" s="142">
        <f ca="1">IF($B66="","",SUMPRODUCT(--(Lineups!$S$4:$S$41=$B66),Lineups!$W$4:$W$41))</f>
        <v>3</v>
      </c>
      <c r="J66" s="131">
        <f t="shared" ca="1" si="38"/>
        <v>7</v>
      </c>
      <c r="L66" s="131">
        <f t="shared" ca="1" si="39"/>
        <v>7</v>
      </c>
      <c r="O66" s="131">
        <f ca="1">IF($B66="","",SUMPRODUCT(--(Lineups!$C$4:$C$41=$B66),Lineups!$W$4:$W$41))</f>
        <v>0</v>
      </c>
      <c r="Q66" s="131">
        <f t="shared" ca="1" si="40"/>
        <v>7</v>
      </c>
      <c r="T66" s="131">
        <f t="shared" si="41"/>
        <v>12</v>
      </c>
      <c r="U66" s="131" t="str">
        <f t="shared" si="42"/>
        <v>78</v>
      </c>
      <c r="V66" s="131" t="str">
        <f t="shared" si="42"/>
        <v>Debbie Scary</v>
      </c>
      <c r="W66" s="131">
        <f ca="1">IF($U66="","",SUMPRODUCT(--(Lineups!$AG$4:$AG$41=$U66),--(Lineups!$AB$4:$AB$41=""),Lineups!$AW$4:$AW$41))</f>
        <v>0</v>
      </c>
      <c r="Y66" s="142">
        <f ca="1">IF($U66="","",SUMPRODUCT(--(Lineups!$AG$4:$AG$41=$U66),--(Lineups!$AB$4:$AB$41="X"),Lineups!$AW$4:$AW$41))</f>
        <v>0</v>
      </c>
      <c r="Z66" s="142">
        <f ca="1">IF($U66="","",SUMPRODUCT(--(Lineups!$AK$4:$AK$41=$U66),Lineups!$AW$4:$AW$41))</f>
        <v>0</v>
      </c>
      <c r="AA66" s="142">
        <f ca="1">IF($U66="","",SUMPRODUCT(--(Lineups!$AO$4:$AO$41=$U66),Lineups!$AW$4:$AW$41))</f>
        <v>0</v>
      </c>
      <c r="AB66" s="142">
        <f ca="1">IF($U66="","",SUMPRODUCT(--(Lineups!$AS$4:$AS$41=$U66),Lineups!$AW$4:$AW$41))</f>
        <v>0</v>
      </c>
      <c r="AC66" s="131">
        <f t="shared" ca="1" si="43"/>
        <v>0</v>
      </c>
      <c r="AE66" s="131">
        <f t="shared" ca="1" si="44"/>
        <v>0</v>
      </c>
      <c r="AH66" s="131">
        <f ca="1">IF($U66="","",SUMPRODUCT(--(Lineups!$AC$4:$AC$41=$U66),Lineups!$AW$4:$AW$41))</f>
        <v>0</v>
      </c>
      <c r="AJ66" s="131">
        <f t="shared" ca="1" si="45"/>
        <v>0</v>
      </c>
    </row>
    <row r="67" spans="1:37" x14ac:dyDescent="0.3">
      <c r="A67" s="16">
        <f t="shared" si="36"/>
        <v>13</v>
      </c>
      <c r="B67" s="16" t="str">
        <f t="shared" si="37"/>
        <v>64</v>
      </c>
      <c r="C67" s="16" t="str">
        <f t="shared" si="37"/>
        <v>Cruzella</v>
      </c>
      <c r="D67" s="16">
        <f ca="1">IF($B67="","",SUMPRODUCT(--(Lineups!$G$4:$G$41=$B67),--(Lineups!$B$4:$B$41=""),Lineups!$W$4:$W$41))</f>
        <v>0</v>
      </c>
      <c r="F67" s="142">
        <f ca="1">IF($B67="","",SUMPRODUCT(--(Lineups!$G$4:$G$41=$B67),--(Lineups!$B$4:$B$41="X"),Lineups!$W$4:$W$41))</f>
        <v>0</v>
      </c>
      <c r="G67" s="142">
        <f ca="1">IF($B67="","",SUMPRODUCT(--(Lineups!$K$4:$K$41=$B67),Lineups!$W$4:$W$41))</f>
        <v>0</v>
      </c>
      <c r="H67" s="142">
        <f ca="1">IF($B67="","",SUMPRODUCT(--(Lineups!$O$4:$O$41=$B67),Lineups!$W$4:$W$41))</f>
        <v>0</v>
      </c>
      <c r="I67" s="142">
        <f ca="1">IF($B67="","",SUMPRODUCT(--(Lineups!$S$4:$S$41=$B67),Lineups!$W$4:$W$41))</f>
        <v>0</v>
      </c>
      <c r="J67" s="16">
        <f t="shared" ca="1" si="38"/>
        <v>0</v>
      </c>
      <c r="L67" s="16">
        <f t="shared" ca="1" si="39"/>
        <v>0</v>
      </c>
      <c r="O67" s="16">
        <f ca="1">IF($B67="","",SUMPRODUCT(--(Lineups!$C$4:$C$41=$B67),Lineups!$W$4:$W$41))</f>
        <v>4</v>
      </c>
      <c r="Q67" s="16">
        <f t="shared" ca="1" si="40"/>
        <v>4</v>
      </c>
      <c r="T67" s="16">
        <f t="shared" si="41"/>
        <v>13</v>
      </c>
      <c r="U67" s="16" t="str">
        <f t="shared" si="42"/>
        <v>8*</v>
      </c>
      <c r="V67" s="16" t="str">
        <f t="shared" si="42"/>
        <v>Venus Thigh Trap</v>
      </c>
      <c r="W67" s="16">
        <f ca="1">IF($U67="","",SUMPRODUCT(--(Lineups!$AG$4:$AG$41=$U67),--(Lineups!$AB$4:$AB$41=""),Lineups!$AW$4:$AW$41))</f>
        <v>0</v>
      </c>
      <c r="Y67" s="142">
        <f ca="1">IF($U67="","",SUMPRODUCT(--(Lineups!$AG$4:$AG$41=$U67),--(Lineups!$AB$4:$AB$41="X"),Lineups!$AW$4:$AW$41))</f>
        <v>0</v>
      </c>
      <c r="Z67" s="142">
        <f ca="1">IF($U67="","",SUMPRODUCT(--(Lineups!$AK$4:$AK$41=$U67),Lineups!$AW$4:$AW$41))</f>
        <v>0</v>
      </c>
      <c r="AA67" s="142">
        <f ca="1">IF($U67="","",SUMPRODUCT(--(Lineups!$AO$4:$AO$41=$U67),Lineups!$AW$4:$AW$41))</f>
        <v>0</v>
      </c>
      <c r="AB67" s="142">
        <f ca="1">IF($U67="","",SUMPRODUCT(--(Lineups!$AS$4:$AS$41=$U67),Lineups!$AW$4:$AW$41))</f>
        <v>0</v>
      </c>
      <c r="AC67" s="16">
        <f t="shared" ca="1" si="43"/>
        <v>0</v>
      </c>
      <c r="AE67" s="16">
        <f t="shared" ca="1" si="44"/>
        <v>0</v>
      </c>
      <c r="AH67" s="16">
        <f ca="1">IF($U67="","",SUMPRODUCT(--(Lineups!$AC$4:$AC$41=$U67),Lineups!$AW$4:$AW$41))</f>
        <v>0</v>
      </c>
      <c r="AJ67" s="16">
        <f t="shared" ca="1" si="45"/>
        <v>0</v>
      </c>
    </row>
    <row r="68" spans="1:37" x14ac:dyDescent="0.3">
      <c r="A68" s="131">
        <f t="shared" si="36"/>
        <v>14</v>
      </c>
      <c r="B68" s="131" t="str">
        <f t="shared" si="37"/>
        <v>825</v>
      </c>
      <c r="C68" s="131" t="str">
        <f t="shared" si="37"/>
        <v>Rot-N 2 the Cor-E</v>
      </c>
      <c r="D68" s="131">
        <f ca="1">IF($B68="","",SUMPRODUCT(--(Lineups!$G$4:$G$41=$B68),--(Lineups!$B$4:$B$41=""),Lineups!$W$4:$W$41))</f>
        <v>12</v>
      </c>
      <c r="F68" s="142">
        <f ca="1">IF($B68="","",SUMPRODUCT(--(Lineups!$G$4:$G$41=$B68),--(Lineups!$B$4:$B$41="X"),Lineups!$W$4:$W$41))</f>
        <v>0</v>
      </c>
      <c r="G68" s="142">
        <f ca="1">IF($B68="","",SUMPRODUCT(--(Lineups!$K$4:$K$41=$B68),Lineups!$W$4:$W$41))</f>
        <v>0</v>
      </c>
      <c r="H68" s="142">
        <f ca="1">IF($B68="","",SUMPRODUCT(--(Lineups!$O$4:$O$41=$B68),Lineups!$W$4:$W$41))</f>
        <v>0</v>
      </c>
      <c r="I68" s="142">
        <f ca="1">IF($B68="","",SUMPRODUCT(--(Lineups!$S$4:$S$41=$B68),Lineups!$W$4:$W$41))</f>
        <v>0</v>
      </c>
      <c r="J68" s="131">
        <f t="shared" ca="1" si="38"/>
        <v>0</v>
      </c>
      <c r="L68" s="131">
        <f t="shared" ca="1" si="39"/>
        <v>12</v>
      </c>
      <c r="O68" s="131">
        <f ca="1">IF($B68="","",SUMPRODUCT(--(Lineups!$C$4:$C$41=$B68),Lineups!$W$4:$W$41))</f>
        <v>0</v>
      </c>
      <c r="Q68" s="131">
        <f t="shared" ca="1" si="40"/>
        <v>12</v>
      </c>
      <c r="T68" s="131">
        <f t="shared" si="41"/>
        <v>14</v>
      </c>
      <c r="U68" s="131" t="str">
        <f t="shared" si="42"/>
        <v>800</v>
      </c>
      <c r="V68" s="131" t="str">
        <f t="shared" si="42"/>
        <v>Terminate Her</v>
      </c>
      <c r="W68" s="131">
        <f ca="1">IF($U68="","",SUMPRODUCT(--(Lineups!$AG$4:$AG$41=$U68),--(Lineups!$AB$4:$AB$41=""),Lineups!$AW$4:$AW$41))</f>
        <v>14</v>
      </c>
      <c r="Y68" s="142">
        <f ca="1">IF($U68="","",SUMPRODUCT(--(Lineups!$AG$4:$AG$41=$U68),--(Lineups!$AB$4:$AB$41="X"),Lineups!$AW$4:$AW$41))</f>
        <v>0</v>
      </c>
      <c r="Z68" s="142">
        <f ca="1">IF($U68="","",SUMPRODUCT(--(Lineups!$AK$4:$AK$41=$U68),Lineups!$AW$4:$AW$41))</f>
        <v>0</v>
      </c>
      <c r="AA68" s="142">
        <f ca="1">IF($U68="","",SUMPRODUCT(--(Lineups!$AO$4:$AO$41=$U68),Lineups!$AW$4:$AW$41))</f>
        <v>7</v>
      </c>
      <c r="AB68" s="142">
        <f ca="1">IF($U68="","",SUMPRODUCT(--(Lineups!$AS$4:$AS$41=$U68),Lineups!$AW$4:$AW$41))</f>
        <v>0</v>
      </c>
      <c r="AC68" s="131">
        <f t="shared" ca="1" si="43"/>
        <v>7</v>
      </c>
      <c r="AE68" s="131">
        <f t="shared" ca="1" si="44"/>
        <v>21</v>
      </c>
      <c r="AH68" s="131">
        <f ca="1">IF($U68="","",SUMPRODUCT(--(Lineups!$AC$4:$AC$41=$U68),Lineups!$AW$4:$AW$41))</f>
        <v>0</v>
      </c>
      <c r="AJ68" s="131">
        <f t="shared" ca="1" si="45"/>
        <v>21</v>
      </c>
    </row>
    <row r="69" spans="1:37" x14ac:dyDescent="0.3">
      <c r="A69" s="16">
        <f t="shared" si="36"/>
        <v>15</v>
      </c>
      <c r="B69" s="16" t="str">
        <f t="shared" si="37"/>
        <v>83</v>
      </c>
      <c r="C69" s="16" t="str">
        <f t="shared" si="37"/>
        <v>Grit n Barite</v>
      </c>
      <c r="D69" s="16">
        <f ca="1">IF($B69="","",SUMPRODUCT(--(Lineups!$G$4:$G$41=$B69),--(Lineups!$B$4:$B$41=""),Lineups!$W$4:$W$41))</f>
        <v>0</v>
      </c>
      <c r="F69" s="142">
        <f ca="1">IF($B69="","",SUMPRODUCT(--(Lineups!$G$4:$G$41=$B69),--(Lineups!$B$4:$B$41="X"),Lineups!$W$4:$W$41))</f>
        <v>0</v>
      </c>
      <c r="G69" s="142">
        <f ca="1">IF($B69="","",SUMPRODUCT(--(Lineups!$K$4:$K$41=$B69),Lineups!$W$4:$W$41))</f>
        <v>7</v>
      </c>
      <c r="H69" s="142">
        <f ca="1">IF($B69="","",SUMPRODUCT(--(Lineups!$O$4:$O$41=$B69),Lineups!$W$4:$W$41))</f>
        <v>23</v>
      </c>
      <c r="I69" s="142">
        <f ca="1">IF($B69="","",SUMPRODUCT(--(Lineups!$S$4:$S$41=$B69),Lineups!$W$4:$W$41))</f>
        <v>0</v>
      </c>
      <c r="J69" s="16">
        <f t="shared" ca="1" si="38"/>
        <v>30</v>
      </c>
      <c r="L69" s="16">
        <f t="shared" ca="1" si="39"/>
        <v>30</v>
      </c>
      <c r="O69" s="16">
        <f ca="1">IF($B69="","",SUMPRODUCT(--(Lineups!$C$4:$C$41=$B69),Lineups!$W$4:$W$41))</f>
        <v>0</v>
      </c>
      <c r="Q69" s="16">
        <f t="shared" ca="1" si="40"/>
        <v>30</v>
      </c>
      <c r="T69" s="16">
        <f t="shared" si="41"/>
        <v>15</v>
      </c>
      <c r="U69" s="16" t="str">
        <f t="shared" si="42"/>
        <v>88*</v>
      </c>
      <c r="V69" s="16" t="str">
        <f t="shared" si="42"/>
        <v>Flux</v>
      </c>
      <c r="W69" s="16">
        <f ca="1">IF($U69="","",SUMPRODUCT(--(Lineups!$AG$4:$AG$41=$U69),--(Lineups!$AB$4:$AB$41=""),Lineups!$AW$4:$AW$41))</f>
        <v>0</v>
      </c>
      <c r="Y69" s="142">
        <f ca="1">IF($U69="","",SUMPRODUCT(--(Lineups!$AG$4:$AG$41=$U69),--(Lineups!$AB$4:$AB$41="X"),Lineups!$AW$4:$AW$41))</f>
        <v>0</v>
      </c>
      <c r="Z69" s="142">
        <f ca="1">IF($U69="","",SUMPRODUCT(--(Lineups!$AK$4:$AK$41=$U69),Lineups!$AW$4:$AW$41))</f>
        <v>0</v>
      </c>
      <c r="AA69" s="142">
        <f ca="1">IF($U69="","",SUMPRODUCT(--(Lineups!$AO$4:$AO$41=$U69),Lineups!$AW$4:$AW$41))</f>
        <v>0</v>
      </c>
      <c r="AB69" s="142">
        <f ca="1">IF($U69="","",SUMPRODUCT(--(Lineups!$AS$4:$AS$41=$U69),Lineups!$AW$4:$AW$41))</f>
        <v>0</v>
      </c>
      <c r="AC69" s="16">
        <f t="shared" ca="1" si="43"/>
        <v>0</v>
      </c>
      <c r="AE69" s="16">
        <f t="shared" ca="1" si="44"/>
        <v>0</v>
      </c>
      <c r="AH69" s="16">
        <f ca="1">IF($U69="","",SUMPRODUCT(--(Lineups!$AC$4:$AC$41=$U69),Lineups!$AW$4:$AW$41))</f>
        <v>0</v>
      </c>
      <c r="AJ69" s="16">
        <f t="shared" ca="1" si="45"/>
        <v>0</v>
      </c>
    </row>
    <row r="70" spans="1:37" x14ac:dyDescent="0.3">
      <c r="A70" s="131">
        <f t="shared" si="36"/>
        <v>16</v>
      </c>
      <c r="B70" s="131" t="str">
        <f t="shared" si="37"/>
        <v>84</v>
      </c>
      <c r="C70" s="131" t="str">
        <f t="shared" si="37"/>
        <v>Phoenix</v>
      </c>
      <c r="D70" s="131">
        <f ca="1">IF($B70="","",SUMPRODUCT(--(Lineups!$G$4:$G$41=$B70),--(Lineups!$B$4:$B$41=""),Lineups!$W$4:$W$41))</f>
        <v>42</v>
      </c>
      <c r="F70" s="142">
        <f ca="1">IF($B70="","",SUMPRODUCT(--(Lineups!$G$4:$G$41=$B70),--(Lineups!$B$4:$B$41="X"),Lineups!$W$4:$W$41))</f>
        <v>0</v>
      </c>
      <c r="G70" s="142">
        <f ca="1">IF($B70="","",SUMPRODUCT(--(Lineups!$K$4:$K$41=$B70),Lineups!$W$4:$W$41))</f>
        <v>4</v>
      </c>
      <c r="H70" s="142">
        <f ca="1">IF($B70="","",SUMPRODUCT(--(Lineups!$O$4:$O$41=$B70),Lineups!$W$4:$W$41))</f>
        <v>0</v>
      </c>
      <c r="I70" s="142">
        <f ca="1">IF($B70="","",SUMPRODUCT(--(Lineups!$S$4:$S$41=$B70),Lineups!$W$4:$W$41))</f>
        <v>0</v>
      </c>
      <c r="J70" s="131">
        <f t="shared" ca="1" si="38"/>
        <v>4</v>
      </c>
      <c r="L70" s="131">
        <f t="shared" ca="1" si="39"/>
        <v>46</v>
      </c>
      <c r="O70" s="131">
        <f ca="1">IF($B70="","",SUMPRODUCT(--(Lineups!$C$4:$C$41=$B70),Lineups!$W$4:$W$41))</f>
        <v>0</v>
      </c>
      <c r="Q70" s="131">
        <f t="shared" ca="1" si="40"/>
        <v>46</v>
      </c>
      <c r="T70" s="131">
        <f t="shared" si="41"/>
        <v>16</v>
      </c>
      <c r="U70" s="131" t="str">
        <f t="shared" si="42"/>
        <v>911</v>
      </c>
      <c r="V70" s="131" t="str">
        <f t="shared" si="42"/>
        <v>Annie Mergency</v>
      </c>
      <c r="W70" s="131">
        <f ca="1">IF($U70="","",SUMPRODUCT(--(Lineups!$AG$4:$AG$41=$U70),--(Lineups!$AB$4:$AB$41=""),Lineups!$AW$4:$AW$41))</f>
        <v>4</v>
      </c>
      <c r="Y70" s="142">
        <f ca="1">IF($U70="","",SUMPRODUCT(--(Lineups!$AG$4:$AG$41=$U70),--(Lineups!$AB$4:$AB$41="X"),Lineups!$AW$4:$AW$41))</f>
        <v>0</v>
      </c>
      <c r="Z70" s="142">
        <f ca="1">IF($U70="","",SUMPRODUCT(--(Lineups!$AK$4:$AK$41=$U70),Lineups!$AW$4:$AW$41))</f>
        <v>0</v>
      </c>
      <c r="AA70" s="142">
        <f ca="1">IF($U70="","",SUMPRODUCT(--(Lineups!$AO$4:$AO$41=$U70),Lineups!$AW$4:$AW$41))</f>
        <v>0</v>
      </c>
      <c r="AB70" s="142">
        <f ca="1">IF($U70="","",SUMPRODUCT(--(Lineups!$AS$4:$AS$41=$U70),Lineups!$AW$4:$AW$41))</f>
        <v>21</v>
      </c>
      <c r="AC70" s="131">
        <f t="shared" ca="1" si="43"/>
        <v>21</v>
      </c>
      <c r="AE70" s="131">
        <f t="shared" ca="1" si="44"/>
        <v>25</v>
      </c>
      <c r="AH70" s="131">
        <f ca="1">IF($U70="","",SUMPRODUCT(--(Lineups!$AC$4:$AC$41=$U70),Lineups!$AW$4:$AW$41))</f>
        <v>0</v>
      </c>
      <c r="AJ70" s="131">
        <f t="shared" ca="1" si="45"/>
        <v>25</v>
      </c>
    </row>
    <row r="71" spans="1:37" x14ac:dyDescent="0.3">
      <c r="A71" s="16">
        <f t="shared" si="36"/>
        <v>17</v>
      </c>
      <c r="B71" s="16" t="str">
        <f t="shared" si="37"/>
        <v>86</v>
      </c>
      <c r="C71" s="16" t="str">
        <f t="shared" si="37"/>
        <v>P.T.S.D.</v>
      </c>
      <c r="D71" s="16">
        <f ca="1">IF($B71="","",SUMPRODUCT(--(Lineups!$G$4:$G$41=$B71),--(Lineups!$B$4:$B$41=""),Lineups!$W$4:$W$41))</f>
        <v>0</v>
      </c>
      <c r="F71" s="142">
        <f ca="1">IF($B71="","",SUMPRODUCT(--(Lineups!$G$4:$G$41=$B71),--(Lineups!$B$4:$B$41="X"),Lineups!$W$4:$W$41))</f>
        <v>0</v>
      </c>
      <c r="G71" s="142">
        <f ca="1">IF($B71="","",SUMPRODUCT(--(Lineups!$K$4:$K$41=$B71),Lineups!$W$4:$W$41))</f>
        <v>12</v>
      </c>
      <c r="H71" s="142">
        <f ca="1">IF($B71="","",SUMPRODUCT(--(Lineups!$O$4:$O$41=$B71),Lineups!$W$4:$W$41))</f>
        <v>8</v>
      </c>
      <c r="I71" s="142">
        <f ca="1">IF($B71="","",SUMPRODUCT(--(Lineups!$S$4:$S$41=$B71),Lineups!$W$4:$W$41))</f>
        <v>8</v>
      </c>
      <c r="J71" s="16">
        <f t="shared" ca="1" si="38"/>
        <v>28</v>
      </c>
      <c r="L71" s="16">
        <f t="shared" ca="1" si="39"/>
        <v>28</v>
      </c>
      <c r="O71" s="16">
        <f ca="1">IF($B71="","",SUMPRODUCT(--(Lineups!$C$4:$C$41=$B71),Lineups!$W$4:$W$41))</f>
        <v>0</v>
      </c>
      <c r="Q71" s="16">
        <f t="shared" ca="1" si="40"/>
        <v>28</v>
      </c>
      <c r="T71" s="16">
        <f t="shared" si="41"/>
        <v>17</v>
      </c>
      <c r="U71" s="16" t="str">
        <f t="shared" si="42"/>
        <v>94</v>
      </c>
      <c r="V71" s="16" t="str">
        <f t="shared" si="42"/>
        <v>The Kraken</v>
      </c>
      <c r="W71" s="16">
        <f ca="1">IF($U71="","",SUMPRODUCT(--(Lineups!$AG$4:$AG$41=$U71),--(Lineups!$AB$4:$AB$41=""),Lineups!$AW$4:$AW$41))</f>
        <v>0</v>
      </c>
      <c r="Y71" s="142">
        <f ca="1">IF($U71="","",SUMPRODUCT(--(Lineups!$AG$4:$AG$41=$U71),--(Lineups!$AB$4:$AB$41="X"),Lineups!$AW$4:$AW$41))</f>
        <v>0</v>
      </c>
      <c r="Z71" s="142">
        <f ca="1">IF($U71="","",SUMPRODUCT(--(Lineups!$AK$4:$AK$41=$U71),Lineups!$AW$4:$AW$41))</f>
        <v>0</v>
      </c>
      <c r="AA71" s="142">
        <f ca="1">IF($U71="","",SUMPRODUCT(--(Lineups!$AO$4:$AO$41=$U71),Lineups!$AW$4:$AW$41))</f>
        <v>0</v>
      </c>
      <c r="AB71" s="142">
        <f ca="1">IF($U71="","",SUMPRODUCT(--(Lineups!$AS$4:$AS$41=$U71),Lineups!$AW$4:$AW$41))</f>
        <v>3</v>
      </c>
      <c r="AC71" s="16">
        <f t="shared" ca="1" si="43"/>
        <v>3</v>
      </c>
      <c r="AE71" s="16">
        <f t="shared" ca="1" si="44"/>
        <v>3</v>
      </c>
      <c r="AH71" s="16">
        <f ca="1">IF($U71="","",SUMPRODUCT(--(Lineups!$AC$4:$AC$41=$U71),Lineups!$AW$4:$AW$41))</f>
        <v>0</v>
      </c>
      <c r="AJ71" s="16">
        <f t="shared" ca="1" si="45"/>
        <v>3</v>
      </c>
    </row>
    <row r="72" spans="1:37" x14ac:dyDescent="0.3">
      <c r="A72" s="131">
        <f t="shared" si="36"/>
        <v>18</v>
      </c>
      <c r="B72" s="131" t="str">
        <f t="shared" si="37"/>
        <v/>
      </c>
      <c r="C72" s="131" t="str">
        <f t="shared" si="37"/>
        <v/>
      </c>
      <c r="D72" s="131" t="str">
        <f>IF($B72="","",SUMPRODUCT(--(Lineups!$G$4:$G$41=$B72),--(Lineups!$B$4:$B$41=""),Lineups!$W$4:$W$41))</f>
        <v/>
      </c>
      <c r="F72" s="142" t="str">
        <f>IF($B72="","",SUMPRODUCT(--(Lineups!$G$4:$G$41=$B72),--(Lineups!$B$4:$B$41="X"),Lineups!$W$4:$W$41))</f>
        <v/>
      </c>
      <c r="G72" s="142" t="str">
        <f>IF($B72="","",SUMPRODUCT(--(Lineups!$K$4:$K$41=$B72),Lineups!$W$4:$W$41))</f>
        <v/>
      </c>
      <c r="H72" s="142" t="str">
        <f>IF($B72="","",SUMPRODUCT(--(Lineups!$O$4:$O$41=$B72),Lineups!$W$4:$W$41))</f>
        <v/>
      </c>
      <c r="I72" s="142" t="str">
        <f>IF($B72="","",SUMPRODUCT(--(Lineups!$S$4:$S$41=$B72),Lineups!$W$4:$W$41))</f>
        <v/>
      </c>
      <c r="J72" s="131" t="str">
        <f t="shared" si="38"/>
        <v/>
      </c>
      <c r="L72" s="131" t="str">
        <f t="shared" si="39"/>
        <v/>
      </c>
      <c r="O72" s="131" t="str">
        <f>IF($B72="","",SUMPRODUCT(--(Lineups!$C$4:$C$41=$B72),Lineups!$W$4:$W$41))</f>
        <v/>
      </c>
      <c r="Q72" s="131" t="str">
        <f t="shared" si="40"/>
        <v/>
      </c>
      <c r="T72" s="131">
        <f t="shared" si="41"/>
        <v>18</v>
      </c>
      <c r="U72" s="131" t="str">
        <f t="shared" si="42"/>
        <v/>
      </c>
      <c r="V72" s="131" t="str">
        <f t="shared" si="42"/>
        <v/>
      </c>
      <c r="W72" s="131" t="str">
        <f>IF($U72="","",SUMPRODUCT(--(Lineups!$AG$4:$AG$41=$U72),--(Lineups!$AB$4:$AB$41=""),Lineups!$AW$4:$AW$41))</f>
        <v/>
      </c>
      <c r="Y72" s="142" t="str">
        <f>IF($U72="","",SUMPRODUCT(--(Lineups!$AG$4:$AG$41=$U72),--(Lineups!$AB$4:$AB$41="X"),Lineups!$AW$4:$AW$41))</f>
        <v/>
      </c>
      <c r="Z72" s="142" t="str">
        <f>IF($U72="","",SUMPRODUCT(--(Lineups!$AK$4:$AK$41=$U72),Lineups!$AW$4:$AW$41))</f>
        <v/>
      </c>
      <c r="AA72" s="142" t="str">
        <f>IF($U72="","",SUMPRODUCT(--(Lineups!$AO$4:$AO$41=$U72),Lineups!$AW$4:$AW$41))</f>
        <v/>
      </c>
      <c r="AB72" s="142" t="str">
        <f>IF($U72="","",SUMPRODUCT(--(Lineups!$AS$4:$AS$41=$U72),Lineups!$AW$4:$AW$41))</f>
        <v/>
      </c>
      <c r="AC72" s="131" t="str">
        <f t="shared" si="43"/>
        <v/>
      </c>
      <c r="AE72" s="131" t="str">
        <f t="shared" si="44"/>
        <v/>
      </c>
      <c r="AH72" s="131" t="str">
        <f>IF($U72="","",SUMPRODUCT(--(Lineups!$AC$4:$AC$41=$U72),Lineups!$AW$4:$AW$41))</f>
        <v/>
      </c>
      <c r="AJ72" s="131" t="str">
        <f t="shared" si="45"/>
        <v/>
      </c>
    </row>
    <row r="73" spans="1:37" x14ac:dyDescent="0.3">
      <c r="A73" s="16">
        <f t="shared" si="36"/>
        <v>19</v>
      </c>
      <c r="B73" s="16" t="str">
        <f t="shared" si="37"/>
        <v/>
      </c>
      <c r="C73" s="16" t="str">
        <f t="shared" si="37"/>
        <v/>
      </c>
      <c r="D73" s="16" t="str">
        <f>IF($B73="","",SUMPRODUCT(--(Lineups!$G$4:$G$41=$B73),--(Lineups!$B$4:$B$41=""),Lineups!$W$4:$W$41))</f>
        <v/>
      </c>
      <c r="F73" s="142" t="str">
        <f>IF($B73="","",SUMPRODUCT(--(Lineups!$G$4:$G$41=$B73),--(Lineups!$B$4:$B$41="X"),Lineups!$W$4:$W$41))</f>
        <v/>
      </c>
      <c r="G73" s="142" t="str">
        <f>IF($B73="","",SUMPRODUCT(--(Lineups!$K$4:$K$41=$B73),Lineups!$W$4:$W$41))</f>
        <v/>
      </c>
      <c r="H73" s="142" t="str">
        <f>IF($B73="","",SUMPRODUCT(--(Lineups!$O$4:$O$41=$B73),Lineups!$W$4:$W$41))</f>
        <v/>
      </c>
      <c r="I73" s="142" t="str">
        <f>IF($B73="","",SUMPRODUCT(--(Lineups!$S$4:$S$41=$B73),Lineups!$W$4:$W$41))</f>
        <v/>
      </c>
      <c r="J73" s="16" t="str">
        <f t="shared" si="38"/>
        <v/>
      </c>
      <c r="L73" s="16" t="str">
        <f t="shared" si="39"/>
        <v/>
      </c>
      <c r="O73" s="16" t="str">
        <f>IF($B73="","",SUMPRODUCT(--(Lineups!$C$4:$C$41=$B73),Lineups!$W$4:$W$41))</f>
        <v/>
      </c>
      <c r="Q73" s="16" t="str">
        <f t="shared" si="40"/>
        <v/>
      </c>
      <c r="T73" s="16">
        <f t="shared" si="41"/>
        <v>19</v>
      </c>
      <c r="U73" s="16" t="str">
        <f t="shared" si="42"/>
        <v/>
      </c>
      <c r="V73" s="16" t="str">
        <f t="shared" si="42"/>
        <v/>
      </c>
      <c r="W73" s="16" t="str">
        <f>IF($U73="","",SUMPRODUCT(--(Lineups!$AG$4:$AG$41=$U73),--(Lineups!$AB$4:$AB$41=""),Lineups!$AW$4:$AW$41))</f>
        <v/>
      </c>
      <c r="Y73" s="142" t="str">
        <f>IF($U73="","",SUMPRODUCT(--(Lineups!$AG$4:$AG$41=$U73),--(Lineups!$AB$4:$AB$41="X"),Lineups!$AW$4:$AW$41))</f>
        <v/>
      </c>
      <c r="Z73" s="142" t="str">
        <f>IF($U73="","",SUMPRODUCT(--(Lineups!$AK$4:$AK$41=$U73),Lineups!$AW$4:$AW$41))</f>
        <v/>
      </c>
      <c r="AA73" s="142" t="str">
        <f>IF($U73="","",SUMPRODUCT(--(Lineups!$AO$4:$AO$41=$U73),Lineups!$AW$4:$AW$41))</f>
        <v/>
      </c>
      <c r="AB73" s="142" t="str">
        <f>IF($U73="","",SUMPRODUCT(--(Lineups!$AS$4:$AS$41=$U73),Lineups!$AW$4:$AW$41))</f>
        <v/>
      </c>
      <c r="AC73" s="16" t="str">
        <f t="shared" si="43"/>
        <v/>
      </c>
      <c r="AE73" s="16" t="str">
        <f t="shared" si="44"/>
        <v/>
      </c>
      <c r="AH73" s="16" t="str">
        <f>IF($U73="","",SUMPRODUCT(--(Lineups!$AC$4:$AC$41=$U73),Lineups!$AW$4:$AW$41))</f>
        <v/>
      </c>
      <c r="AJ73" s="16" t="str">
        <f t="shared" si="45"/>
        <v/>
      </c>
    </row>
    <row r="74" spans="1:37" x14ac:dyDescent="0.3">
      <c r="A74" s="131">
        <f t="shared" si="36"/>
        <v>20</v>
      </c>
      <c r="B74" s="131" t="str">
        <f t="shared" si="37"/>
        <v/>
      </c>
      <c r="C74" s="131" t="str">
        <f t="shared" si="37"/>
        <v/>
      </c>
      <c r="D74" s="131" t="str">
        <f>IF($B74="","",SUMPRODUCT(--(Lineups!$G$4:$G$41=$B74),--(Lineups!$B$4:$B$41=""),Lineups!$W$4:$W$41))</f>
        <v/>
      </c>
      <c r="F74" s="142" t="str">
        <f>IF($B74="","",SUMPRODUCT(--(Lineups!$G$4:$G$41=$B74),--(Lineups!$B$4:$B$41="X"),Lineups!$W$4:$W$41))</f>
        <v/>
      </c>
      <c r="G74" s="142" t="str">
        <f>IF($B74="","",SUMPRODUCT(--(Lineups!$K$4:$K$41=$B74),Lineups!$W$4:$W$41))</f>
        <v/>
      </c>
      <c r="H74" s="142" t="str">
        <f>IF($B74="","",SUMPRODUCT(--(Lineups!$O$4:$O$41=$B74),Lineups!$W$4:$W$41))</f>
        <v/>
      </c>
      <c r="I74" s="142" t="str">
        <f>IF($B74="","",SUMPRODUCT(--(Lineups!$S$4:$S$41=$B74),Lineups!$W$4:$W$41))</f>
        <v/>
      </c>
      <c r="J74" s="131" t="str">
        <f t="shared" si="38"/>
        <v/>
      </c>
      <c r="L74" s="131" t="str">
        <f t="shared" si="39"/>
        <v/>
      </c>
      <c r="O74" s="131" t="str">
        <f>IF($B74="","",SUMPRODUCT(--(Lineups!$C$4:$C$41=$B74),Lineups!$W$4:$W$41))</f>
        <v/>
      </c>
      <c r="Q74" s="131" t="str">
        <f t="shared" si="40"/>
        <v/>
      </c>
      <c r="T74" s="131">
        <f t="shared" si="41"/>
        <v>20</v>
      </c>
      <c r="U74" s="131" t="str">
        <f t="shared" si="42"/>
        <v/>
      </c>
      <c r="V74" s="131" t="str">
        <f t="shared" si="42"/>
        <v/>
      </c>
      <c r="W74" s="131" t="str">
        <f>IF($U74="","",SUMPRODUCT(--(Lineups!$AG$4:$AG$41=$U74),--(Lineups!$AB$4:$AB$41=""),Lineups!$AW$4:$AW$41))</f>
        <v/>
      </c>
      <c r="Y74" s="142" t="str">
        <f>IF($U74="","",SUMPRODUCT(--(Lineups!$AG$4:$AG$41=$U74),--(Lineups!$AB$4:$AB$41="X"),Lineups!$AW$4:$AW$41))</f>
        <v/>
      </c>
      <c r="Z74" s="142" t="str">
        <f>IF($U74="","",SUMPRODUCT(--(Lineups!$AK$4:$AK$41=$U74),Lineups!$AW$4:$AW$41))</f>
        <v/>
      </c>
      <c r="AA74" s="142" t="str">
        <f>IF($U74="","",SUMPRODUCT(--(Lineups!$AO$4:$AO$41=$U74),Lineups!$AW$4:$AW$41))</f>
        <v/>
      </c>
      <c r="AB74" s="142" t="str">
        <f>IF($U74="","",SUMPRODUCT(--(Lineups!$AS$4:$AS$41=$U74),Lineups!$AW$4:$AW$41))</f>
        <v/>
      </c>
      <c r="AC74" s="131" t="str">
        <f t="shared" si="43"/>
        <v/>
      </c>
      <c r="AE74" s="131" t="str">
        <f t="shared" si="44"/>
        <v/>
      </c>
      <c r="AH74" s="131" t="str">
        <f>IF($U74="","",SUMPRODUCT(--(Lineups!$AC$4:$AC$41=$U74),Lineups!$AW$4:$AW$41))</f>
        <v/>
      </c>
      <c r="AJ74" s="131" t="str">
        <f t="shared" si="45"/>
        <v/>
      </c>
    </row>
    <row r="76" spans="1:37" x14ac:dyDescent="0.3">
      <c r="A76" s="1200" t="s">
        <v>42</v>
      </c>
      <c r="B76" s="1200"/>
      <c r="C76" s="1200"/>
      <c r="D76" s="93"/>
      <c r="E76" s="93"/>
      <c r="F76" s="93"/>
      <c r="G76" s="93"/>
      <c r="H76" s="93"/>
      <c r="I76" s="93"/>
      <c r="J76" s="93"/>
      <c r="K76" s="93"/>
      <c r="L76" s="93"/>
      <c r="M76" s="93"/>
      <c r="N76" s="93"/>
      <c r="O76" s="93"/>
      <c r="P76" s="93"/>
      <c r="Q76" s="93"/>
      <c r="R76" s="93"/>
      <c r="T76" s="1200" t="s">
        <v>42</v>
      </c>
      <c r="U76" s="1200"/>
      <c r="V76" s="1200"/>
      <c r="W76" s="93"/>
      <c r="X76" s="93"/>
      <c r="Y76" s="93"/>
      <c r="Z76" s="93"/>
      <c r="AA76" s="93"/>
      <c r="AB76" s="93"/>
      <c r="AC76" s="93"/>
      <c r="AD76" s="93"/>
      <c r="AE76" s="93"/>
      <c r="AF76" s="93"/>
      <c r="AG76" s="93"/>
      <c r="AH76" s="93"/>
      <c r="AI76" s="93"/>
      <c r="AJ76" s="93"/>
      <c r="AK76" s="93"/>
    </row>
    <row r="77" spans="1:37" x14ac:dyDescent="0.3">
      <c r="A77" s="136">
        <v>0</v>
      </c>
      <c r="B77" s="136" t="s">
        <v>24</v>
      </c>
      <c r="C77" s="136" t="s">
        <v>25</v>
      </c>
      <c r="D77" s="136" t="s">
        <v>103</v>
      </c>
      <c r="E77" s="16"/>
      <c r="F77" s="141" t="s">
        <v>104</v>
      </c>
      <c r="G77" s="141" t="s">
        <v>104</v>
      </c>
      <c r="H77" s="141" t="s">
        <v>104</v>
      </c>
      <c r="I77" s="141" t="s">
        <v>104</v>
      </c>
      <c r="J77" s="136" t="s">
        <v>34</v>
      </c>
      <c r="K77" s="16"/>
      <c r="L77" s="136" t="s">
        <v>36</v>
      </c>
      <c r="M77" s="16"/>
      <c r="N77" s="138" t="s">
        <v>13</v>
      </c>
      <c r="O77" s="136" t="s">
        <v>105</v>
      </c>
      <c r="P77" s="16"/>
      <c r="Q77" s="136" t="s">
        <v>7</v>
      </c>
      <c r="R77" s="16"/>
      <c r="S77" s="16"/>
      <c r="T77" s="136">
        <v>0</v>
      </c>
      <c r="U77" s="136" t="s">
        <v>24</v>
      </c>
      <c r="V77" s="136" t="s">
        <v>25</v>
      </c>
      <c r="W77" s="136" t="s">
        <v>103</v>
      </c>
      <c r="X77" s="16"/>
      <c r="Y77" s="141" t="s">
        <v>104</v>
      </c>
      <c r="Z77" s="141" t="s">
        <v>104</v>
      </c>
      <c r="AA77" s="141" t="s">
        <v>104</v>
      </c>
      <c r="AB77" s="141" t="s">
        <v>104</v>
      </c>
      <c r="AC77" s="136" t="s">
        <v>34</v>
      </c>
      <c r="AD77" s="16"/>
      <c r="AE77" s="136" t="s">
        <v>36</v>
      </c>
      <c r="AF77" s="16"/>
      <c r="AG77" s="138" t="s">
        <v>13</v>
      </c>
      <c r="AH77" s="136" t="s">
        <v>105</v>
      </c>
      <c r="AI77" s="16"/>
      <c r="AJ77" s="136" t="s">
        <v>7</v>
      </c>
      <c r="AK77" s="16"/>
    </row>
    <row r="78" spans="1:37" x14ac:dyDescent="0.3">
      <c r="A78" s="16">
        <f t="shared" ref="A78:A97" si="46">A77+1</f>
        <v>1</v>
      </c>
      <c r="B78" s="16" t="str">
        <f t="shared" ref="B78:C97" si="47">B9</f>
        <v>101</v>
      </c>
      <c r="C78" s="16" t="str">
        <f t="shared" si="47"/>
        <v>Jackie Treehorn</v>
      </c>
      <c r="D78" s="16">
        <f ca="1">IF($B78="","",SUMPRODUCT(--(Lineups!$G$4:$G$41=$B78),--(Lineups!$B$4:$B$41=""),Lineups!$AW$4:$AW$41)+SUMPRODUCT(--(Lineups!$A$5:$A$42="SP*"),--(Lineups!$G$4:$G$41=$B78),--(Lineups!$B$4:$B$41=""),Lineups!$AW$5:$AW$42))</f>
        <v>0</v>
      </c>
      <c r="F78" s="142">
        <f ca="1">IF($B78="","",SUMPRODUCT(--(Lineups!$G$4:$G$41=$B78),--(Lineups!$B$4:$B$41="X"),Lineups!$AW$4:$AW$41)+SUMPRODUCT(--(Lineups!$A$5:$A$42="SP*"),--(Lineups!$G$4:$G$41=$B78),--(Lineups!$B$4:$B$41="X"),Lineups!$AW$5:$AW$42))</f>
        <v>0</v>
      </c>
      <c r="G78" s="142">
        <f ca="1">IF($B78="","",SUMPRODUCT(--(Lineups!$K$4:$K$41=$B78),Lineups!$AW$4:$AW$41) + SUMPRODUCT(--(Lineups!$A$5:$A$42="SP*"),--(Lineups!$K$4:$K$41=$B78),Lineups!$AW$5:$AW$42))</f>
        <v>0</v>
      </c>
      <c r="H78" s="142">
        <f ca="1">IF($B78="","",SUMPRODUCT(--(Lineups!$O$4:$O$41=$B78),Lineups!$AW$4:$AW$41) + SUMPRODUCT(--(Lineups!$A$5:$A$42="SP*"),--(Lineups!$O$4:$O$41=$B78),Lineups!$AW$5:$AW$42))</f>
        <v>7</v>
      </c>
      <c r="I78" s="142">
        <f ca="1">IF($B78="","",SUMPRODUCT(--(Lineups!$S$4:$S$41=$B78),Lineups!$AW$4:$AW$41) + SUMPRODUCT(--(Lineups!$A$5:$A$42="SP*"),--(Lineups!$S$4:$S$41=$B78),Lineups!$AW$5:$AW$42))</f>
        <v>21</v>
      </c>
      <c r="J78" s="16">
        <f t="shared" ref="J78:J97" ca="1" si="48">IF(B78="","",SUM(F78:I78))</f>
        <v>28</v>
      </c>
      <c r="L78" s="16">
        <f t="shared" ref="L78:L97" ca="1" si="49">IF(B78="","",SUM(D78,J78))</f>
        <v>28</v>
      </c>
      <c r="O78" s="16">
        <f ca="1">IF($B78="","",SUMPRODUCT(--(Lineups!$C$4:$C$41=$B78),Lineups!$AW$4:$AW$41) + SUMPRODUCT(--(Lineups!$A$5:$A$42="SP*"),--(Lineups!$C$4:$C$41=$B78),Lineups!$AW$5:$AW$42))</f>
        <v>0</v>
      </c>
      <c r="Q78" s="16">
        <f t="shared" ref="Q78:Q97" ca="1" si="50">IF(B78="","",SUM(L78,O78))</f>
        <v>28</v>
      </c>
      <c r="T78" s="16">
        <f t="shared" ref="T78:T97" si="51">T77+1</f>
        <v>1</v>
      </c>
      <c r="U78" s="16" t="str">
        <f t="shared" ref="U78:V97" si="52">U9</f>
        <v>12</v>
      </c>
      <c r="V78" s="16" t="str">
        <f t="shared" si="52"/>
        <v>Zorra</v>
      </c>
      <c r="W78" s="16">
        <f ca="1">IF($U78="","",SUMPRODUCT(--(Lineups!$AG$4:$AG$41=$U78),--(Lineups!$AB$4:$AB$41=""),Lineups!$W$4:$W$41)+SUMPRODUCT(--(Lineups!$AA$5:$AA$42="SP*"),--(Lineups!$AG$4:$AG$41=$U78),--(Lineups!$AB$4:$AB$41=""),Lineups!$W$5:$W$42))</f>
        <v>0</v>
      </c>
      <c r="Y78" s="142">
        <f ca="1">IF($U78="","",SUMPRODUCT(--(Lineups!$AG$4:$AG$41=$U78),--(Lineups!$AB$4:$AB$41="X"),Lineups!$W$4:$W$41)+SUMPRODUCT(--(Lineups!$AA$5:$AA$42="SP*"),--(Lineups!$AG$4:$AG$41=$U78),--(Lineups!$AB$4:$AB$41="X"),Lineups!$W$5:$W$42))</f>
        <v>0</v>
      </c>
      <c r="Z78" s="142">
        <f ca="1">IF($U78="","",SUMPRODUCT(--(Lineups!$AK$4:$AK$41=$U78),Lineups!$W$4:$W$41) + SUMPRODUCT(--(Lineups!$AA$5:$AA$42="SP*"),--(Lineups!$AK$4:$AK$41=$U78),Lineups!$W$5:$W$42))</f>
        <v>0</v>
      </c>
      <c r="AA78" s="142">
        <f ca="1">IF($U78="","",SUMPRODUCT(--(Lineups!$AO$4:$AO$41=$U78),Lineups!$W$4:$W$41) + SUMPRODUCT(--(Lineups!$AA$5:$AA$42="SP*"),--(Lineups!$AO$4:$AO$41=$U78),Lineups!$W$5:$W$42))</f>
        <v>0</v>
      </c>
      <c r="AB78" s="142">
        <f ca="1">IF($U78="","",SUMPRODUCT(--(Lineups!$AS$4:$AS$41=$U78),Lineups!$W$4:$W$41) + SUMPRODUCT(--(Lineups!$AA$5:$AA$42="SP*"),--(Lineups!$AS$4:$AS$41=$U78),Lineups!$W$5:$W$42))</f>
        <v>0</v>
      </c>
      <c r="AC78" s="16">
        <f t="shared" ref="AC78:AC97" ca="1" si="53">IF(U78="","",SUM(Y78:AB78))</f>
        <v>0</v>
      </c>
      <c r="AE78" s="16">
        <f t="shared" ref="AE78:AE97" ca="1" si="54">IF(U78="","",SUM(W78,AC78))</f>
        <v>0</v>
      </c>
      <c r="AH78" s="16">
        <f ca="1">IF($U78="","",SUMPRODUCT(--(Lineups!$AC$4:$AC$41=$U78),Lineups!$W$4:$W$41) + SUMPRODUCT(--(Lineups!$AA$5:$AA$42="SP*"),--(Lineups!$AC$4:$AC$41=$U78),Lineups!$W$5:$W$42))</f>
        <v>12</v>
      </c>
      <c r="AJ78" s="16">
        <f t="shared" ref="AJ78:AJ97" ca="1" si="55">IF(U78="","",SUM(AE78,AH78))</f>
        <v>12</v>
      </c>
    </row>
    <row r="79" spans="1:37" x14ac:dyDescent="0.3">
      <c r="A79" s="131">
        <f t="shared" si="46"/>
        <v>2</v>
      </c>
      <c r="B79" s="131" t="str">
        <f t="shared" si="47"/>
        <v>123</v>
      </c>
      <c r="C79" s="131" t="str">
        <f t="shared" si="47"/>
        <v>Bacon 4 Mercy</v>
      </c>
      <c r="D79" s="131">
        <f ca="1">IF($B79="","",SUMPRODUCT(--(Lineups!$G$4:$G$41=$B79),--(Lineups!$B$4:$B$41=""),Lineups!$AW$4:$AW$41)+SUMPRODUCT(--(Lineups!$A$5:$A$42="SP*"),--(Lineups!$G$4:$G$41=$B79),--(Lineups!$B$4:$B$41=""),Lineups!$AW$5:$AW$42))</f>
        <v>0</v>
      </c>
      <c r="F79" s="142">
        <f ca="1">IF($B79="","",SUMPRODUCT(--(Lineups!$G$4:$G$41=$B79),--(Lineups!$B$4:$B$41="X"),Lineups!$AW$4:$AW$41)+SUMPRODUCT(--(Lineups!$A$5:$A$42="SP*"),--(Lineups!$G$4:$G$41=$B79),--(Lineups!$B$4:$B$41="X"),Lineups!$AW$5:$AW$42))</f>
        <v>0</v>
      </c>
      <c r="G79" s="142">
        <f ca="1">IF($B79="","",SUMPRODUCT(--(Lineups!$K$4:$K$41=$B79),Lineups!$AW$4:$AW$41) + SUMPRODUCT(--(Lineups!$A$5:$A$42="SP*"),--(Lineups!$K$4:$K$41=$B79),Lineups!$AW$5:$AW$42))</f>
        <v>0</v>
      </c>
      <c r="H79" s="142">
        <f ca="1">IF($B79="","",SUMPRODUCT(--(Lineups!$O$4:$O$41=$B79),Lineups!$AW$4:$AW$41) + SUMPRODUCT(--(Lineups!$A$5:$A$42="SP*"),--(Lineups!$O$4:$O$41=$B79),Lineups!$AW$5:$AW$42))</f>
        <v>0</v>
      </c>
      <c r="I79" s="142">
        <f ca="1">IF($B79="","",SUMPRODUCT(--(Lineups!$S$4:$S$41=$B79),Lineups!$AW$4:$AW$41) + SUMPRODUCT(--(Lineups!$A$5:$A$42="SP*"),--(Lineups!$S$4:$S$41=$B79),Lineups!$AW$5:$AW$42))</f>
        <v>0</v>
      </c>
      <c r="J79" s="131">
        <f t="shared" ca="1" si="48"/>
        <v>0</v>
      </c>
      <c r="L79" s="131">
        <f t="shared" ca="1" si="49"/>
        <v>0</v>
      </c>
      <c r="O79" s="131">
        <f ca="1">IF($B79="","",SUMPRODUCT(--(Lineups!$C$4:$C$41=$B79),Lineups!$AW$4:$AW$41) + SUMPRODUCT(--(Lineups!$A$5:$A$42="SP*"),--(Lineups!$C$4:$C$41=$B79),Lineups!$AW$5:$AW$42))</f>
        <v>2</v>
      </c>
      <c r="Q79" s="131">
        <f t="shared" ca="1" si="50"/>
        <v>2</v>
      </c>
      <c r="T79" s="131">
        <f t="shared" si="51"/>
        <v>2</v>
      </c>
      <c r="U79" s="131" t="str">
        <f t="shared" si="52"/>
        <v>16</v>
      </c>
      <c r="V79" s="131" t="str">
        <f t="shared" si="52"/>
        <v>Dodge n Burn</v>
      </c>
      <c r="W79" s="131">
        <f ca="1">IF($U79="","",SUMPRODUCT(--(Lineups!$AG$4:$AG$41=$U79),--(Lineups!$AB$4:$AB$41=""),Lineups!$W$4:$W$41)+SUMPRODUCT(--(Lineups!$AA$5:$AA$42="SP*"),--(Lineups!$AG$4:$AG$41=$U79),--(Lineups!$AB$4:$AB$41=""),Lineups!$W$5:$W$42))</f>
        <v>0</v>
      </c>
      <c r="Y79" s="142">
        <f ca="1">IF($U79="","",SUMPRODUCT(--(Lineups!$AG$4:$AG$41=$U79),--(Lineups!$AB$4:$AB$41="X"),Lineups!$W$4:$W$41)+SUMPRODUCT(--(Lineups!$AA$5:$AA$42="SP*"),--(Lineups!$AG$4:$AG$41=$U79),--(Lineups!$AB$4:$AB$41="X"),Lineups!$W$5:$W$42))</f>
        <v>0</v>
      </c>
      <c r="Z79" s="142">
        <f ca="1">IF($U79="","",SUMPRODUCT(--(Lineups!$AK$4:$AK$41=$U79),Lineups!$W$4:$W$41) + SUMPRODUCT(--(Lineups!$AA$5:$AA$42="SP*"),--(Lineups!$AK$4:$AK$41=$U79),Lineups!$W$5:$W$42))</f>
        <v>0</v>
      </c>
      <c r="AA79" s="142">
        <f ca="1">IF($U79="","",SUMPRODUCT(--(Lineups!$AO$4:$AO$41=$U79),Lineups!$W$4:$W$41) + SUMPRODUCT(--(Lineups!$AA$5:$AA$42="SP*"),--(Lineups!$AO$4:$AO$41=$U79),Lineups!$W$5:$W$42))</f>
        <v>8</v>
      </c>
      <c r="AB79" s="142">
        <f ca="1">IF($U79="","",SUMPRODUCT(--(Lineups!$AS$4:$AS$41=$U79),Lineups!$W$4:$W$41) + SUMPRODUCT(--(Lineups!$AA$5:$AA$42="SP*"),--(Lineups!$AS$4:$AS$41=$U79),Lineups!$W$5:$W$42))</f>
        <v>0</v>
      </c>
      <c r="AC79" s="131">
        <f t="shared" ca="1" si="53"/>
        <v>8</v>
      </c>
      <c r="AE79" s="131">
        <f t="shared" ca="1" si="54"/>
        <v>8</v>
      </c>
      <c r="AH79" s="131">
        <f ca="1">IF($U79="","",SUMPRODUCT(--(Lineups!$AC$4:$AC$41=$U79),Lineups!$W$4:$W$41) + SUMPRODUCT(--(Lineups!$AA$5:$AA$42="SP*"),--(Lineups!$AC$4:$AC$41=$U79),Lineups!$W$5:$W$42))</f>
        <v>0</v>
      </c>
      <c r="AJ79" s="131">
        <f t="shared" ca="1" si="55"/>
        <v>8</v>
      </c>
    </row>
    <row r="80" spans="1:37" x14ac:dyDescent="0.3">
      <c r="A80" s="16">
        <f t="shared" si="46"/>
        <v>3</v>
      </c>
      <c r="B80" s="16" t="str">
        <f t="shared" si="47"/>
        <v>1760</v>
      </c>
      <c r="C80" s="16" t="str">
        <f t="shared" si="47"/>
        <v>By O. Hazard</v>
      </c>
      <c r="D80" s="16">
        <f ca="1">IF($B80="","",SUMPRODUCT(--(Lineups!$G$4:$G$41=$B80),--(Lineups!$B$4:$B$41=""),Lineups!$AW$4:$AW$41)+SUMPRODUCT(--(Lineups!$A$5:$A$42="SP*"),--(Lineups!$G$4:$G$41=$B80),--(Lineups!$B$4:$B$41=""),Lineups!$AW$5:$AW$42))</f>
        <v>23</v>
      </c>
      <c r="F80" s="142">
        <f ca="1">IF($B80="","",SUMPRODUCT(--(Lineups!$G$4:$G$41=$B80),--(Lineups!$B$4:$B$41="X"),Lineups!$AW$4:$AW$41)+SUMPRODUCT(--(Lineups!$A$5:$A$42="SP*"),--(Lineups!$G$4:$G$41=$B80),--(Lineups!$B$4:$B$41="X"),Lineups!$AW$5:$AW$42))</f>
        <v>0</v>
      </c>
      <c r="G80" s="142">
        <f ca="1">IF($B80="","",SUMPRODUCT(--(Lineups!$K$4:$K$41=$B80),Lineups!$AW$4:$AW$41) + SUMPRODUCT(--(Lineups!$A$5:$A$42="SP*"),--(Lineups!$K$4:$K$41=$B80),Lineups!$AW$5:$AW$42))</f>
        <v>7</v>
      </c>
      <c r="H80" s="142">
        <f ca="1">IF($B80="","",SUMPRODUCT(--(Lineups!$O$4:$O$41=$B80),Lineups!$AW$4:$AW$41) + SUMPRODUCT(--(Lineups!$A$5:$A$42="SP*"),--(Lineups!$O$4:$O$41=$B80),Lineups!$AW$5:$AW$42))</f>
        <v>4</v>
      </c>
      <c r="I80" s="142">
        <f ca="1">IF($B80="","",SUMPRODUCT(--(Lineups!$S$4:$S$41=$B80),Lineups!$AW$4:$AW$41) + SUMPRODUCT(--(Lineups!$A$5:$A$42="SP*"),--(Lineups!$S$4:$S$41=$B80),Lineups!$AW$5:$AW$42))</f>
        <v>0</v>
      </c>
      <c r="J80" s="16">
        <f t="shared" ca="1" si="48"/>
        <v>11</v>
      </c>
      <c r="L80" s="16">
        <f t="shared" ca="1" si="49"/>
        <v>34</v>
      </c>
      <c r="O80" s="16">
        <f ca="1">IF($B80="","",SUMPRODUCT(--(Lineups!$C$4:$C$41=$B80),Lineups!$AW$4:$AW$41) + SUMPRODUCT(--(Lineups!$A$5:$A$42="SP*"),--(Lineups!$C$4:$C$41=$B80),Lineups!$AW$5:$AW$42))</f>
        <v>0</v>
      </c>
      <c r="Q80" s="16">
        <f t="shared" ca="1" si="50"/>
        <v>34</v>
      </c>
      <c r="T80" s="16">
        <f t="shared" si="51"/>
        <v>3</v>
      </c>
      <c r="U80" s="16" t="str">
        <f t="shared" si="52"/>
        <v>17</v>
      </c>
      <c r="V80" s="16" t="str">
        <f t="shared" si="52"/>
        <v>Yinzey Lohan</v>
      </c>
      <c r="W80" s="16">
        <f ca="1">IF($U80="","",SUMPRODUCT(--(Lineups!$AG$4:$AG$41=$U80),--(Lineups!$AB$4:$AB$41=""),Lineups!$W$4:$W$41)+SUMPRODUCT(--(Lineups!$AA$5:$AA$42="SP*"),--(Lineups!$AG$4:$AG$41=$U80),--(Lineups!$AB$4:$AB$41=""),Lineups!$W$5:$W$42))</f>
        <v>0</v>
      </c>
      <c r="Y80" s="142">
        <f ca="1">IF($U80="","",SUMPRODUCT(--(Lineups!$AG$4:$AG$41=$U80),--(Lineups!$AB$4:$AB$41="X"),Lineups!$W$4:$W$41)+SUMPRODUCT(--(Lineups!$AA$5:$AA$42="SP*"),--(Lineups!$AG$4:$AG$41=$U80),--(Lineups!$AB$4:$AB$41="X"),Lineups!$W$5:$W$42))</f>
        <v>0</v>
      </c>
      <c r="Z80" s="142">
        <f ca="1">IF($U80="","",SUMPRODUCT(--(Lineups!$AK$4:$AK$41=$U80),Lineups!$W$4:$W$41) + SUMPRODUCT(--(Lineups!$AA$5:$AA$42="SP*"),--(Lineups!$AK$4:$AK$41=$U80),Lineups!$W$5:$W$42))</f>
        <v>8</v>
      </c>
      <c r="AA80" s="142">
        <f ca="1">IF($U80="","",SUMPRODUCT(--(Lineups!$AO$4:$AO$41=$U80),Lineups!$W$4:$W$41) + SUMPRODUCT(--(Lineups!$AA$5:$AA$42="SP*"),--(Lineups!$AO$4:$AO$41=$U80),Lineups!$W$5:$W$42))</f>
        <v>16</v>
      </c>
      <c r="AB80" s="142">
        <f ca="1">IF($U80="","",SUMPRODUCT(--(Lineups!$AS$4:$AS$41=$U80),Lineups!$W$4:$W$41) + SUMPRODUCT(--(Lineups!$AA$5:$AA$42="SP*"),--(Lineups!$AS$4:$AS$41=$U80),Lineups!$W$5:$W$42))</f>
        <v>0</v>
      </c>
      <c r="AC80" s="16">
        <f t="shared" ca="1" si="53"/>
        <v>24</v>
      </c>
      <c r="AE80" s="16">
        <f t="shared" ca="1" si="54"/>
        <v>24</v>
      </c>
      <c r="AH80" s="16">
        <f ca="1">IF($U80="","",SUMPRODUCT(--(Lineups!$AC$4:$AC$41=$U80),Lineups!$W$4:$W$41) + SUMPRODUCT(--(Lineups!$AA$5:$AA$42="SP*"),--(Lineups!$AC$4:$AC$41=$U80),Lineups!$W$5:$W$42))</f>
        <v>0</v>
      </c>
      <c r="AJ80" s="16">
        <f t="shared" ca="1" si="55"/>
        <v>24</v>
      </c>
    </row>
    <row r="81" spans="1:36" x14ac:dyDescent="0.3">
      <c r="A81" s="131">
        <f t="shared" si="46"/>
        <v>4</v>
      </c>
      <c r="B81" s="131" t="str">
        <f t="shared" si="47"/>
        <v>202</v>
      </c>
      <c r="C81" s="131" t="str">
        <f t="shared" si="47"/>
        <v>Thai-GRRR</v>
      </c>
      <c r="D81" s="131">
        <f ca="1">IF($B81="","",SUMPRODUCT(--(Lineups!$G$4:$G$41=$B81),--(Lineups!$B$4:$B$41=""),Lineups!$AW$4:$AW$41)+SUMPRODUCT(--(Lineups!$A$5:$A$42="SP*"),--(Lineups!$G$4:$G$41=$B81),--(Lineups!$B$4:$B$41=""),Lineups!$AW$5:$AW$42))</f>
        <v>0</v>
      </c>
      <c r="F81" s="142">
        <f ca="1">IF($B81="","",SUMPRODUCT(--(Lineups!$G$4:$G$41=$B81),--(Lineups!$B$4:$B$41="X"),Lineups!$AW$4:$AW$41)+SUMPRODUCT(--(Lineups!$A$5:$A$42="SP*"),--(Lineups!$G$4:$G$41=$B81),--(Lineups!$B$4:$B$41="X"),Lineups!$AW$5:$AW$42))</f>
        <v>0</v>
      </c>
      <c r="G81" s="142">
        <f ca="1">IF($B81="","",SUMPRODUCT(--(Lineups!$K$4:$K$41=$B81),Lineups!$AW$4:$AW$41) + SUMPRODUCT(--(Lineups!$A$5:$A$42="SP*"),--(Lineups!$K$4:$K$41=$B81),Lineups!$AW$5:$AW$42))</f>
        <v>0</v>
      </c>
      <c r="H81" s="142">
        <f ca="1">IF($B81="","",SUMPRODUCT(--(Lineups!$O$4:$O$41=$B81),Lineups!$AW$4:$AW$41) + SUMPRODUCT(--(Lineups!$A$5:$A$42="SP*"),--(Lineups!$O$4:$O$41=$B81),Lineups!$AW$5:$AW$42))</f>
        <v>0</v>
      </c>
      <c r="I81" s="142">
        <f ca="1">IF($B81="","",SUMPRODUCT(--(Lineups!$S$4:$S$41=$B81),Lineups!$AW$4:$AW$41) + SUMPRODUCT(--(Lineups!$A$5:$A$42="SP*"),--(Lineups!$S$4:$S$41=$B81),Lineups!$AW$5:$AW$42))</f>
        <v>0</v>
      </c>
      <c r="J81" s="131">
        <f t="shared" ca="1" si="48"/>
        <v>0</v>
      </c>
      <c r="L81" s="131">
        <f t="shared" ca="1" si="49"/>
        <v>0</v>
      </c>
      <c r="O81" s="131">
        <f ca="1">IF($B81="","",SUMPRODUCT(--(Lineups!$C$4:$C$41=$B81),Lineups!$AW$4:$AW$41) + SUMPRODUCT(--(Lineups!$A$5:$A$42="SP*"),--(Lineups!$C$4:$C$41=$B81),Lineups!$AW$5:$AW$42))</f>
        <v>7</v>
      </c>
      <c r="Q81" s="131">
        <f t="shared" ca="1" si="50"/>
        <v>7</v>
      </c>
      <c r="T81" s="131">
        <f t="shared" si="51"/>
        <v>4</v>
      </c>
      <c r="U81" s="131" t="str">
        <f t="shared" si="52"/>
        <v>2</v>
      </c>
      <c r="V81" s="131" t="str">
        <f t="shared" si="52"/>
        <v>Stark Raven</v>
      </c>
      <c r="W81" s="131">
        <f ca="1">IF($U81="","",SUMPRODUCT(--(Lineups!$AG$4:$AG$41=$U81),--(Lineups!$AB$4:$AB$41=""),Lineups!$W$4:$W$41)+SUMPRODUCT(--(Lineups!$AA$5:$AA$42="SP*"),--(Lineups!$AG$4:$AG$41=$U81),--(Lineups!$AB$4:$AB$41=""),Lineups!$W$5:$W$42))</f>
        <v>0</v>
      </c>
      <c r="Y81" s="142">
        <f ca="1">IF($U81="","",SUMPRODUCT(--(Lineups!$AG$4:$AG$41=$U81),--(Lineups!$AB$4:$AB$41="X"),Lineups!$W$4:$W$41)+SUMPRODUCT(--(Lineups!$AA$5:$AA$42="SP*"),--(Lineups!$AG$4:$AG$41=$U81),--(Lineups!$AB$4:$AB$41="X"),Lineups!$W$5:$W$42))</f>
        <v>0</v>
      </c>
      <c r="Z81" s="142">
        <f ca="1">IF($U81="","",SUMPRODUCT(--(Lineups!$AK$4:$AK$41=$U81),Lineups!$W$4:$W$41) + SUMPRODUCT(--(Lineups!$AA$5:$AA$42="SP*"),--(Lineups!$AK$4:$AK$41=$U81),Lineups!$W$5:$W$42))</f>
        <v>38</v>
      </c>
      <c r="AA81" s="142">
        <f ca="1">IF($U81="","",SUMPRODUCT(--(Lineups!$AO$4:$AO$41=$U81),Lineups!$W$4:$W$41) + SUMPRODUCT(--(Lineups!$AA$5:$AA$42="SP*"),--(Lineups!$AO$4:$AO$41=$U81),Lineups!$W$5:$W$42))</f>
        <v>4</v>
      </c>
      <c r="AB81" s="142">
        <f ca="1">IF($U81="","",SUMPRODUCT(--(Lineups!$AS$4:$AS$41=$U81),Lineups!$W$4:$W$41) + SUMPRODUCT(--(Lineups!$AA$5:$AA$42="SP*"),--(Lineups!$AS$4:$AS$41=$U81),Lineups!$W$5:$W$42))</f>
        <v>0</v>
      </c>
      <c r="AC81" s="131">
        <f t="shared" ca="1" si="53"/>
        <v>42</v>
      </c>
      <c r="AE81" s="131">
        <f t="shared" ca="1" si="54"/>
        <v>42</v>
      </c>
      <c r="AH81" s="131">
        <f ca="1">IF($U81="","",SUMPRODUCT(--(Lineups!$AC$4:$AC$41=$U81),Lineups!$W$4:$W$41) + SUMPRODUCT(--(Lineups!$AA$5:$AA$42="SP*"),--(Lineups!$AC$4:$AC$41=$U81),Lineups!$W$5:$W$42))</f>
        <v>0</v>
      </c>
      <c r="AJ81" s="131">
        <f t="shared" ca="1" si="55"/>
        <v>42</v>
      </c>
    </row>
    <row r="82" spans="1:36" x14ac:dyDescent="0.3">
      <c r="A82" s="16">
        <f t="shared" si="46"/>
        <v>5</v>
      </c>
      <c r="B82" s="16" t="str">
        <f t="shared" si="47"/>
        <v>22</v>
      </c>
      <c r="C82" s="16" t="str">
        <f t="shared" si="47"/>
        <v>Jen Hex</v>
      </c>
      <c r="D82" s="16">
        <f ca="1">IF($B82="","",SUMPRODUCT(--(Lineups!$G$4:$G$41=$B82),--(Lineups!$B$4:$B$41=""),Lineups!$AW$4:$AW$41)+SUMPRODUCT(--(Lineups!$A$5:$A$42="SP*"),--(Lineups!$G$4:$G$41=$B82),--(Lineups!$B$4:$B$41=""),Lineups!$AW$5:$AW$42))</f>
        <v>0</v>
      </c>
      <c r="F82" s="142">
        <f ca="1">IF($B82="","",SUMPRODUCT(--(Lineups!$G$4:$G$41=$B82),--(Lineups!$B$4:$B$41="X"),Lineups!$AW$4:$AW$41)+SUMPRODUCT(--(Lineups!$A$5:$A$42="SP*"),--(Lineups!$G$4:$G$41=$B82),--(Lineups!$B$4:$B$41="X"),Lineups!$AW$5:$AW$42))</f>
        <v>0</v>
      </c>
      <c r="G82" s="142">
        <f ca="1">IF($B82="","",SUMPRODUCT(--(Lineups!$K$4:$K$41=$B82),Lineups!$AW$4:$AW$41) + SUMPRODUCT(--(Lineups!$A$5:$A$42="SP*"),--(Lineups!$K$4:$K$41=$B82),Lineups!$AW$5:$AW$42))</f>
        <v>0</v>
      </c>
      <c r="H82" s="142">
        <f ca="1">IF($B82="","",SUMPRODUCT(--(Lineups!$O$4:$O$41=$B82),Lineups!$AW$4:$AW$41) + SUMPRODUCT(--(Lineups!$A$5:$A$42="SP*"),--(Lineups!$O$4:$O$41=$B82),Lineups!$AW$5:$AW$42))</f>
        <v>0</v>
      </c>
      <c r="I82" s="142">
        <f ca="1">IF($B82="","",SUMPRODUCT(--(Lineups!$S$4:$S$41=$B82),Lineups!$AW$4:$AW$41) + SUMPRODUCT(--(Lineups!$A$5:$A$42="SP*"),--(Lineups!$S$4:$S$41=$B82),Lineups!$AW$5:$AW$42))</f>
        <v>0</v>
      </c>
      <c r="J82" s="16">
        <f t="shared" ca="1" si="48"/>
        <v>0</v>
      </c>
      <c r="L82" s="16">
        <f t="shared" ca="1" si="49"/>
        <v>0</v>
      </c>
      <c r="O82" s="16">
        <f ca="1">IF($B82="","",SUMPRODUCT(--(Lineups!$C$4:$C$41=$B82),Lineups!$AW$4:$AW$41) + SUMPRODUCT(--(Lineups!$A$5:$A$42="SP*"),--(Lineups!$C$4:$C$41=$B82),Lineups!$AW$5:$AW$42))</f>
        <v>4</v>
      </c>
      <c r="Q82" s="16">
        <f t="shared" ca="1" si="50"/>
        <v>4</v>
      </c>
      <c r="T82" s="16">
        <f t="shared" si="51"/>
        <v>5</v>
      </c>
      <c r="U82" s="16" t="str">
        <f t="shared" si="52"/>
        <v>219</v>
      </c>
      <c r="V82" s="16" t="str">
        <f t="shared" si="52"/>
        <v>Dakota Slamming</v>
      </c>
      <c r="W82" s="16">
        <f ca="1">IF($U82="","",SUMPRODUCT(--(Lineups!$AG$4:$AG$41=$U82),--(Lineups!$AB$4:$AB$41=""),Lineups!$W$4:$W$41)+SUMPRODUCT(--(Lineups!$AA$5:$AA$42="SP*"),--(Lineups!$AG$4:$AG$41=$U82),--(Lineups!$AB$4:$AB$41=""),Lineups!$W$5:$W$42))</f>
        <v>24</v>
      </c>
      <c r="Y82" s="142">
        <f ca="1">IF($U82="","",SUMPRODUCT(--(Lineups!$AG$4:$AG$41=$U82),--(Lineups!$AB$4:$AB$41="X"),Lineups!$W$4:$W$41)+SUMPRODUCT(--(Lineups!$AA$5:$AA$42="SP*"),--(Lineups!$AG$4:$AG$41=$U82),--(Lineups!$AB$4:$AB$41="X"),Lineups!$W$5:$W$42))</f>
        <v>0</v>
      </c>
      <c r="Z82" s="142">
        <f ca="1">IF($U82="","",SUMPRODUCT(--(Lineups!$AK$4:$AK$41=$U82),Lineups!$W$4:$W$41) + SUMPRODUCT(--(Lineups!$AA$5:$AA$42="SP*"),--(Lineups!$AK$4:$AK$41=$U82),Lineups!$W$5:$W$42))</f>
        <v>0</v>
      </c>
      <c r="AA82" s="142">
        <f ca="1">IF($U82="","",SUMPRODUCT(--(Lineups!$AO$4:$AO$41=$U82),Lineups!$W$4:$W$41) + SUMPRODUCT(--(Lineups!$AA$5:$AA$42="SP*"),--(Lineups!$AO$4:$AO$41=$U82),Lineups!$W$5:$W$42))</f>
        <v>0</v>
      </c>
      <c r="AB82" s="142">
        <f ca="1">IF($U82="","",SUMPRODUCT(--(Lineups!$AS$4:$AS$41=$U82),Lineups!$W$4:$W$41) + SUMPRODUCT(--(Lineups!$AA$5:$AA$42="SP*"),--(Lineups!$AS$4:$AS$41=$U82),Lineups!$W$5:$W$42))</f>
        <v>4</v>
      </c>
      <c r="AC82" s="16">
        <f t="shared" ca="1" si="53"/>
        <v>4</v>
      </c>
      <c r="AE82" s="16">
        <f t="shared" ca="1" si="54"/>
        <v>28</v>
      </c>
      <c r="AH82" s="16">
        <f ca="1">IF($U82="","",SUMPRODUCT(--(Lineups!$AC$4:$AC$41=$U82),Lineups!$W$4:$W$41) + SUMPRODUCT(--(Lineups!$AA$5:$AA$42="SP*"),--(Lineups!$AC$4:$AC$41=$U82),Lineups!$W$5:$W$42))</f>
        <v>0</v>
      </c>
      <c r="AJ82" s="16">
        <f t="shared" ca="1" si="55"/>
        <v>28</v>
      </c>
    </row>
    <row r="83" spans="1:36" x14ac:dyDescent="0.3">
      <c r="A83" s="131">
        <f t="shared" si="46"/>
        <v>6</v>
      </c>
      <c r="B83" s="131" t="str">
        <f t="shared" si="47"/>
        <v>221*</v>
      </c>
      <c r="C83" s="131" t="str">
        <f t="shared" si="47"/>
        <v>Kili Pepa</v>
      </c>
      <c r="D83" s="131">
        <f ca="1">IF($B83="","",SUMPRODUCT(--(Lineups!$G$4:$G$41=$B83),--(Lineups!$B$4:$B$41=""),Lineups!$AW$4:$AW$41)+SUMPRODUCT(--(Lineups!$A$5:$A$42="SP*"),--(Lineups!$G$4:$G$41=$B83),--(Lineups!$B$4:$B$41=""),Lineups!$AW$5:$AW$42))</f>
        <v>0</v>
      </c>
      <c r="F83" s="142">
        <f ca="1">IF($B83="","",SUMPRODUCT(--(Lineups!$G$4:$G$41=$B83),--(Lineups!$B$4:$B$41="X"),Lineups!$AW$4:$AW$41)+SUMPRODUCT(--(Lineups!$A$5:$A$42="SP*"),--(Lineups!$G$4:$G$41=$B83),--(Lineups!$B$4:$B$41="X"),Lineups!$AW$5:$AW$42))</f>
        <v>0</v>
      </c>
      <c r="G83" s="142">
        <f ca="1">IF($B83="","",SUMPRODUCT(--(Lineups!$K$4:$K$41=$B83),Lineups!$AW$4:$AW$41) + SUMPRODUCT(--(Lineups!$A$5:$A$42="SP*"),--(Lineups!$K$4:$K$41=$B83),Lineups!$AW$5:$AW$42))</f>
        <v>0</v>
      </c>
      <c r="H83" s="142">
        <f ca="1">IF($B83="","",SUMPRODUCT(--(Lineups!$O$4:$O$41=$B83),Lineups!$AW$4:$AW$41) + SUMPRODUCT(--(Lineups!$A$5:$A$42="SP*"),--(Lineups!$O$4:$O$41=$B83),Lineups!$AW$5:$AW$42))</f>
        <v>0</v>
      </c>
      <c r="I83" s="142">
        <f ca="1">IF($B83="","",SUMPRODUCT(--(Lineups!$S$4:$S$41=$B83),Lineups!$AW$4:$AW$41) + SUMPRODUCT(--(Lineups!$A$5:$A$42="SP*"),--(Lineups!$S$4:$S$41=$B83),Lineups!$AW$5:$AW$42))</f>
        <v>0</v>
      </c>
      <c r="J83" s="131">
        <f t="shared" ca="1" si="48"/>
        <v>0</v>
      </c>
      <c r="L83" s="131">
        <f t="shared" ca="1" si="49"/>
        <v>0</v>
      </c>
      <c r="O83" s="131">
        <f ca="1">IF($B83="","",SUMPRODUCT(--(Lineups!$C$4:$C$41=$B83),Lineups!$AW$4:$AW$41) + SUMPRODUCT(--(Lineups!$A$5:$A$42="SP*"),--(Lineups!$C$4:$C$41=$B83),Lineups!$AW$5:$AW$42))</f>
        <v>0</v>
      </c>
      <c r="Q83" s="131">
        <f t="shared" ca="1" si="50"/>
        <v>0</v>
      </c>
      <c r="T83" s="131">
        <f t="shared" si="51"/>
        <v>6</v>
      </c>
      <c r="U83" s="131" t="str">
        <f t="shared" si="52"/>
        <v>22</v>
      </c>
      <c r="V83" s="131" t="str">
        <f t="shared" si="52"/>
        <v>Dammit Jammit</v>
      </c>
      <c r="W83" s="131">
        <f ca="1">IF($U83="","",SUMPRODUCT(--(Lineups!$AG$4:$AG$41=$U83),--(Lineups!$AB$4:$AB$41=""),Lineups!$W$4:$W$41)+SUMPRODUCT(--(Lineups!$AA$5:$AA$42="SP*"),--(Lineups!$AG$4:$AG$41=$U83),--(Lineups!$AB$4:$AB$41=""),Lineups!$W$5:$W$42))</f>
        <v>8</v>
      </c>
      <c r="Y83" s="142">
        <f ca="1">IF($U83="","",SUMPRODUCT(--(Lineups!$AG$4:$AG$41=$U83),--(Lineups!$AB$4:$AB$41="X"),Lineups!$W$4:$W$41)+SUMPRODUCT(--(Lineups!$AA$5:$AA$42="SP*"),--(Lineups!$AG$4:$AG$41=$U83),--(Lineups!$AB$4:$AB$41="X"),Lineups!$W$5:$W$42))</f>
        <v>0</v>
      </c>
      <c r="Z83" s="142">
        <f ca="1">IF($U83="","",SUMPRODUCT(--(Lineups!$AK$4:$AK$41=$U83),Lineups!$W$4:$W$41) + SUMPRODUCT(--(Lineups!$AA$5:$AA$42="SP*"),--(Lineups!$AK$4:$AK$41=$U83),Lineups!$W$5:$W$42))</f>
        <v>0</v>
      </c>
      <c r="AA83" s="142">
        <f ca="1">IF($U83="","",SUMPRODUCT(--(Lineups!$AO$4:$AO$41=$U83),Lineups!$W$4:$W$41) + SUMPRODUCT(--(Lineups!$AA$5:$AA$42="SP*"),--(Lineups!$AO$4:$AO$41=$U83),Lineups!$W$5:$W$42))</f>
        <v>22</v>
      </c>
      <c r="AB83" s="142">
        <f ca="1">IF($U83="","",SUMPRODUCT(--(Lineups!$AS$4:$AS$41=$U83),Lineups!$W$4:$W$41) + SUMPRODUCT(--(Lineups!$AA$5:$AA$42="SP*"),--(Lineups!$AS$4:$AS$41=$U83),Lineups!$W$5:$W$42))</f>
        <v>4</v>
      </c>
      <c r="AC83" s="131">
        <f t="shared" ca="1" si="53"/>
        <v>26</v>
      </c>
      <c r="AE83" s="131">
        <f t="shared" ca="1" si="54"/>
        <v>34</v>
      </c>
      <c r="AH83" s="131">
        <f ca="1">IF($U83="","",SUMPRODUCT(--(Lineups!$AC$4:$AC$41=$U83),Lineups!$W$4:$W$41) + SUMPRODUCT(--(Lineups!$AA$5:$AA$42="SP*"),--(Lineups!$AC$4:$AC$41=$U83),Lineups!$W$5:$W$42))</f>
        <v>0</v>
      </c>
      <c r="AJ83" s="131">
        <f t="shared" ca="1" si="55"/>
        <v>34</v>
      </c>
    </row>
    <row r="84" spans="1:36" x14ac:dyDescent="0.3">
      <c r="A84" s="16">
        <f t="shared" si="46"/>
        <v>7</v>
      </c>
      <c r="B84" s="16" t="str">
        <f t="shared" si="47"/>
        <v>229</v>
      </c>
      <c r="C84" s="16" t="str">
        <f t="shared" si="47"/>
        <v>Sparky</v>
      </c>
      <c r="D84" s="16">
        <f ca="1">IF($B84="","",SUMPRODUCT(--(Lineups!$G$4:$G$41=$B84),--(Lineups!$B$4:$B$41=""),Lineups!$AW$4:$AW$41)+SUMPRODUCT(--(Lineups!$A$5:$A$42="SP*"),--(Lineups!$G$4:$G$41=$B84),--(Lineups!$B$4:$B$41=""),Lineups!$AW$5:$AW$42))</f>
        <v>0</v>
      </c>
      <c r="F84" s="142">
        <f ca="1">IF($B84="","",SUMPRODUCT(--(Lineups!$G$4:$G$41=$B84),--(Lineups!$B$4:$B$41="X"),Lineups!$AW$4:$AW$41)+SUMPRODUCT(--(Lineups!$A$5:$A$42="SP*"),--(Lineups!$G$4:$G$41=$B84),--(Lineups!$B$4:$B$41="X"),Lineups!$AW$5:$AW$42))</f>
        <v>0</v>
      </c>
      <c r="G84" s="142">
        <f ca="1">IF($B84="","",SUMPRODUCT(--(Lineups!$K$4:$K$41=$B84),Lineups!$AW$4:$AW$41) + SUMPRODUCT(--(Lineups!$A$5:$A$42="SP*"),--(Lineups!$K$4:$K$41=$B84),Lineups!$AW$5:$AW$42))</f>
        <v>0</v>
      </c>
      <c r="H84" s="142">
        <f ca="1">IF($B84="","",SUMPRODUCT(--(Lineups!$O$4:$O$41=$B84),Lineups!$AW$4:$AW$41) + SUMPRODUCT(--(Lineups!$A$5:$A$42="SP*"),--(Lineups!$O$4:$O$41=$B84),Lineups!$AW$5:$AW$42))</f>
        <v>0</v>
      </c>
      <c r="I84" s="142">
        <f ca="1">IF($B84="","",SUMPRODUCT(--(Lineups!$S$4:$S$41=$B84),Lineups!$AW$4:$AW$41) + SUMPRODUCT(--(Lineups!$A$5:$A$42="SP*"),--(Lineups!$S$4:$S$41=$B84),Lineups!$AW$5:$AW$42))</f>
        <v>0</v>
      </c>
      <c r="J84" s="16">
        <f t="shared" ca="1" si="48"/>
        <v>0</v>
      </c>
      <c r="L84" s="16">
        <f t="shared" ca="1" si="49"/>
        <v>0</v>
      </c>
      <c r="O84" s="16">
        <f ca="1">IF($B84="","",SUMPRODUCT(--(Lineups!$C$4:$C$41=$B84),Lineups!$AW$4:$AW$41) + SUMPRODUCT(--(Lineups!$A$5:$A$42="SP*"),--(Lineups!$C$4:$C$41=$B84),Lineups!$AW$5:$AW$42))</f>
        <v>0</v>
      </c>
      <c r="Q84" s="16">
        <f t="shared" ca="1" si="50"/>
        <v>0</v>
      </c>
      <c r="T84" s="16">
        <f t="shared" si="51"/>
        <v>7</v>
      </c>
      <c r="U84" s="16" t="str">
        <f t="shared" si="52"/>
        <v>223</v>
      </c>
      <c r="V84" s="16" t="str">
        <f t="shared" si="52"/>
        <v>Frida Killah</v>
      </c>
      <c r="W84" s="16">
        <f ca="1">IF($U84="","",SUMPRODUCT(--(Lineups!$AG$4:$AG$41=$U84),--(Lineups!$AB$4:$AB$41=""),Lineups!$W$4:$W$41)+SUMPRODUCT(--(Lineups!$AA$5:$AA$42="SP*"),--(Lineups!$AG$4:$AG$41=$U84),--(Lineups!$AB$4:$AB$41=""),Lineups!$W$5:$W$42))</f>
        <v>0</v>
      </c>
      <c r="Y84" s="142">
        <f ca="1">IF($U84="","",SUMPRODUCT(--(Lineups!$AG$4:$AG$41=$U84),--(Lineups!$AB$4:$AB$41="X"),Lineups!$W$4:$W$41)+SUMPRODUCT(--(Lineups!$AA$5:$AA$42="SP*"),--(Lineups!$AG$4:$AG$41=$U84),--(Lineups!$AB$4:$AB$41="X"),Lineups!$W$5:$W$42))</f>
        <v>0</v>
      </c>
      <c r="Z84" s="142">
        <f ca="1">IF($U84="","",SUMPRODUCT(--(Lineups!$AK$4:$AK$41=$U84),Lineups!$W$4:$W$41) + SUMPRODUCT(--(Lineups!$AA$5:$AA$42="SP*"),--(Lineups!$AK$4:$AK$41=$U84),Lineups!$W$5:$W$42))</f>
        <v>0</v>
      </c>
      <c r="AA84" s="142">
        <f ca="1">IF($U84="","",SUMPRODUCT(--(Lineups!$AO$4:$AO$41=$U84),Lineups!$W$4:$W$41) + SUMPRODUCT(--(Lineups!$AA$5:$AA$42="SP*"),--(Lineups!$AO$4:$AO$41=$U84),Lineups!$W$5:$W$42))</f>
        <v>0</v>
      </c>
      <c r="AB84" s="142">
        <f ca="1">IF($U84="","",SUMPRODUCT(--(Lineups!$AS$4:$AS$41=$U84),Lineups!$W$4:$W$41) + SUMPRODUCT(--(Lineups!$AA$5:$AA$42="SP*"),--(Lineups!$AS$4:$AS$41=$U84),Lineups!$W$5:$W$42))</f>
        <v>0</v>
      </c>
      <c r="AC84" s="16">
        <f t="shared" ca="1" si="53"/>
        <v>0</v>
      </c>
      <c r="AE84" s="16">
        <f t="shared" ca="1" si="54"/>
        <v>0</v>
      </c>
      <c r="AH84" s="16">
        <f ca="1">IF($U84="","",SUMPRODUCT(--(Lineups!$AC$4:$AC$41=$U84),Lineups!$W$4:$W$41) + SUMPRODUCT(--(Lineups!$AA$5:$AA$42="SP*"),--(Lineups!$AC$4:$AC$41=$U84),Lineups!$W$5:$W$42))</f>
        <v>8</v>
      </c>
      <c r="AJ84" s="16">
        <f t="shared" ca="1" si="55"/>
        <v>8</v>
      </c>
    </row>
    <row r="85" spans="1:36" x14ac:dyDescent="0.3">
      <c r="A85" s="131">
        <f t="shared" si="46"/>
        <v>8</v>
      </c>
      <c r="B85" s="131" t="str">
        <f t="shared" si="47"/>
        <v>237</v>
      </c>
      <c r="C85" s="131" t="str">
        <f t="shared" si="47"/>
        <v>RedRum</v>
      </c>
      <c r="D85" s="131">
        <f ca="1">IF($B85="","",SUMPRODUCT(--(Lineups!$G$4:$G$41=$B85),--(Lineups!$B$4:$B$41=""),Lineups!$AW$4:$AW$41)+SUMPRODUCT(--(Lineups!$A$5:$A$42="SP*"),--(Lineups!$G$4:$G$41=$B85),--(Lineups!$B$4:$B$41=""),Lineups!$AW$5:$AW$42))</f>
        <v>0</v>
      </c>
      <c r="F85" s="142">
        <f ca="1">IF($B85="","",SUMPRODUCT(--(Lineups!$G$4:$G$41=$B85),--(Lineups!$B$4:$B$41="X"),Lineups!$AW$4:$AW$41)+SUMPRODUCT(--(Lineups!$A$5:$A$42="SP*"),--(Lineups!$G$4:$G$41=$B85),--(Lineups!$B$4:$B$41="X"),Lineups!$AW$5:$AW$42))</f>
        <v>0</v>
      </c>
      <c r="G85" s="142">
        <f ca="1">IF($B85="","",SUMPRODUCT(--(Lineups!$K$4:$K$41=$B85),Lineups!$AW$4:$AW$41) + SUMPRODUCT(--(Lineups!$A$5:$A$42="SP*"),--(Lineups!$K$4:$K$41=$B85),Lineups!$AW$5:$AW$42))</f>
        <v>4</v>
      </c>
      <c r="H85" s="142">
        <f ca="1">IF($B85="","",SUMPRODUCT(--(Lineups!$O$4:$O$41=$B85),Lineups!$AW$4:$AW$41) + SUMPRODUCT(--(Lineups!$A$5:$A$42="SP*"),--(Lineups!$O$4:$O$41=$B85),Lineups!$AW$5:$AW$42))</f>
        <v>0</v>
      </c>
      <c r="I85" s="142">
        <f ca="1">IF($B85="","",SUMPRODUCT(--(Lineups!$S$4:$S$41=$B85),Lineups!$AW$4:$AW$41) + SUMPRODUCT(--(Lineups!$A$5:$A$42="SP*"),--(Lineups!$S$4:$S$41=$B85),Lineups!$AW$5:$AW$42))</f>
        <v>7</v>
      </c>
      <c r="J85" s="131">
        <f t="shared" ca="1" si="48"/>
        <v>11</v>
      </c>
      <c r="L85" s="131">
        <f t="shared" ca="1" si="49"/>
        <v>11</v>
      </c>
      <c r="O85" s="131">
        <f ca="1">IF($B85="","",SUMPRODUCT(--(Lineups!$C$4:$C$41=$B85),Lineups!$AW$4:$AW$41) + SUMPRODUCT(--(Lineups!$A$5:$A$42="SP*"),--(Lineups!$C$4:$C$41=$B85),Lineups!$AW$5:$AW$42))</f>
        <v>0</v>
      </c>
      <c r="Q85" s="131">
        <f t="shared" ca="1" si="50"/>
        <v>11</v>
      </c>
      <c r="T85" s="131">
        <f t="shared" si="51"/>
        <v>8</v>
      </c>
      <c r="U85" s="131" t="str">
        <f t="shared" si="52"/>
        <v>23</v>
      </c>
      <c r="V85" s="131" t="str">
        <f t="shared" si="52"/>
        <v>Towanda Woman</v>
      </c>
      <c r="W85" s="131">
        <f ca="1">IF($U85="","",SUMPRODUCT(--(Lineups!$AG$4:$AG$41=$U85),--(Lineups!$AB$4:$AB$41=""),Lineups!$W$4:$W$41)+SUMPRODUCT(--(Lineups!$AA$5:$AA$42="SP*"),--(Lineups!$AG$4:$AG$41=$U85),--(Lineups!$AB$4:$AB$41=""),Lineups!$W$5:$W$42))</f>
        <v>0</v>
      </c>
      <c r="Y85" s="142">
        <f ca="1">IF($U85="","",SUMPRODUCT(--(Lineups!$AG$4:$AG$41=$U85),--(Lineups!$AB$4:$AB$41="X"),Lineups!$W$4:$W$41)+SUMPRODUCT(--(Lineups!$AA$5:$AA$42="SP*"),--(Lineups!$AG$4:$AG$41=$U85),--(Lineups!$AB$4:$AB$41="X"),Lineups!$W$5:$W$42))</f>
        <v>0</v>
      </c>
      <c r="Z85" s="142">
        <f ca="1">IF($U85="","",SUMPRODUCT(--(Lineups!$AK$4:$AK$41=$U85),Lineups!$W$4:$W$41) + SUMPRODUCT(--(Lineups!$AA$5:$AA$42="SP*"),--(Lineups!$AK$4:$AK$41=$U85),Lineups!$W$5:$W$42))</f>
        <v>0</v>
      </c>
      <c r="AA85" s="142">
        <f ca="1">IF($U85="","",SUMPRODUCT(--(Lineups!$AO$4:$AO$41=$U85),Lineups!$W$4:$W$41) + SUMPRODUCT(--(Lineups!$AA$5:$AA$42="SP*"),--(Lineups!$AO$4:$AO$41=$U85),Lineups!$W$5:$W$42))</f>
        <v>0</v>
      </c>
      <c r="AB85" s="142">
        <f ca="1">IF($U85="","",SUMPRODUCT(--(Lineups!$AS$4:$AS$41=$U85),Lineups!$W$4:$W$41) + SUMPRODUCT(--(Lineups!$AA$5:$AA$42="SP*"),--(Lineups!$AS$4:$AS$41=$U85),Lineups!$W$5:$W$42))</f>
        <v>0</v>
      </c>
      <c r="AC85" s="131">
        <f t="shared" ca="1" si="53"/>
        <v>0</v>
      </c>
      <c r="AE85" s="131">
        <f t="shared" ca="1" si="54"/>
        <v>0</v>
      </c>
      <c r="AH85" s="131">
        <f ca="1">IF($U85="","",SUMPRODUCT(--(Lineups!$AC$4:$AC$41=$U85),Lineups!$W$4:$W$41) + SUMPRODUCT(--(Lineups!$AA$5:$AA$42="SP*"),--(Lineups!$AC$4:$AC$41=$U85),Lineups!$W$5:$W$42))</f>
        <v>20</v>
      </c>
      <c r="AJ85" s="131">
        <f t="shared" ca="1" si="55"/>
        <v>20</v>
      </c>
    </row>
    <row r="86" spans="1:36" x14ac:dyDescent="0.3">
      <c r="A86" s="16">
        <f t="shared" si="46"/>
        <v>9</v>
      </c>
      <c r="B86" s="16" t="str">
        <f t="shared" si="47"/>
        <v>282*</v>
      </c>
      <c r="C86" s="16" t="str">
        <f t="shared" si="47"/>
        <v>Dash Ketchum</v>
      </c>
      <c r="D86" s="16">
        <f ca="1">IF($B86="","",SUMPRODUCT(--(Lineups!$G$4:$G$41=$B86),--(Lineups!$B$4:$B$41=""),Lineups!$AW$4:$AW$41)+SUMPRODUCT(--(Lineups!$A$5:$A$42="SP*"),--(Lineups!$G$4:$G$41=$B86),--(Lineups!$B$4:$B$41=""),Lineups!$AW$5:$AW$42))</f>
        <v>0</v>
      </c>
      <c r="F86" s="142">
        <f ca="1">IF($B86="","",SUMPRODUCT(--(Lineups!$G$4:$G$41=$B86),--(Lineups!$B$4:$B$41="X"),Lineups!$AW$4:$AW$41)+SUMPRODUCT(--(Lineups!$A$5:$A$42="SP*"),--(Lineups!$G$4:$G$41=$B86),--(Lineups!$B$4:$B$41="X"),Lineups!$AW$5:$AW$42))</f>
        <v>0</v>
      </c>
      <c r="G86" s="142">
        <f ca="1">IF($B86="","",SUMPRODUCT(--(Lineups!$K$4:$K$41=$B86),Lineups!$AW$4:$AW$41) + SUMPRODUCT(--(Lineups!$A$5:$A$42="SP*"),--(Lineups!$K$4:$K$41=$B86),Lineups!$AW$5:$AW$42))</f>
        <v>0</v>
      </c>
      <c r="H86" s="142">
        <f ca="1">IF($B86="","",SUMPRODUCT(--(Lineups!$O$4:$O$41=$B86),Lineups!$AW$4:$AW$41) + SUMPRODUCT(--(Lineups!$A$5:$A$42="SP*"),--(Lineups!$O$4:$O$41=$B86),Lineups!$AW$5:$AW$42))</f>
        <v>0</v>
      </c>
      <c r="I86" s="142">
        <f ca="1">IF($B86="","",SUMPRODUCT(--(Lineups!$S$4:$S$41=$B86),Lineups!$AW$4:$AW$41) + SUMPRODUCT(--(Lineups!$A$5:$A$42="SP*"),--(Lineups!$S$4:$S$41=$B86),Lineups!$AW$5:$AW$42))</f>
        <v>0</v>
      </c>
      <c r="J86" s="16">
        <f t="shared" ca="1" si="48"/>
        <v>0</v>
      </c>
      <c r="L86" s="16">
        <f t="shared" ca="1" si="49"/>
        <v>0</v>
      </c>
      <c r="O86" s="16">
        <f ca="1">IF($B86="","",SUMPRODUCT(--(Lineups!$C$4:$C$41=$B86),Lineups!$AW$4:$AW$41) + SUMPRODUCT(--(Lineups!$A$5:$A$42="SP*"),--(Lineups!$C$4:$C$41=$B86),Lineups!$AW$5:$AW$42))</f>
        <v>0</v>
      </c>
      <c r="Q86" s="16">
        <f t="shared" ca="1" si="50"/>
        <v>0</v>
      </c>
      <c r="T86" s="16">
        <f t="shared" si="51"/>
        <v>9</v>
      </c>
      <c r="U86" s="16" t="str">
        <f t="shared" si="52"/>
        <v>25</v>
      </c>
      <c r="V86" s="16" t="str">
        <f t="shared" si="52"/>
        <v>Ally McKill</v>
      </c>
      <c r="W86" s="16">
        <f ca="1">IF($U86="","",SUMPRODUCT(--(Lineups!$AG$4:$AG$41=$U86),--(Lineups!$AB$4:$AB$41=""),Lineups!$W$4:$W$41)+SUMPRODUCT(--(Lineups!$AA$5:$AA$42="SP*"),--(Lineups!$AG$4:$AG$41=$U86),--(Lineups!$AB$4:$AB$41=""),Lineups!$W$5:$W$42))</f>
        <v>4</v>
      </c>
      <c r="Y86" s="142">
        <f ca="1">IF($U86="","",SUMPRODUCT(--(Lineups!$AG$4:$AG$41=$U86),--(Lineups!$AB$4:$AB$41="X"),Lineups!$W$4:$W$41)+SUMPRODUCT(--(Lineups!$AA$5:$AA$42="SP*"),--(Lineups!$AG$4:$AG$41=$U86),--(Lineups!$AB$4:$AB$41="X"),Lineups!$W$5:$W$42))</f>
        <v>0</v>
      </c>
      <c r="Z86" s="142">
        <f ca="1">IF($U86="","",SUMPRODUCT(--(Lineups!$AK$4:$AK$41=$U86),Lineups!$W$4:$W$41) + SUMPRODUCT(--(Lineups!$AA$5:$AA$42="SP*"),--(Lineups!$AK$4:$AK$41=$U86),Lineups!$W$5:$W$42))</f>
        <v>8</v>
      </c>
      <c r="AA86" s="142">
        <f ca="1">IF($U86="","",SUMPRODUCT(--(Lineups!$AO$4:$AO$41=$U86),Lineups!$W$4:$W$41) + SUMPRODUCT(--(Lineups!$AA$5:$AA$42="SP*"),--(Lineups!$AO$4:$AO$41=$U86),Lineups!$W$5:$W$42))</f>
        <v>4</v>
      </c>
      <c r="AB86" s="142">
        <f ca="1">IF($U86="","",SUMPRODUCT(--(Lineups!$AS$4:$AS$41=$U86),Lineups!$W$4:$W$41) + SUMPRODUCT(--(Lineups!$AA$5:$AA$42="SP*"),--(Lineups!$AS$4:$AS$41=$U86),Lineups!$W$5:$W$42))</f>
        <v>23</v>
      </c>
      <c r="AC86" s="16">
        <f t="shared" ca="1" si="53"/>
        <v>35</v>
      </c>
      <c r="AE86" s="16">
        <f t="shared" ca="1" si="54"/>
        <v>39</v>
      </c>
      <c r="AH86" s="16">
        <f ca="1">IF($U86="","",SUMPRODUCT(--(Lineups!$AC$4:$AC$41=$U86),Lineups!$W$4:$W$41) + SUMPRODUCT(--(Lineups!$AA$5:$AA$42="SP*"),--(Lineups!$AC$4:$AC$41=$U86),Lineups!$W$5:$W$42))</f>
        <v>0</v>
      </c>
      <c r="AJ86" s="16">
        <f t="shared" ca="1" si="55"/>
        <v>39</v>
      </c>
    </row>
    <row r="87" spans="1:36" x14ac:dyDescent="0.3">
      <c r="A87" s="131">
        <f t="shared" si="46"/>
        <v>10</v>
      </c>
      <c r="B87" s="131" t="str">
        <f t="shared" si="47"/>
        <v>337</v>
      </c>
      <c r="C87" s="131" t="str">
        <f t="shared" si="47"/>
        <v>Susan Sure Ram Dem</v>
      </c>
      <c r="D87" s="131">
        <f ca="1">IF($B87="","",SUMPRODUCT(--(Lineups!$G$4:$G$41=$B87),--(Lineups!$B$4:$B$41=""),Lineups!$AW$4:$AW$41)+SUMPRODUCT(--(Lineups!$A$5:$A$42="SP*"),--(Lineups!$G$4:$G$41=$B87),--(Lineups!$B$4:$B$41=""),Lineups!$AW$5:$AW$42))</f>
        <v>0</v>
      </c>
      <c r="F87" s="142">
        <f ca="1">IF($B87="","",SUMPRODUCT(--(Lineups!$G$4:$G$41=$B87),--(Lineups!$B$4:$B$41="X"),Lineups!$AW$4:$AW$41)+SUMPRODUCT(--(Lineups!$A$5:$A$42="SP*"),--(Lineups!$G$4:$G$41=$B87),--(Lineups!$B$4:$B$41="X"),Lineups!$AW$5:$AW$42))</f>
        <v>0</v>
      </c>
      <c r="G87" s="142">
        <f ca="1">IF($B87="","",SUMPRODUCT(--(Lineups!$K$4:$K$41=$B87),Lineups!$AW$4:$AW$41) + SUMPRODUCT(--(Lineups!$A$5:$A$42="SP*"),--(Lineups!$K$4:$K$41=$B87),Lineups!$AW$5:$AW$42))</f>
        <v>4</v>
      </c>
      <c r="H87" s="142">
        <f ca="1">IF($B87="","",SUMPRODUCT(--(Lineups!$O$4:$O$41=$B87),Lineups!$AW$4:$AW$41) + SUMPRODUCT(--(Lineups!$A$5:$A$42="SP*"),--(Lineups!$O$4:$O$41=$B87),Lineups!$AW$5:$AW$42))</f>
        <v>16</v>
      </c>
      <c r="I87" s="142">
        <f ca="1">IF($B87="","",SUMPRODUCT(--(Lineups!$S$4:$S$41=$B87),Lineups!$AW$4:$AW$41) + SUMPRODUCT(--(Lineups!$A$5:$A$42="SP*"),--(Lineups!$S$4:$S$41=$B87),Lineups!$AW$5:$AW$42))</f>
        <v>11</v>
      </c>
      <c r="J87" s="131">
        <f t="shared" ca="1" si="48"/>
        <v>31</v>
      </c>
      <c r="L87" s="131">
        <f t="shared" ca="1" si="49"/>
        <v>31</v>
      </c>
      <c r="O87" s="131">
        <f ca="1">IF($B87="","",SUMPRODUCT(--(Lineups!$C$4:$C$41=$B87),Lineups!$AW$4:$AW$41) + SUMPRODUCT(--(Lineups!$A$5:$A$42="SP*"),--(Lineups!$C$4:$C$41=$B87),Lineups!$AW$5:$AW$42))</f>
        <v>0</v>
      </c>
      <c r="Q87" s="131">
        <f t="shared" ca="1" si="50"/>
        <v>31</v>
      </c>
      <c r="T87" s="131">
        <f t="shared" si="51"/>
        <v>10</v>
      </c>
      <c r="U87" s="131" t="str">
        <f t="shared" si="52"/>
        <v>26</v>
      </c>
      <c r="V87" s="131" t="str">
        <f t="shared" si="52"/>
        <v>Strange</v>
      </c>
      <c r="W87" s="131">
        <f ca="1">IF($U87="","",SUMPRODUCT(--(Lineups!$AG$4:$AG$41=$U87),--(Lineups!$AB$4:$AB$41=""),Lineups!$W$4:$W$41)+SUMPRODUCT(--(Lineups!$AA$5:$AA$42="SP*"),--(Lineups!$AG$4:$AG$41=$U87),--(Lineups!$AB$4:$AB$41=""),Lineups!$W$5:$W$42))</f>
        <v>0</v>
      </c>
      <c r="Y87" s="142">
        <f ca="1">IF($U87="","",SUMPRODUCT(--(Lineups!$AG$4:$AG$41=$U87),--(Lineups!$AB$4:$AB$41="X"),Lineups!$W$4:$W$41)+SUMPRODUCT(--(Lineups!$AA$5:$AA$42="SP*"),--(Lineups!$AG$4:$AG$41=$U87),--(Lineups!$AB$4:$AB$41="X"),Lineups!$W$5:$W$42))</f>
        <v>0</v>
      </c>
      <c r="Z87" s="142">
        <f ca="1">IF($U87="","",SUMPRODUCT(--(Lineups!$AK$4:$AK$41=$U87),Lineups!$W$4:$W$41) + SUMPRODUCT(--(Lineups!$AA$5:$AA$42="SP*"),--(Lineups!$AK$4:$AK$41=$U87),Lineups!$W$5:$W$42))</f>
        <v>12</v>
      </c>
      <c r="AA87" s="142">
        <f ca="1">IF($U87="","",SUMPRODUCT(--(Lineups!$AO$4:$AO$41=$U87),Lineups!$W$4:$W$41) + SUMPRODUCT(--(Lineups!$AA$5:$AA$42="SP*"),--(Lineups!$AO$4:$AO$41=$U87),Lineups!$W$5:$W$42))</f>
        <v>8</v>
      </c>
      <c r="AB87" s="142">
        <f ca="1">IF($U87="","",SUMPRODUCT(--(Lineups!$AS$4:$AS$41=$U87),Lineups!$W$4:$W$41) + SUMPRODUCT(--(Lineups!$AA$5:$AA$42="SP*"),--(Lineups!$AS$4:$AS$41=$U87),Lineups!$W$5:$W$42))</f>
        <v>8</v>
      </c>
      <c r="AC87" s="131">
        <f t="shared" ca="1" si="53"/>
        <v>28</v>
      </c>
      <c r="AE87" s="131">
        <f t="shared" ca="1" si="54"/>
        <v>28</v>
      </c>
      <c r="AH87" s="131">
        <f ca="1">IF($U87="","",SUMPRODUCT(--(Lineups!$AC$4:$AC$41=$U87),Lineups!$W$4:$W$41) + SUMPRODUCT(--(Lineups!$AA$5:$AA$42="SP*"),--(Lineups!$AC$4:$AC$41=$U87),Lineups!$W$5:$W$42))</f>
        <v>0</v>
      </c>
      <c r="AJ87" s="131">
        <f t="shared" ca="1" si="55"/>
        <v>28</v>
      </c>
    </row>
    <row r="88" spans="1:36" x14ac:dyDescent="0.3">
      <c r="A88" s="16">
        <f t="shared" si="46"/>
        <v>11</v>
      </c>
      <c r="B88" s="16" t="str">
        <f t="shared" si="47"/>
        <v>352</v>
      </c>
      <c r="C88" s="16" t="str">
        <f t="shared" si="47"/>
        <v>Olive Havoc</v>
      </c>
      <c r="D88" s="16">
        <f ca="1">IF($B88="","",SUMPRODUCT(--(Lineups!$G$4:$G$41=$B88),--(Lineups!$B$4:$B$41=""),Lineups!$AW$4:$AW$41)+SUMPRODUCT(--(Lineups!$A$5:$A$42="SP*"),--(Lineups!$G$4:$G$41=$B88),--(Lineups!$B$4:$B$41=""),Lineups!$AW$5:$AW$42))</f>
        <v>0</v>
      </c>
      <c r="F88" s="142">
        <f ca="1">IF($B88="","",SUMPRODUCT(--(Lineups!$G$4:$G$41=$B88),--(Lineups!$B$4:$B$41="X"),Lineups!$AW$4:$AW$41)+SUMPRODUCT(--(Lineups!$A$5:$A$42="SP*"),--(Lineups!$G$4:$G$41=$B88),--(Lineups!$B$4:$B$41="X"),Lineups!$AW$5:$AW$42))</f>
        <v>0</v>
      </c>
      <c r="G88" s="142">
        <f ca="1">IF($B88="","",SUMPRODUCT(--(Lineups!$K$4:$K$41=$B88),Lineups!$AW$4:$AW$41) + SUMPRODUCT(--(Lineups!$A$5:$A$42="SP*"),--(Lineups!$K$4:$K$41=$B88),Lineups!$AW$5:$AW$42))</f>
        <v>0</v>
      </c>
      <c r="H88" s="142">
        <f ca="1">IF($B88="","",SUMPRODUCT(--(Lineups!$O$4:$O$41=$B88),Lineups!$AW$4:$AW$41) + SUMPRODUCT(--(Lineups!$A$5:$A$42="SP*"),--(Lineups!$O$4:$O$41=$B88),Lineups!$AW$5:$AW$42))</f>
        <v>0</v>
      </c>
      <c r="I88" s="142">
        <f ca="1">IF($B88="","",SUMPRODUCT(--(Lineups!$S$4:$S$41=$B88),Lineups!$AW$4:$AW$41) + SUMPRODUCT(--(Lineups!$A$5:$A$42="SP*"),--(Lineups!$S$4:$S$41=$B88),Lineups!$AW$5:$AW$42))</f>
        <v>0</v>
      </c>
      <c r="J88" s="16">
        <f t="shared" ca="1" si="48"/>
        <v>0</v>
      </c>
      <c r="L88" s="16">
        <f t="shared" ca="1" si="49"/>
        <v>0</v>
      </c>
      <c r="O88" s="16">
        <f ca="1">IF($B88="","",SUMPRODUCT(--(Lineups!$C$4:$C$41=$B88),Lineups!$AW$4:$AW$41) + SUMPRODUCT(--(Lineups!$A$5:$A$42="SP*"),--(Lineups!$C$4:$C$41=$B88),Lineups!$AW$5:$AW$42))</f>
        <v>29</v>
      </c>
      <c r="Q88" s="16">
        <f t="shared" ca="1" si="50"/>
        <v>29</v>
      </c>
      <c r="T88" s="16">
        <f t="shared" si="51"/>
        <v>11</v>
      </c>
      <c r="U88" s="16" t="str">
        <f t="shared" si="52"/>
        <v>49</v>
      </c>
      <c r="V88" s="16" t="str">
        <f t="shared" si="52"/>
        <v>Gnarly Manson</v>
      </c>
      <c r="W88" s="16">
        <f ca="1">IF($U88="","",SUMPRODUCT(--(Lineups!$AG$4:$AG$41=$U88),--(Lineups!$AB$4:$AB$41=""),Lineups!$W$4:$W$41)+SUMPRODUCT(--(Lineups!$AA$5:$AA$42="SP*"),--(Lineups!$AG$4:$AG$41=$U88),--(Lineups!$AB$4:$AB$41=""),Lineups!$W$5:$W$42))</f>
        <v>0</v>
      </c>
      <c r="Y88" s="142">
        <f ca="1">IF($U88="","",SUMPRODUCT(--(Lineups!$AG$4:$AG$41=$U88),--(Lineups!$AB$4:$AB$41="X"),Lineups!$W$4:$W$41)+SUMPRODUCT(--(Lineups!$AA$5:$AA$42="SP*"),--(Lineups!$AG$4:$AG$41=$U88),--(Lineups!$AB$4:$AB$41="X"),Lineups!$W$5:$W$42))</f>
        <v>0</v>
      </c>
      <c r="Z88" s="142">
        <f ca="1">IF($U88="","",SUMPRODUCT(--(Lineups!$AK$4:$AK$41=$U88),Lineups!$W$4:$W$41) + SUMPRODUCT(--(Lineups!$AA$5:$AA$42="SP*"),--(Lineups!$AK$4:$AK$41=$U88),Lineups!$W$5:$W$42))</f>
        <v>4</v>
      </c>
      <c r="AA88" s="142">
        <f ca="1">IF($U88="","",SUMPRODUCT(--(Lineups!$AO$4:$AO$41=$U88),Lineups!$W$4:$W$41) + SUMPRODUCT(--(Lineups!$AA$5:$AA$42="SP*"),--(Lineups!$AO$4:$AO$41=$U88),Lineups!$W$5:$W$42))</f>
        <v>0</v>
      </c>
      <c r="AB88" s="142">
        <f ca="1">IF($U88="","",SUMPRODUCT(--(Lineups!$AS$4:$AS$41=$U88),Lineups!$W$4:$W$41) + SUMPRODUCT(--(Lineups!$AA$5:$AA$42="SP*"),--(Lineups!$AS$4:$AS$41=$U88),Lineups!$W$5:$W$42))</f>
        <v>0</v>
      </c>
      <c r="AC88" s="16">
        <f t="shared" ca="1" si="53"/>
        <v>4</v>
      </c>
      <c r="AE88" s="16">
        <f t="shared" ca="1" si="54"/>
        <v>4</v>
      </c>
      <c r="AH88" s="16">
        <f ca="1">IF($U88="","",SUMPRODUCT(--(Lineups!$AC$4:$AC$41=$U88),Lineups!$W$4:$W$41) + SUMPRODUCT(--(Lineups!$AA$5:$AA$42="SP*"),--(Lineups!$AC$4:$AC$41=$U88),Lineups!$W$5:$W$42))</f>
        <v>30</v>
      </c>
      <c r="AJ88" s="16">
        <f t="shared" ca="1" si="55"/>
        <v>34</v>
      </c>
    </row>
    <row r="89" spans="1:36" x14ac:dyDescent="0.3">
      <c r="A89" s="131">
        <f t="shared" si="46"/>
        <v>12</v>
      </c>
      <c r="B89" s="131" t="str">
        <f t="shared" si="47"/>
        <v>36</v>
      </c>
      <c r="C89" s="131" t="str">
        <f t="shared" si="47"/>
        <v>Meanie</v>
      </c>
      <c r="D89" s="131">
        <f ca="1">IF($B89="","",SUMPRODUCT(--(Lineups!$G$4:$G$41=$B89),--(Lineups!$B$4:$B$41=""),Lineups!$AW$4:$AW$41)+SUMPRODUCT(--(Lineups!$A$5:$A$42="SP*"),--(Lineups!$G$4:$G$41=$B89),--(Lineups!$B$4:$B$41=""),Lineups!$AW$5:$AW$42))</f>
        <v>0</v>
      </c>
      <c r="F89" s="142">
        <f ca="1">IF($B89="","",SUMPRODUCT(--(Lineups!$G$4:$G$41=$B89),--(Lineups!$B$4:$B$41="X"),Lineups!$AW$4:$AW$41)+SUMPRODUCT(--(Lineups!$A$5:$A$42="SP*"),--(Lineups!$G$4:$G$41=$B89),--(Lineups!$B$4:$B$41="X"),Lineups!$AW$5:$AW$42))</f>
        <v>0</v>
      </c>
      <c r="G89" s="142">
        <f ca="1">IF($B89="","",SUMPRODUCT(--(Lineups!$K$4:$K$41=$B89),Lineups!$AW$4:$AW$41) + SUMPRODUCT(--(Lineups!$A$5:$A$42="SP*"),--(Lineups!$K$4:$K$41=$B89),Lineups!$AW$5:$AW$42))</f>
        <v>4</v>
      </c>
      <c r="H89" s="142">
        <f ca="1">IF($B89="","",SUMPRODUCT(--(Lineups!$O$4:$O$41=$B89),Lineups!$AW$4:$AW$41) + SUMPRODUCT(--(Lineups!$A$5:$A$42="SP*"),--(Lineups!$O$4:$O$41=$B89),Lineups!$AW$5:$AW$42))</f>
        <v>0</v>
      </c>
      <c r="I89" s="142">
        <f ca="1">IF($B89="","",SUMPRODUCT(--(Lineups!$S$4:$S$41=$B89),Lineups!$AW$4:$AW$41) + SUMPRODUCT(--(Lineups!$A$5:$A$42="SP*"),--(Lineups!$S$4:$S$41=$B89),Lineups!$AW$5:$AW$42))</f>
        <v>0</v>
      </c>
      <c r="J89" s="131">
        <f t="shared" ca="1" si="48"/>
        <v>4</v>
      </c>
      <c r="L89" s="131">
        <f t="shared" ca="1" si="49"/>
        <v>4</v>
      </c>
      <c r="O89" s="131">
        <f ca="1">IF($B89="","",SUMPRODUCT(--(Lineups!$C$4:$C$41=$B89),Lineups!$AW$4:$AW$41) + SUMPRODUCT(--(Lineups!$A$5:$A$42="SP*"),--(Lineups!$C$4:$C$41=$B89),Lineups!$AW$5:$AW$42))</f>
        <v>0</v>
      </c>
      <c r="Q89" s="131">
        <f t="shared" ca="1" si="50"/>
        <v>4</v>
      </c>
      <c r="T89" s="131">
        <f t="shared" si="51"/>
        <v>12</v>
      </c>
      <c r="U89" s="131" t="str">
        <f t="shared" si="52"/>
        <v>78</v>
      </c>
      <c r="V89" s="131" t="str">
        <f t="shared" si="52"/>
        <v>Debbie Scary</v>
      </c>
      <c r="W89" s="131">
        <f ca="1">IF($U89="","",SUMPRODUCT(--(Lineups!$AG$4:$AG$41=$U89),--(Lineups!$AB$4:$AB$41=""),Lineups!$W$4:$W$41)+SUMPRODUCT(--(Lineups!$AA$5:$AA$42="SP*"),--(Lineups!$AG$4:$AG$41=$U89),--(Lineups!$AB$4:$AB$41=""),Lineups!$W$5:$W$42))</f>
        <v>0</v>
      </c>
      <c r="Y89" s="142">
        <f ca="1">IF($U89="","",SUMPRODUCT(--(Lineups!$AG$4:$AG$41=$U89),--(Lineups!$AB$4:$AB$41="X"),Lineups!$W$4:$W$41)+SUMPRODUCT(--(Lineups!$AA$5:$AA$42="SP*"),--(Lineups!$AG$4:$AG$41=$U89),--(Lineups!$AB$4:$AB$41="X"),Lineups!$W$5:$W$42))</f>
        <v>0</v>
      </c>
      <c r="Z89" s="142">
        <f ca="1">IF($U89="","",SUMPRODUCT(--(Lineups!$AK$4:$AK$41=$U89),Lineups!$W$4:$W$41) + SUMPRODUCT(--(Lineups!$AA$5:$AA$42="SP*"),--(Lineups!$AK$4:$AK$41=$U89),Lineups!$W$5:$W$42))</f>
        <v>0</v>
      </c>
      <c r="AA89" s="142">
        <f ca="1">IF($U89="","",SUMPRODUCT(--(Lineups!$AO$4:$AO$41=$U89),Lineups!$W$4:$W$41) + SUMPRODUCT(--(Lineups!$AA$5:$AA$42="SP*"),--(Lineups!$AO$4:$AO$41=$U89),Lineups!$W$5:$W$42))</f>
        <v>0</v>
      </c>
      <c r="AB89" s="142">
        <f ca="1">IF($U89="","",SUMPRODUCT(--(Lineups!$AS$4:$AS$41=$U89),Lineups!$W$4:$W$41) + SUMPRODUCT(--(Lineups!$AA$5:$AA$42="SP*"),--(Lineups!$AS$4:$AS$41=$U89),Lineups!$W$5:$W$42))</f>
        <v>0</v>
      </c>
      <c r="AC89" s="131">
        <f t="shared" ca="1" si="53"/>
        <v>0</v>
      </c>
      <c r="AE89" s="131">
        <f t="shared" ca="1" si="54"/>
        <v>0</v>
      </c>
      <c r="AH89" s="131">
        <f ca="1">IF($U89="","",SUMPRODUCT(--(Lineups!$AC$4:$AC$41=$U89),Lineups!$W$4:$W$41) + SUMPRODUCT(--(Lineups!$AA$5:$AA$42="SP*"),--(Lineups!$AC$4:$AC$41=$U89),Lineups!$W$5:$W$42))</f>
        <v>0</v>
      </c>
      <c r="AJ89" s="131">
        <f t="shared" ca="1" si="55"/>
        <v>0</v>
      </c>
    </row>
    <row r="90" spans="1:36" x14ac:dyDescent="0.3">
      <c r="A90" s="16">
        <f t="shared" si="46"/>
        <v>13</v>
      </c>
      <c r="B90" s="16" t="str">
        <f t="shared" si="47"/>
        <v>64</v>
      </c>
      <c r="C90" s="16" t="str">
        <f t="shared" si="47"/>
        <v>Cruzella</v>
      </c>
      <c r="D90" s="16">
        <f ca="1">IF($B90="","",SUMPRODUCT(--(Lineups!$G$4:$G$41=$B90),--(Lineups!$B$4:$B$41=""),Lineups!$AW$4:$AW$41)+SUMPRODUCT(--(Lineups!$A$5:$A$42="SP*"),--(Lineups!$G$4:$G$41=$B90),--(Lineups!$B$4:$B$41=""),Lineups!$AW$5:$AW$42))</f>
        <v>0</v>
      </c>
      <c r="F90" s="142">
        <f ca="1">IF($B90="","",SUMPRODUCT(--(Lineups!$G$4:$G$41=$B90),--(Lineups!$B$4:$B$41="X"),Lineups!$AW$4:$AW$41)+SUMPRODUCT(--(Lineups!$A$5:$A$42="SP*"),--(Lineups!$G$4:$G$41=$B90),--(Lineups!$B$4:$B$41="X"),Lineups!$AW$5:$AW$42))</f>
        <v>0</v>
      </c>
      <c r="G90" s="142">
        <f ca="1">IF($B90="","",SUMPRODUCT(--(Lineups!$K$4:$K$41=$B90),Lineups!$AW$4:$AW$41) + SUMPRODUCT(--(Lineups!$A$5:$A$42="SP*"),--(Lineups!$K$4:$K$41=$B90),Lineups!$AW$5:$AW$42))</f>
        <v>0</v>
      </c>
      <c r="H90" s="142">
        <f ca="1">IF($B90="","",SUMPRODUCT(--(Lineups!$O$4:$O$41=$B90),Lineups!$AW$4:$AW$41) + SUMPRODUCT(--(Lineups!$A$5:$A$42="SP*"),--(Lineups!$O$4:$O$41=$B90),Lineups!$AW$5:$AW$42))</f>
        <v>0</v>
      </c>
      <c r="I90" s="142">
        <f ca="1">IF($B90="","",SUMPRODUCT(--(Lineups!$S$4:$S$41=$B90),Lineups!$AW$4:$AW$41) + SUMPRODUCT(--(Lineups!$A$5:$A$42="SP*"),--(Lineups!$S$4:$S$41=$B90),Lineups!$AW$5:$AW$42))</f>
        <v>0</v>
      </c>
      <c r="J90" s="16">
        <f t="shared" ca="1" si="48"/>
        <v>0</v>
      </c>
      <c r="L90" s="16">
        <f t="shared" ca="1" si="49"/>
        <v>0</v>
      </c>
      <c r="O90" s="16">
        <f ca="1">IF($B90="","",SUMPRODUCT(--(Lineups!$C$4:$C$41=$B90),Lineups!$AW$4:$AW$41) + SUMPRODUCT(--(Lineups!$A$5:$A$42="SP*"),--(Lineups!$C$4:$C$41=$B90),Lineups!$AW$5:$AW$42))</f>
        <v>0</v>
      </c>
      <c r="Q90" s="16">
        <f t="shared" ca="1" si="50"/>
        <v>0</v>
      </c>
      <c r="T90" s="16">
        <f t="shared" si="51"/>
        <v>13</v>
      </c>
      <c r="U90" s="16" t="str">
        <f t="shared" si="52"/>
        <v>8*</v>
      </c>
      <c r="V90" s="16" t="str">
        <f t="shared" si="52"/>
        <v>Venus Thigh Trap</v>
      </c>
      <c r="W90" s="16">
        <f ca="1">IF($U90="","",SUMPRODUCT(--(Lineups!$AG$4:$AG$41=$U90),--(Lineups!$AB$4:$AB$41=""),Lineups!$W$4:$W$41)+SUMPRODUCT(--(Lineups!$AA$5:$AA$42="SP*"),--(Lineups!$AG$4:$AG$41=$U90),--(Lineups!$AB$4:$AB$41=""),Lineups!$W$5:$W$42))</f>
        <v>0</v>
      </c>
      <c r="Y90" s="142">
        <f ca="1">IF($U90="","",SUMPRODUCT(--(Lineups!$AG$4:$AG$41=$U90),--(Lineups!$AB$4:$AB$41="X"),Lineups!$W$4:$W$41)+SUMPRODUCT(--(Lineups!$AA$5:$AA$42="SP*"),--(Lineups!$AG$4:$AG$41=$U90),--(Lineups!$AB$4:$AB$41="X"),Lineups!$W$5:$W$42))</f>
        <v>0</v>
      </c>
      <c r="Z90" s="142">
        <f ca="1">IF($U90="","",SUMPRODUCT(--(Lineups!$AK$4:$AK$41=$U90),Lineups!$W$4:$W$41) + SUMPRODUCT(--(Lineups!$AA$5:$AA$42="SP*"),--(Lineups!$AK$4:$AK$41=$U90),Lineups!$W$5:$W$42))</f>
        <v>0</v>
      </c>
      <c r="AA90" s="142">
        <f ca="1">IF($U90="","",SUMPRODUCT(--(Lineups!$AO$4:$AO$41=$U90),Lineups!$W$4:$W$41) + SUMPRODUCT(--(Lineups!$AA$5:$AA$42="SP*"),--(Lineups!$AO$4:$AO$41=$U90),Lineups!$W$5:$W$42))</f>
        <v>0</v>
      </c>
      <c r="AB90" s="142">
        <f ca="1">IF($U90="","",SUMPRODUCT(--(Lineups!$AS$4:$AS$41=$U90),Lineups!$W$4:$W$41) + SUMPRODUCT(--(Lineups!$AA$5:$AA$42="SP*"),--(Lineups!$AS$4:$AS$41=$U90),Lineups!$W$5:$W$42))</f>
        <v>0</v>
      </c>
      <c r="AC90" s="16">
        <f t="shared" ca="1" si="53"/>
        <v>0</v>
      </c>
      <c r="AE90" s="16">
        <f t="shared" ca="1" si="54"/>
        <v>0</v>
      </c>
      <c r="AH90" s="16">
        <f ca="1">IF($U90="","",SUMPRODUCT(--(Lineups!$AC$4:$AC$41=$U90),Lineups!$W$4:$W$41) + SUMPRODUCT(--(Lineups!$AA$5:$AA$42="SP*"),--(Lineups!$AC$4:$AC$41=$U90),Lineups!$W$5:$W$42))</f>
        <v>0</v>
      </c>
      <c r="AJ90" s="16">
        <f t="shared" ca="1" si="55"/>
        <v>0</v>
      </c>
    </row>
    <row r="91" spans="1:36" x14ac:dyDescent="0.3">
      <c r="A91" s="131">
        <f t="shared" si="46"/>
        <v>14</v>
      </c>
      <c r="B91" s="131" t="str">
        <f t="shared" si="47"/>
        <v>825</v>
      </c>
      <c r="C91" s="131" t="str">
        <f t="shared" si="47"/>
        <v>Rot-N 2 the Cor-E</v>
      </c>
      <c r="D91" s="131">
        <f ca="1">IF($B91="","",SUMPRODUCT(--(Lineups!$G$4:$G$41=$B91),--(Lineups!$B$4:$B$41=""),Lineups!$AW$4:$AW$41)+SUMPRODUCT(--(Lineups!$A$5:$A$42="SP*"),--(Lineups!$G$4:$G$41=$B91),--(Lineups!$B$4:$B$41=""),Lineups!$AW$5:$AW$42))</f>
        <v>8</v>
      </c>
      <c r="F91" s="142">
        <f ca="1">IF($B91="","",SUMPRODUCT(--(Lineups!$G$4:$G$41=$B91),--(Lineups!$B$4:$B$41="X"),Lineups!$AW$4:$AW$41)+SUMPRODUCT(--(Lineups!$A$5:$A$42="SP*"),--(Lineups!$G$4:$G$41=$B91),--(Lineups!$B$4:$B$41="X"),Lineups!$AW$5:$AW$42))</f>
        <v>0</v>
      </c>
      <c r="G91" s="142">
        <f ca="1">IF($B91="","",SUMPRODUCT(--(Lineups!$K$4:$K$41=$B91),Lineups!$AW$4:$AW$41) + SUMPRODUCT(--(Lineups!$A$5:$A$42="SP*"),--(Lineups!$K$4:$K$41=$B91),Lineups!$AW$5:$AW$42))</f>
        <v>0</v>
      </c>
      <c r="H91" s="142">
        <f ca="1">IF($B91="","",SUMPRODUCT(--(Lineups!$O$4:$O$41=$B91),Lineups!$AW$4:$AW$41) + SUMPRODUCT(--(Lineups!$A$5:$A$42="SP*"),--(Lineups!$O$4:$O$41=$B91),Lineups!$AW$5:$AW$42))</f>
        <v>0</v>
      </c>
      <c r="I91" s="142">
        <f ca="1">IF($B91="","",SUMPRODUCT(--(Lineups!$S$4:$S$41=$B91),Lineups!$AW$4:$AW$41) + SUMPRODUCT(--(Lineups!$A$5:$A$42="SP*"),--(Lineups!$S$4:$S$41=$B91),Lineups!$AW$5:$AW$42))</f>
        <v>0</v>
      </c>
      <c r="J91" s="131">
        <f t="shared" ca="1" si="48"/>
        <v>0</v>
      </c>
      <c r="L91" s="131">
        <f t="shared" ca="1" si="49"/>
        <v>8</v>
      </c>
      <c r="O91" s="131">
        <f ca="1">IF($B91="","",SUMPRODUCT(--(Lineups!$C$4:$C$41=$B91),Lineups!$AW$4:$AW$41) + SUMPRODUCT(--(Lineups!$A$5:$A$42="SP*"),--(Lineups!$C$4:$C$41=$B91),Lineups!$AW$5:$AW$42))</f>
        <v>0</v>
      </c>
      <c r="Q91" s="131">
        <f t="shared" ca="1" si="50"/>
        <v>8</v>
      </c>
      <c r="T91" s="131">
        <f t="shared" si="51"/>
        <v>14</v>
      </c>
      <c r="U91" s="131" t="str">
        <f t="shared" si="52"/>
        <v>800</v>
      </c>
      <c r="V91" s="131" t="str">
        <f t="shared" si="52"/>
        <v>Terminate Her</v>
      </c>
      <c r="W91" s="131">
        <f ca="1">IF($U91="","",SUMPRODUCT(--(Lineups!$AG$4:$AG$41=$U91),--(Lineups!$AB$4:$AB$41=""),Lineups!$W$4:$W$41)+SUMPRODUCT(--(Lineups!$AA$5:$AA$42="SP*"),--(Lineups!$AG$4:$AG$41=$U91),--(Lineups!$AB$4:$AB$41=""),Lineups!$W$5:$W$42))</f>
        <v>34</v>
      </c>
      <c r="Y91" s="142">
        <f ca="1">IF($U91="","",SUMPRODUCT(--(Lineups!$AG$4:$AG$41=$U91),--(Lineups!$AB$4:$AB$41="X"),Lineups!$W$4:$W$41)+SUMPRODUCT(--(Lineups!$AA$5:$AA$42="SP*"),--(Lineups!$AG$4:$AG$41=$U91),--(Lineups!$AB$4:$AB$41="X"),Lineups!$W$5:$W$42))</f>
        <v>0</v>
      </c>
      <c r="Z91" s="142">
        <f ca="1">IF($U91="","",SUMPRODUCT(--(Lineups!$AK$4:$AK$41=$U91),Lineups!$W$4:$W$41) + SUMPRODUCT(--(Lineups!$AA$5:$AA$42="SP*"),--(Lineups!$AK$4:$AK$41=$U91),Lineups!$W$5:$W$42))</f>
        <v>0</v>
      </c>
      <c r="AA91" s="142">
        <f ca="1">IF($U91="","",SUMPRODUCT(--(Lineups!$AO$4:$AO$41=$U91),Lineups!$W$4:$W$41) + SUMPRODUCT(--(Lineups!$AA$5:$AA$42="SP*"),--(Lineups!$AO$4:$AO$41=$U91),Lineups!$W$5:$W$42))</f>
        <v>8</v>
      </c>
      <c r="AB91" s="142">
        <f ca="1">IF($U91="","",SUMPRODUCT(--(Lineups!$AS$4:$AS$41=$U91),Lineups!$W$4:$W$41) + SUMPRODUCT(--(Lineups!$AA$5:$AA$42="SP*"),--(Lineups!$AS$4:$AS$41=$U91),Lineups!$W$5:$W$42))</f>
        <v>0</v>
      </c>
      <c r="AC91" s="131">
        <f t="shared" ca="1" si="53"/>
        <v>8</v>
      </c>
      <c r="AE91" s="131">
        <f t="shared" ca="1" si="54"/>
        <v>42</v>
      </c>
      <c r="AH91" s="131">
        <f ca="1">IF($U91="","",SUMPRODUCT(--(Lineups!$AC$4:$AC$41=$U91),Lineups!$W$4:$W$41) + SUMPRODUCT(--(Lineups!$AA$5:$AA$42="SP*"),--(Lineups!$AC$4:$AC$41=$U91),Lineups!$W$5:$W$42))</f>
        <v>0</v>
      </c>
      <c r="AJ91" s="131">
        <f t="shared" ca="1" si="55"/>
        <v>42</v>
      </c>
    </row>
    <row r="92" spans="1:36" x14ac:dyDescent="0.3">
      <c r="A92" s="16">
        <f t="shared" si="46"/>
        <v>15</v>
      </c>
      <c r="B92" s="16" t="str">
        <f t="shared" si="47"/>
        <v>83</v>
      </c>
      <c r="C92" s="16" t="str">
        <f t="shared" si="47"/>
        <v>Grit n Barite</v>
      </c>
      <c r="D92" s="16">
        <f ca="1">IF($B92="","",SUMPRODUCT(--(Lineups!$G$4:$G$41=$B92),--(Lineups!$B$4:$B$41=""),Lineups!$AW$4:$AW$41)+SUMPRODUCT(--(Lineups!$A$5:$A$42="SP*"),--(Lineups!$G$4:$G$41=$B92),--(Lineups!$B$4:$B$41=""),Lineups!$AW$5:$AW$42))</f>
        <v>0</v>
      </c>
      <c r="F92" s="142">
        <f ca="1">IF($B92="","",SUMPRODUCT(--(Lineups!$G$4:$G$41=$B92),--(Lineups!$B$4:$B$41="X"),Lineups!$AW$4:$AW$41)+SUMPRODUCT(--(Lineups!$A$5:$A$42="SP*"),--(Lineups!$G$4:$G$41=$B92),--(Lineups!$B$4:$B$41="X"),Lineups!$AW$5:$AW$42))</f>
        <v>0</v>
      </c>
      <c r="G92" s="142">
        <f ca="1">IF($B92="","",SUMPRODUCT(--(Lineups!$K$4:$K$41=$B92),Lineups!$AW$4:$AW$41) + SUMPRODUCT(--(Lineups!$A$5:$A$42="SP*"),--(Lineups!$K$4:$K$41=$B92),Lineups!$AW$5:$AW$42))</f>
        <v>7</v>
      </c>
      <c r="H92" s="142">
        <f ca="1">IF($B92="","",SUMPRODUCT(--(Lineups!$O$4:$O$41=$B92),Lineups!$AW$4:$AW$41) + SUMPRODUCT(--(Lineups!$A$5:$A$42="SP*"),--(Lineups!$O$4:$O$41=$B92),Lineups!$AW$5:$AW$42))</f>
        <v>7</v>
      </c>
      <c r="I92" s="142">
        <f ca="1">IF($B92="","",SUMPRODUCT(--(Lineups!$S$4:$S$41=$B92),Lineups!$AW$4:$AW$41) + SUMPRODUCT(--(Lineups!$A$5:$A$42="SP*"),--(Lineups!$S$4:$S$41=$B92),Lineups!$AW$5:$AW$42))</f>
        <v>0</v>
      </c>
      <c r="J92" s="16">
        <f t="shared" ca="1" si="48"/>
        <v>14</v>
      </c>
      <c r="L92" s="16">
        <f t="shared" ca="1" si="49"/>
        <v>14</v>
      </c>
      <c r="O92" s="16">
        <f ca="1">IF($B92="","",SUMPRODUCT(--(Lineups!$C$4:$C$41=$B92),Lineups!$AW$4:$AW$41) + SUMPRODUCT(--(Lineups!$A$5:$A$42="SP*"),--(Lineups!$C$4:$C$41=$B92),Lineups!$AW$5:$AW$42))</f>
        <v>0</v>
      </c>
      <c r="Q92" s="16">
        <f t="shared" ca="1" si="50"/>
        <v>14</v>
      </c>
      <c r="T92" s="16">
        <f t="shared" si="51"/>
        <v>15</v>
      </c>
      <c r="U92" s="16" t="str">
        <f t="shared" si="52"/>
        <v>88*</v>
      </c>
      <c r="V92" s="16" t="str">
        <f t="shared" si="52"/>
        <v>Flux</v>
      </c>
      <c r="W92" s="16">
        <f ca="1">IF($U92="","",SUMPRODUCT(--(Lineups!$AG$4:$AG$41=$U92),--(Lineups!$AB$4:$AB$41=""),Lineups!$W$4:$W$41)+SUMPRODUCT(--(Lineups!$AA$5:$AA$42="SP*"),--(Lineups!$AG$4:$AG$41=$U92),--(Lineups!$AB$4:$AB$41=""),Lineups!$W$5:$W$42))</f>
        <v>0</v>
      </c>
      <c r="Y92" s="142">
        <f ca="1">IF($U92="","",SUMPRODUCT(--(Lineups!$AG$4:$AG$41=$U92),--(Lineups!$AB$4:$AB$41="X"),Lineups!$W$4:$W$41)+SUMPRODUCT(--(Lineups!$AA$5:$AA$42="SP*"),--(Lineups!$AG$4:$AG$41=$U92),--(Lineups!$AB$4:$AB$41="X"),Lineups!$W$5:$W$42))</f>
        <v>0</v>
      </c>
      <c r="Z92" s="142">
        <f ca="1">IF($U92="","",SUMPRODUCT(--(Lineups!$AK$4:$AK$41=$U92),Lineups!$W$4:$W$41) + SUMPRODUCT(--(Lineups!$AA$5:$AA$42="SP*"),--(Lineups!$AK$4:$AK$41=$U92),Lineups!$W$5:$W$42))</f>
        <v>0</v>
      </c>
      <c r="AA92" s="142">
        <f ca="1">IF($U92="","",SUMPRODUCT(--(Lineups!$AO$4:$AO$41=$U92),Lineups!$W$4:$W$41) + SUMPRODUCT(--(Lineups!$AA$5:$AA$42="SP*"),--(Lineups!$AO$4:$AO$41=$U92),Lineups!$W$5:$W$42))</f>
        <v>0</v>
      </c>
      <c r="AB92" s="142">
        <f ca="1">IF($U92="","",SUMPRODUCT(--(Lineups!$AS$4:$AS$41=$U92),Lineups!$W$4:$W$41) + SUMPRODUCT(--(Lineups!$AA$5:$AA$42="SP*"),--(Lineups!$AS$4:$AS$41=$U92),Lineups!$W$5:$W$42))</f>
        <v>0</v>
      </c>
      <c r="AC92" s="16">
        <f t="shared" ca="1" si="53"/>
        <v>0</v>
      </c>
      <c r="AE92" s="16">
        <f t="shared" ca="1" si="54"/>
        <v>0</v>
      </c>
      <c r="AH92" s="16">
        <f ca="1">IF($U92="","",SUMPRODUCT(--(Lineups!$AC$4:$AC$41=$U92),Lineups!$W$4:$W$41) + SUMPRODUCT(--(Lineups!$AA$5:$AA$42="SP*"),--(Lineups!$AC$4:$AC$41=$U92),Lineups!$W$5:$W$42))</f>
        <v>0</v>
      </c>
      <c r="AJ92" s="16">
        <f t="shared" ca="1" si="55"/>
        <v>0</v>
      </c>
    </row>
    <row r="93" spans="1:36" x14ac:dyDescent="0.3">
      <c r="A93" s="131">
        <f t="shared" si="46"/>
        <v>16</v>
      </c>
      <c r="B93" s="131" t="str">
        <f t="shared" si="47"/>
        <v>84</v>
      </c>
      <c r="C93" s="131" t="str">
        <f t="shared" si="47"/>
        <v>Phoenix</v>
      </c>
      <c r="D93" s="131">
        <f ca="1">IF($B93="","",SUMPRODUCT(--(Lineups!$G$4:$G$41=$B93),--(Lineups!$B$4:$B$41=""),Lineups!$AW$4:$AW$41)+SUMPRODUCT(--(Lineups!$A$5:$A$42="SP*"),--(Lineups!$G$4:$G$41=$B93),--(Lineups!$B$4:$B$41=""),Lineups!$AW$5:$AW$42))</f>
        <v>11</v>
      </c>
      <c r="F93" s="142">
        <f ca="1">IF($B93="","",SUMPRODUCT(--(Lineups!$G$4:$G$41=$B93),--(Lineups!$B$4:$B$41="X"),Lineups!$AW$4:$AW$41)+SUMPRODUCT(--(Lineups!$A$5:$A$42="SP*"),--(Lineups!$G$4:$G$41=$B93),--(Lineups!$B$4:$B$41="X"),Lineups!$AW$5:$AW$42))</f>
        <v>0</v>
      </c>
      <c r="G93" s="142">
        <f ca="1">IF($B93="","",SUMPRODUCT(--(Lineups!$K$4:$K$41=$B93),Lineups!$AW$4:$AW$41) + SUMPRODUCT(--(Lineups!$A$5:$A$42="SP*"),--(Lineups!$K$4:$K$41=$B93),Lineups!$AW$5:$AW$42))</f>
        <v>0</v>
      </c>
      <c r="H93" s="142">
        <f ca="1">IF($B93="","",SUMPRODUCT(--(Lineups!$O$4:$O$41=$B93),Lineups!$AW$4:$AW$41) + SUMPRODUCT(--(Lineups!$A$5:$A$42="SP*"),--(Lineups!$O$4:$O$41=$B93),Lineups!$AW$5:$AW$42))</f>
        <v>0</v>
      </c>
      <c r="I93" s="142">
        <f ca="1">IF($B93="","",SUMPRODUCT(--(Lineups!$S$4:$S$41=$B93),Lineups!$AW$4:$AW$41) + SUMPRODUCT(--(Lineups!$A$5:$A$42="SP*"),--(Lineups!$S$4:$S$41=$B93),Lineups!$AW$5:$AW$42))</f>
        <v>0</v>
      </c>
      <c r="J93" s="131">
        <f t="shared" ca="1" si="48"/>
        <v>0</v>
      </c>
      <c r="L93" s="131">
        <f t="shared" ca="1" si="49"/>
        <v>11</v>
      </c>
      <c r="O93" s="131">
        <f ca="1">IF($B93="","",SUMPRODUCT(--(Lineups!$C$4:$C$41=$B93),Lineups!$AW$4:$AW$41) + SUMPRODUCT(--(Lineups!$A$5:$A$42="SP*"),--(Lineups!$C$4:$C$41=$B93),Lineups!$AW$5:$AW$42))</f>
        <v>0</v>
      </c>
      <c r="Q93" s="131">
        <f t="shared" ca="1" si="50"/>
        <v>11</v>
      </c>
      <c r="T93" s="131">
        <f t="shared" si="51"/>
        <v>16</v>
      </c>
      <c r="U93" s="131" t="str">
        <f t="shared" si="52"/>
        <v>911</v>
      </c>
      <c r="V93" s="131" t="str">
        <f t="shared" si="52"/>
        <v>Annie Mergency</v>
      </c>
      <c r="W93" s="131">
        <f ca="1">IF($U93="","",SUMPRODUCT(--(Lineups!$AG$4:$AG$41=$U93),--(Lineups!$AB$4:$AB$41=""),Lineups!$W$4:$W$41)+SUMPRODUCT(--(Lineups!$AA$5:$AA$42="SP*"),--(Lineups!$AG$4:$AG$41=$U93),--(Lineups!$AB$4:$AB$41=""),Lineups!$W$5:$W$42))</f>
        <v>0</v>
      </c>
      <c r="Y93" s="142">
        <f ca="1">IF($U93="","",SUMPRODUCT(--(Lineups!$AG$4:$AG$41=$U93),--(Lineups!$AB$4:$AB$41="X"),Lineups!$W$4:$W$41)+SUMPRODUCT(--(Lineups!$AA$5:$AA$42="SP*"),--(Lineups!$AG$4:$AG$41=$U93),--(Lineups!$AB$4:$AB$41="X"),Lineups!$W$5:$W$42))</f>
        <v>0</v>
      </c>
      <c r="Z93" s="142">
        <f ca="1">IF($U93="","",SUMPRODUCT(--(Lineups!$AK$4:$AK$41=$U93),Lineups!$W$4:$W$41) + SUMPRODUCT(--(Lineups!$AA$5:$AA$42="SP*"),--(Lineups!$AK$4:$AK$41=$U93),Lineups!$W$5:$W$42))</f>
        <v>0</v>
      </c>
      <c r="AA93" s="142">
        <f ca="1">IF($U93="","",SUMPRODUCT(--(Lineups!$AO$4:$AO$41=$U93),Lineups!$W$4:$W$41) + SUMPRODUCT(--(Lineups!$AA$5:$AA$42="SP*"),--(Lineups!$AO$4:$AO$41=$U93),Lineups!$W$5:$W$42))</f>
        <v>0</v>
      </c>
      <c r="AB93" s="142">
        <f ca="1">IF($U93="","",SUMPRODUCT(--(Lineups!$AS$4:$AS$41=$U93),Lineups!$W$4:$W$41) + SUMPRODUCT(--(Lineups!$AA$5:$AA$42="SP*"),--(Lineups!$AS$4:$AS$41=$U93),Lineups!$W$5:$W$42))</f>
        <v>23</v>
      </c>
      <c r="AC93" s="131">
        <f t="shared" ca="1" si="53"/>
        <v>23</v>
      </c>
      <c r="AE93" s="131">
        <f t="shared" ca="1" si="54"/>
        <v>23</v>
      </c>
      <c r="AH93" s="131">
        <f ca="1">IF($U93="","",SUMPRODUCT(--(Lineups!$AC$4:$AC$41=$U93),Lineups!$W$4:$W$41) + SUMPRODUCT(--(Lineups!$AA$5:$AA$42="SP*"),--(Lineups!$AC$4:$AC$41=$U93),Lineups!$W$5:$W$42))</f>
        <v>0</v>
      </c>
      <c r="AJ93" s="131">
        <f t="shared" ca="1" si="55"/>
        <v>23</v>
      </c>
    </row>
    <row r="94" spans="1:36" x14ac:dyDescent="0.3">
      <c r="A94" s="16">
        <f t="shared" si="46"/>
        <v>17</v>
      </c>
      <c r="B94" s="16" t="str">
        <f t="shared" si="47"/>
        <v>86</v>
      </c>
      <c r="C94" s="16" t="str">
        <f t="shared" si="47"/>
        <v>P.T.S.D.</v>
      </c>
      <c r="D94" s="16">
        <f ca="1">IF($B94="","",SUMPRODUCT(--(Lineups!$G$4:$G$41=$B94),--(Lineups!$B$4:$B$41=""),Lineups!$AW$4:$AW$41)+SUMPRODUCT(--(Lineups!$A$5:$A$42="SP*"),--(Lineups!$G$4:$G$41=$B94),--(Lineups!$B$4:$B$41=""),Lineups!$AW$5:$AW$42))</f>
        <v>0</v>
      </c>
      <c r="F94" s="142">
        <f ca="1">IF($B94="","",SUMPRODUCT(--(Lineups!$G$4:$G$41=$B94),--(Lineups!$B$4:$B$41="X"),Lineups!$AW$4:$AW$41)+SUMPRODUCT(--(Lineups!$A$5:$A$42="SP*"),--(Lineups!$G$4:$G$41=$B94),--(Lineups!$B$4:$B$41="X"),Lineups!$AW$5:$AW$42))</f>
        <v>0</v>
      </c>
      <c r="G94" s="142">
        <f ca="1">IF($B94="","",SUMPRODUCT(--(Lineups!$K$4:$K$41=$B94),Lineups!$AW$4:$AW$41) + SUMPRODUCT(--(Lineups!$A$5:$A$42="SP*"),--(Lineups!$K$4:$K$41=$B94),Lineups!$AW$5:$AW$42))</f>
        <v>16</v>
      </c>
      <c r="H94" s="142">
        <f ca="1">IF($B94="","",SUMPRODUCT(--(Lineups!$O$4:$O$41=$B94),Lineups!$AW$4:$AW$41) + SUMPRODUCT(--(Lineups!$A$5:$A$42="SP*"),--(Lineups!$O$4:$O$41=$B94),Lineups!$AW$5:$AW$42))</f>
        <v>8</v>
      </c>
      <c r="I94" s="142">
        <f ca="1">IF($B94="","",SUMPRODUCT(--(Lineups!$S$4:$S$41=$B94),Lineups!$AW$4:$AW$41) + SUMPRODUCT(--(Lineups!$A$5:$A$42="SP*"),--(Lineups!$S$4:$S$41=$B94),Lineups!$AW$5:$AW$42))</f>
        <v>3</v>
      </c>
      <c r="J94" s="16">
        <f t="shared" ca="1" si="48"/>
        <v>27</v>
      </c>
      <c r="L94" s="16">
        <f t="shared" ca="1" si="49"/>
        <v>27</v>
      </c>
      <c r="O94" s="16">
        <f ca="1">IF($B94="","",SUMPRODUCT(--(Lineups!$C$4:$C$41=$B94),Lineups!$AW$4:$AW$41) + SUMPRODUCT(--(Lineups!$A$5:$A$42="SP*"),--(Lineups!$C$4:$C$41=$B94),Lineups!$AW$5:$AW$42))</f>
        <v>0</v>
      </c>
      <c r="Q94" s="16">
        <f t="shared" ca="1" si="50"/>
        <v>27</v>
      </c>
      <c r="T94" s="16">
        <f t="shared" si="51"/>
        <v>17</v>
      </c>
      <c r="U94" s="16" t="str">
        <f t="shared" si="52"/>
        <v>94</v>
      </c>
      <c r="V94" s="16" t="str">
        <f t="shared" si="52"/>
        <v>The Kraken</v>
      </c>
      <c r="W94" s="16">
        <f ca="1">IF($U94="","",SUMPRODUCT(--(Lineups!$AG$4:$AG$41=$U94),--(Lineups!$AB$4:$AB$41=""),Lineups!$W$4:$W$41)+SUMPRODUCT(--(Lineups!$AA$5:$AA$42="SP*"),--(Lineups!$AG$4:$AG$41=$U94),--(Lineups!$AB$4:$AB$41=""),Lineups!$W$5:$W$42))</f>
        <v>0</v>
      </c>
      <c r="Y94" s="142">
        <f ca="1">IF($U94="","",SUMPRODUCT(--(Lineups!$AG$4:$AG$41=$U94),--(Lineups!$AB$4:$AB$41="X"),Lineups!$W$4:$W$41)+SUMPRODUCT(--(Lineups!$AA$5:$AA$42="SP*"),--(Lineups!$AG$4:$AG$41=$U94),--(Lineups!$AB$4:$AB$41="X"),Lineups!$W$5:$W$42))</f>
        <v>0</v>
      </c>
      <c r="Z94" s="142">
        <f ca="1">IF($U94="","",SUMPRODUCT(--(Lineups!$AK$4:$AK$41=$U94),Lineups!$W$4:$W$41) + SUMPRODUCT(--(Lineups!$AA$5:$AA$42="SP*"),--(Lineups!$AK$4:$AK$41=$U94),Lineups!$W$5:$W$42))</f>
        <v>0</v>
      </c>
      <c r="AA94" s="142">
        <f ca="1">IF($U94="","",SUMPRODUCT(--(Lineups!$AO$4:$AO$41=$U94),Lineups!$W$4:$W$41) + SUMPRODUCT(--(Lineups!$AA$5:$AA$42="SP*"),--(Lineups!$AO$4:$AO$41=$U94),Lineups!$W$5:$W$42))</f>
        <v>0</v>
      </c>
      <c r="AB94" s="142">
        <f ca="1">IF($U94="","",SUMPRODUCT(--(Lineups!$AS$4:$AS$41=$U94),Lineups!$W$4:$W$41) + SUMPRODUCT(--(Lineups!$AA$5:$AA$42="SP*"),--(Lineups!$AS$4:$AS$41=$U94),Lineups!$W$5:$W$42))</f>
        <v>8</v>
      </c>
      <c r="AC94" s="16">
        <f t="shared" ca="1" si="53"/>
        <v>8</v>
      </c>
      <c r="AE94" s="16">
        <f t="shared" ca="1" si="54"/>
        <v>8</v>
      </c>
      <c r="AH94" s="16">
        <f ca="1">IF($U94="","",SUMPRODUCT(--(Lineups!$AC$4:$AC$41=$U94),Lineups!$W$4:$W$41) + SUMPRODUCT(--(Lineups!$AA$5:$AA$42="SP*"),--(Lineups!$AC$4:$AC$41=$U94),Lineups!$W$5:$W$42))</f>
        <v>0</v>
      </c>
      <c r="AJ94" s="16">
        <f t="shared" ca="1" si="55"/>
        <v>8</v>
      </c>
    </row>
    <row r="95" spans="1:36" x14ac:dyDescent="0.3">
      <c r="A95" s="131">
        <f t="shared" si="46"/>
        <v>18</v>
      </c>
      <c r="B95" s="131" t="str">
        <f t="shared" si="47"/>
        <v/>
      </c>
      <c r="C95" s="131" t="str">
        <f t="shared" si="47"/>
        <v/>
      </c>
      <c r="D95" s="131" t="str">
        <f>IF($B95="","",SUMPRODUCT(--(Lineups!$G$4:$G$41=$B95),--(Lineups!$B$4:$B$41=""),Lineups!$AW$4:$AW$41)+SUMPRODUCT(--(Lineups!$A$5:$A$42="SP*"),--(Lineups!$G$4:$G$41=$B95),--(Lineups!$B$4:$B$41=""),Lineups!$AW$5:$AW$42))</f>
        <v/>
      </c>
      <c r="F95" s="142" t="str">
        <f>IF($B95="","",SUMPRODUCT(--(Lineups!$G$4:$G$41=$B95),--(Lineups!$B$4:$B$41="X"),Lineups!$AW$4:$AW$41)+SUMPRODUCT(--(Lineups!$A$5:$A$42="SP*"),--(Lineups!$G$4:$G$41=$B95),--(Lineups!$B$4:$B$41="X"),Lineups!$AW$5:$AW$42))</f>
        <v/>
      </c>
      <c r="G95" s="142" t="str">
        <f>IF($B95="","",SUMPRODUCT(--(Lineups!$K$4:$K$41=$B95),Lineups!$AW$4:$AW$41) + SUMPRODUCT(--(Lineups!$A$5:$A$42="SP*"),--(Lineups!$K$4:$K$41=$B95),Lineups!$AW$5:$AW$42))</f>
        <v/>
      </c>
      <c r="H95" s="142" t="str">
        <f>IF($B95="","",SUMPRODUCT(--(Lineups!$O$4:$O$41=$B95),Lineups!$AW$4:$AW$41) + SUMPRODUCT(--(Lineups!$A$5:$A$42="SP*"),--(Lineups!$O$4:$O$41=$B95),Lineups!$AW$5:$AW$42))</f>
        <v/>
      </c>
      <c r="I95" s="142" t="str">
        <f>IF($B95="","",SUMPRODUCT(--(Lineups!$S$4:$S$41=$B95),Lineups!$AW$4:$AW$41) + SUMPRODUCT(--(Lineups!$A$5:$A$42="SP*"),--(Lineups!$S$4:$S$41=$B95),Lineups!$AW$5:$AW$42))</f>
        <v/>
      </c>
      <c r="J95" s="131" t="str">
        <f t="shared" si="48"/>
        <v/>
      </c>
      <c r="L95" s="131" t="str">
        <f t="shared" si="49"/>
        <v/>
      </c>
      <c r="O95" s="131" t="str">
        <f>IF($B95="","",SUMPRODUCT(--(Lineups!$C$4:$C$41=$B95),Lineups!$AW$4:$AW$41) + SUMPRODUCT(--(Lineups!$A$5:$A$42="SP*"),--(Lineups!$C$4:$C$41=$B95),Lineups!$AW$5:$AW$42))</f>
        <v/>
      </c>
      <c r="Q95" s="131" t="str">
        <f t="shared" si="50"/>
        <v/>
      </c>
      <c r="T95" s="131">
        <f t="shared" si="51"/>
        <v>18</v>
      </c>
      <c r="U95" s="131" t="str">
        <f t="shared" si="52"/>
        <v/>
      </c>
      <c r="V95" s="131" t="str">
        <f t="shared" si="52"/>
        <v/>
      </c>
      <c r="W95" s="131" t="str">
        <f>IF($U95="","",SUMPRODUCT(--(Lineups!$AG$4:$AG$41=$U95),--(Lineups!$AB$4:$AB$41=""),Lineups!$W$4:$W$41)+SUMPRODUCT(--(Lineups!$AA$5:$AA$42="SP*"),--(Lineups!$AG$4:$AG$41=$U95),--(Lineups!$AB$4:$AB$41=""),Lineups!$W$5:$W$42))</f>
        <v/>
      </c>
      <c r="Y95" s="142" t="str">
        <f>IF($U95="","",SUMPRODUCT(--(Lineups!$AG$4:$AG$41=$U95),--(Lineups!$AB$4:$AB$41="X"),Lineups!$W$4:$W$41)+SUMPRODUCT(--(Lineups!$AA$5:$AA$42="SP*"),--(Lineups!$AG$4:$AG$41=$U95),--(Lineups!$AB$4:$AB$41="X"),Lineups!$W$5:$W$42))</f>
        <v/>
      </c>
      <c r="Z95" s="142" t="str">
        <f>IF($U95="","",SUMPRODUCT(--(Lineups!$AK$4:$AK$41=$U95),Lineups!$W$4:$W$41) + SUMPRODUCT(--(Lineups!$AA$5:$AA$42="SP*"),--(Lineups!$AK$4:$AK$41=$U95),Lineups!$W$5:$W$42))</f>
        <v/>
      </c>
      <c r="AA95" s="142" t="str">
        <f>IF($U95="","",SUMPRODUCT(--(Lineups!$AO$4:$AO$41=$U95),Lineups!$W$4:$W$41) + SUMPRODUCT(--(Lineups!$AA$5:$AA$42="SP*"),--(Lineups!$AO$4:$AO$41=$U95),Lineups!$W$5:$W$42))</f>
        <v/>
      </c>
      <c r="AB95" s="142" t="str">
        <f>IF($U95="","",SUMPRODUCT(--(Lineups!$AS$4:$AS$41=$U95),Lineups!$W$4:$W$41) + SUMPRODUCT(--(Lineups!$AA$5:$AA$42="SP*"),--(Lineups!$AS$4:$AS$41=$U95),Lineups!$W$5:$W$42))</f>
        <v/>
      </c>
      <c r="AC95" s="131" t="str">
        <f t="shared" si="53"/>
        <v/>
      </c>
      <c r="AE95" s="131" t="str">
        <f t="shared" si="54"/>
        <v/>
      </c>
      <c r="AH95" s="131" t="str">
        <f>IF($U95="","",SUMPRODUCT(--(Lineups!$AC$4:$AC$41=$U95),Lineups!$W$4:$W$41) + SUMPRODUCT(--(Lineups!$AA$5:$AA$42="SP*"),--(Lineups!$AC$4:$AC$41=$U95),Lineups!$W$5:$W$42))</f>
        <v/>
      </c>
      <c r="AJ95" s="131" t="str">
        <f t="shared" si="55"/>
        <v/>
      </c>
    </row>
    <row r="96" spans="1:36" x14ac:dyDescent="0.3">
      <c r="A96" s="16">
        <f t="shared" si="46"/>
        <v>19</v>
      </c>
      <c r="B96" s="16" t="str">
        <f t="shared" si="47"/>
        <v/>
      </c>
      <c r="C96" s="16" t="str">
        <f t="shared" si="47"/>
        <v/>
      </c>
      <c r="D96" s="16" t="str">
        <f>IF($B96="","",SUMPRODUCT(--(Lineups!$G$4:$G$41=$B96),--(Lineups!$B$4:$B$41=""),Lineups!$AW$4:$AW$41)+SUMPRODUCT(--(Lineups!$A$5:$A$42="SP*"),--(Lineups!$G$4:$G$41=$B96),--(Lineups!$B$4:$B$41=""),Lineups!$AW$5:$AW$42))</f>
        <v/>
      </c>
      <c r="F96" s="142" t="str">
        <f>IF($B96="","",SUMPRODUCT(--(Lineups!$G$4:$G$41=$B96),--(Lineups!$B$4:$B$41="X"),Lineups!$AW$4:$AW$41)+SUMPRODUCT(--(Lineups!$A$5:$A$42="SP*"),--(Lineups!$G$4:$G$41=$B96),--(Lineups!$B$4:$B$41="X"),Lineups!$AW$5:$AW$42))</f>
        <v/>
      </c>
      <c r="G96" s="142" t="str">
        <f>IF($B96="","",SUMPRODUCT(--(Lineups!$K$4:$K$41=$B96),Lineups!$AW$4:$AW$41) + SUMPRODUCT(--(Lineups!$A$5:$A$42="SP*"),--(Lineups!$K$4:$K$41=$B96),Lineups!$AW$5:$AW$42))</f>
        <v/>
      </c>
      <c r="H96" s="142" t="str">
        <f>IF($B96="","",SUMPRODUCT(--(Lineups!$O$4:$O$41=$B96),Lineups!$AW$4:$AW$41) + SUMPRODUCT(--(Lineups!$A$5:$A$42="SP*"),--(Lineups!$O$4:$O$41=$B96),Lineups!$AW$5:$AW$42))</f>
        <v/>
      </c>
      <c r="I96" s="142" t="str">
        <f>IF($B96="","",SUMPRODUCT(--(Lineups!$S$4:$S$41=$B96),Lineups!$AW$4:$AW$41) + SUMPRODUCT(--(Lineups!$A$5:$A$42="SP*"),--(Lineups!$S$4:$S$41=$B96),Lineups!$AW$5:$AW$42))</f>
        <v/>
      </c>
      <c r="J96" s="16" t="str">
        <f t="shared" si="48"/>
        <v/>
      </c>
      <c r="L96" s="16" t="str">
        <f t="shared" si="49"/>
        <v/>
      </c>
      <c r="O96" s="16" t="str">
        <f>IF($B96="","",SUMPRODUCT(--(Lineups!$C$4:$C$41=$B96),Lineups!$AW$4:$AW$41) + SUMPRODUCT(--(Lineups!$A$5:$A$42="SP*"),--(Lineups!$C$4:$C$41=$B96),Lineups!$AW$5:$AW$42))</f>
        <v/>
      </c>
      <c r="Q96" s="16" t="str">
        <f t="shared" si="50"/>
        <v/>
      </c>
      <c r="T96" s="16">
        <f t="shared" si="51"/>
        <v>19</v>
      </c>
      <c r="U96" s="16" t="str">
        <f t="shared" si="52"/>
        <v/>
      </c>
      <c r="V96" s="16" t="str">
        <f t="shared" si="52"/>
        <v/>
      </c>
      <c r="W96" s="16" t="str">
        <f>IF($U96="","",SUMPRODUCT(--(Lineups!$AG$4:$AG$41=$U96),--(Lineups!$AB$4:$AB$41=""),Lineups!$W$4:$W$41)+SUMPRODUCT(--(Lineups!$AA$5:$AA$42="SP*"),--(Lineups!$AG$4:$AG$41=$U96),--(Lineups!$AB$4:$AB$41=""),Lineups!$W$5:$W$42))</f>
        <v/>
      </c>
      <c r="Y96" s="142" t="str">
        <f>IF($U96="","",SUMPRODUCT(--(Lineups!$AG$4:$AG$41=$U96),--(Lineups!$AB$4:$AB$41="X"),Lineups!$W$4:$W$41)+SUMPRODUCT(--(Lineups!$AA$5:$AA$42="SP*"),--(Lineups!$AG$4:$AG$41=$U96),--(Lineups!$AB$4:$AB$41="X"),Lineups!$W$5:$W$42))</f>
        <v/>
      </c>
      <c r="Z96" s="142" t="str">
        <f>IF($U96="","",SUMPRODUCT(--(Lineups!$AK$4:$AK$41=$U96),Lineups!$W$4:$W$41) + SUMPRODUCT(--(Lineups!$AA$5:$AA$42="SP*"),--(Lineups!$AK$4:$AK$41=$U96),Lineups!$W$5:$W$42))</f>
        <v/>
      </c>
      <c r="AA96" s="142" t="str">
        <f>IF($U96="","",SUMPRODUCT(--(Lineups!$AO$4:$AO$41=$U96),Lineups!$W$4:$W$41) + SUMPRODUCT(--(Lineups!$AA$5:$AA$42="SP*"),--(Lineups!$AO$4:$AO$41=$U96),Lineups!$W$5:$W$42))</f>
        <v/>
      </c>
      <c r="AB96" s="142" t="str">
        <f>IF($U96="","",SUMPRODUCT(--(Lineups!$AS$4:$AS$41=$U96),Lineups!$W$4:$W$41) + SUMPRODUCT(--(Lineups!$AA$5:$AA$42="SP*"),--(Lineups!$AS$4:$AS$41=$U96),Lineups!$W$5:$W$42))</f>
        <v/>
      </c>
      <c r="AC96" s="16" t="str">
        <f t="shared" si="53"/>
        <v/>
      </c>
      <c r="AE96" s="16" t="str">
        <f t="shared" si="54"/>
        <v/>
      </c>
      <c r="AH96" s="16" t="str">
        <f>IF($U96="","",SUMPRODUCT(--(Lineups!$AC$4:$AC$41=$U96),Lineups!$W$4:$W$41) + SUMPRODUCT(--(Lineups!$AA$5:$AA$42="SP*"),--(Lineups!$AC$4:$AC$41=$U96),Lineups!$W$5:$W$42))</f>
        <v/>
      </c>
      <c r="AJ96" s="16" t="str">
        <f t="shared" si="55"/>
        <v/>
      </c>
    </row>
    <row r="97" spans="1:37" x14ac:dyDescent="0.3">
      <c r="A97" s="131">
        <f t="shared" si="46"/>
        <v>20</v>
      </c>
      <c r="B97" s="131" t="str">
        <f t="shared" si="47"/>
        <v/>
      </c>
      <c r="C97" s="131" t="str">
        <f t="shared" si="47"/>
        <v/>
      </c>
      <c r="D97" s="131" t="str">
        <f>IF($B97="","",SUMPRODUCT(--(Lineups!$G$4:$G$41=$B97),--(Lineups!$B$4:$B$41=""),Lineups!$AW$4:$AW$41)+SUMPRODUCT(--(Lineups!$A$5:$A$42="SP*"),--(Lineups!$G$4:$G$41=$B97),--(Lineups!$B$4:$B$41=""),Lineups!$AW$5:$AW$42))</f>
        <v/>
      </c>
      <c r="F97" s="142" t="str">
        <f>IF($B97="","",SUMPRODUCT(--(Lineups!$G$4:$G$41=$B97),--(Lineups!$B$4:$B$41="X"),Lineups!$AW$4:$AW$41)+SUMPRODUCT(--(Lineups!$A$5:$A$42="SP*"),--(Lineups!$G$4:$G$41=$B97),--(Lineups!$B$4:$B$41="X"),Lineups!$AW$5:$AW$42))</f>
        <v/>
      </c>
      <c r="G97" s="142" t="str">
        <f>IF($B97="","",SUMPRODUCT(--(Lineups!$K$4:$K$41=$B97),Lineups!$AW$4:$AW$41) + SUMPRODUCT(--(Lineups!$A$5:$A$42="SP*"),--(Lineups!$K$4:$K$41=$B97),Lineups!$AW$5:$AW$42))</f>
        <v/>
      </c>
      <c r="H97" s="142" t="str">
        <f>IF($B97="","",SUMPRODUCT(--(Lineups!$O$4:$O$41=$B97),Lineups!$AW$4:$AW$41) + SUMPRODUCT(--(Lineups!$A$5:$A$42="SP*"),--(Lineups!$O$4:$O$41=$B97),Lineups!$AW$5:$AW$42))</f>
        <v/>
      </c>
      <c r="I97" s="142" t="str">
        <f>IF($B97="","",SUMPRODUCT(--(Lineups!$S$4:$S$41=$B97),Lineups!$AW$4:$AW$41) + SUMPRODUCT(--(Lineups!$A$5:$A$42="SP*"),--(Lineups!$S$4:$S$41=$B97),Lineups!$AW$5:$AW$42))</f>
        <v/>
      </c>
      <c r="J97" s="131" t="str">
        <f t="shared" si="48"/>
        <v/>
      </c>
      <c r="L97" s="131" t="str">
        <f t="shared" si="49"/>
        <v/>
      </c>
      <c r="O97" s="131" t="str">
        <f>IF($B97="","",SUMPRODUCT(--(Lineups!$C$4:$C$41=$B97),Lineups!$AW$4:$AW$41) + SUMPRODUCT(--(Lineups!$A$5:$A$42="SP*"),--(Lineups!$C$4:$C$41=$B97),Lineups!$AW$5:$AW$42))</f>
        <v/>
      </c>
      <c r="Q97" s="131" t="str">
        <f t="shared" si="50"/>
        <v/>
      </c>
      <c r="T97" s="131">
        <f t="shared" si="51"/>
        <v>20</v>
      </c>
      <c r="U97" s="131" t="str">
        <f t="shared" si="52"/>
        <v/>
      </c>
      <c r="V97" s="131" t="str">
        <f t="shared" si="52"/>
        <v/>
      </c>
      <c r="W97" s="131" t="str">
        <f>IF($U97="","",SUMPRODUCT(--(Lineups!$AG$4:$AG$41=$U97),--(Lineups!$AB$4:$AB$41=""),Lineups!$W$4:$W$41)+SUMPRODUCT(--(Lineups!$AA$5:$AA$42="SP*"),--(Lineups!$AG$4:$AG$41=$U97),--(Lineups!$AB$4:$AB$41=""),Lineups!$W$5:$W$42))</f>
        <v/>
      </c>
      <c r="Y97" s="142" t="str">
        <f>IF($U97="","",SUMPRODUCT(--(Lineups!$AG$4:$AG$41=$U97),--(Lineups!$AB$4:$AB$41="X"),Lineups!$W$4:$W$41)+SUMPRODUCT(--(Lineups!$AA$5:$AA$42="SP*"),--(Lineups!$AG$4:$AG$41=$U97),--(Lineups!$AB$4:$AB$41="X"),Lineups!$W$5:$W$42))</f>
        <v/>
      </c>
      <c r="Z97" s="142" t="str">
        <f>IF($U97="","",SUMPRODUCT(--(Lineups!$AK$4:$AK$41=$U97),Lineups!$W$4:$W$41) + SUMPRODUCT(--(Lineups!$AA$5:$AA$42="SP*"),--(Lineups!$AK$4:$AK$41=$U97),Lineups!$W$5:$W$42))</f>
        <v/>
      </c>
      <c r="AA97" s="142" t="str">
        <f>IF($U97="","",SUMPRODUCT(--(Lineups!$AO$4:$AO$41=$U97),Lineups!$W$4:$W$41) + SUMPRODUCT(--(Lineups!$AA$5:$AA$42="SP*"),--(Lineups!$AO$4:$AO$41=$U97),Lineups!$W$5:$W$42))</f>
        <v/>
      </c>
      <c r="AB97" s="142" t="str">
        <f>IF($U97="","",SUMPRODUCT(--(Lineups!$AS$4:$AS$41=$U97),Lineups!$W$4:$W$41) + SUMPRODUCT(--(Lineups!$AA$5:$AA$42="SP*"),--(Lineups!$AS$4:$AS$41=$U97),Lineups!$W$5:$W$42))</f>
        <v/>
      </c>
      <c r="AC97" s="131" t="str">
        <f t="shared" si="53"/>
        <v/>
      </c>
      <c r="AE97" s="131" t="str">
        <f t="shared" si="54"/>
        <v/>
      </c>
      <c r="AH97" s="131" t="str">
        <f>IF($U97="","",SUMPRODUCT(--(Lineups!$AC$4:$AC$41=$U97),Lineups!$W$4:$W$41) + SUMPRODUCT(--(Lineups!$AA$5:$AA$42="SP*"),--(Lineups!$AC$4:$AC$41=$U97),Lineups!$W$5:$W$42))</f>
        <v/>
      </c>
      <c r="AJ97" s="131" t="str">
        <f t="shared" si="55"/>
        <v/>
      </c>
    </row>
    <row r="101" spans="1:37" x14ac:dyDescent="0.3">
      <c r="C101" s="92" t="s">
        <v>145</v>
      </c>
      <c r="V101" s="92" t="s">
        <v>145</v>
      </c>
    </row>
    <row r="102" spans="1:37" x14ac:dyDescent="0.3">
      <c r="C102" s="3" t="s">
        <v>27</v>
      </c>
      <c r="D102" s="3">
        <f>MAX(Score!A84,Score!T84)</f>
        <v>16</v>
      </c>
      <c r="V102" s="3" t="s">
        <v>27</v>
      </c>
      <c r="W102" s="3">
        <f>D102</f>
        <v>16</v>
      </c>
    </row>
    <row r="103" spans="1:37" x14ac:dyDescent="0.3">
      <c r="C103" s="3" t="s">
        <v>28</v>
      </c>
      <c r="D103" s="3">
        <f ca="1">SK!H164</f>
        <v>8</v>
      </c>
      <c r="V103" s="3" t="s">
        <v>29</v>
      </c>
      <c r="W103" s="3">
        <f ca="1">SK!X164</f>
        <v>8</v>
      </c>
    </row>
    <row r="104" spans="1:37" x14ac:dyDescent="0.3">
      <c r="C104" s="3" t="s">
        <v>30</v>
      </c>
      <c r="D104" s="3">
        <f>COUNTIF(Q108:Q127,"&gt;0")</f>
        <v>14</v>
      </c>
      <c r="V104" s="3" t="s">
        <v>31</v>
      </c>
      <c r="W104" s="3">
        <f>COUNTIF(AJ108:AJ127,"&gt;0")</f>
        <v>15</v>
      </c>
    </row>
    <row r="106" spans="1:37" x14ac:dyDescent="0.3">
      <c r="A106" s="1200" t="s">
        <v>32</v>
      </c>
      <c r="B106" s="1200"/>
      <c r="C106" s="1200"/>
      <c r="D106" s="93"/>
      <c r="E106" s="93"/>
      <c r="F106" s="93"/>
      <c r="G106" s="93"/>
      <c r="H106" s="93"/>
      <c r="I106" s="93"/>
      <c r="J106" s="93"/>
      <c r="K106" s="93"/>
      <c r="L106" s="93"/>
      <c r="M106" s="93"/>
      <c r="N106" s="93"/>
      <c r="O106" s="93"/>
      <c r="P106" s="93"/>
      <c r="Q106" s="93"/>
      <c r="R106" s="93"/>
      <c r="T106" s="1200" t="s">
        <v>32</v>
      </c>
      <c r="U106" s="1200"/>
      <c r="V106" s="1200"/>
      <c r="W106" s="93"/>
      <c r="X106" s="93"/>
      <c r="Y106" s="93"/>
      <c r="Z106" s="93"/>
      <c r="AA106" s="93"/>
      <c r="AB106" s="93"/>
      <c r="AC106" s="93"/>
      <c r="AD106" s="93"/>
      <c r="AE106" s="93"/>
      <c r="AF106" s="93"/>
      <c r="AG106" s="93"/>
      <c r="AH106" s="93"/>
      <c r="AI106" s="93"/>
      <c r="AJ106" s="93"/>
      <c r="AK106" s="93"/>
    </row>
    <row r="107" spans="1:37" s="16" customFormat="1" x14ac:dyDescent="0.3">
      <c r="A107" s="136">
        <v>0</v>
      </c>
      <c r="B107" s="136" t="s">
        <v>24</v>
      </c>
      <c r="C107" s="136" t="s">
        <v>25</v>
      </c>
      <c r="D107" s="136" t="s">
        <v>103</v>
      </c>
      <c r="E107" s="137" t="s">
        <v>33</v>
      </c>
      <c r="F107" s="141" t="s">
        <v>104</v>
      </c>
      <c r="G107" s="141" t="s">
        <v>104</v>
      </c>
      <c r="H107" s="141" t="s">
        <v>104</v>
      </c>
      <c r="I107" s="141" t="s">
        <v>104</v>
      </c>
      <c r="J107" s="136" t="s">
        <v>34</v>
      </c>
      <c r="K107" s="137" t="s">
        <v>35</v>
      </c>
      <c r="L107" s="136" t="s">
        <v>36</v>
      </c>
      <c r="M107" s="137" t="s">
        <v>37</v>
      </c>
      <c r="N107" s="138" t="s">
        <v>13</v>
      </c>
      <c r="O107" s="136" t="s">
        <v>105</v>
      </c>
      <c r="P107" s="137" t="s">
        <v>38</v>
      </c>
      <c r="Q107" s="136" t="s">
        <v>7</v>
      </c>
      <c r="R107" s="137" t="s">
        <v>39</v>
      </c>
      <c r="T107" s="136">
        <v>0</v>
      </c>
      <c r="U107" s="136" t="s">
        <v>24</v>
      </c>
      <c r="V107" s="136" t="s">
        <v>25</v>
      </c>
      <c r="W107" s="136" t="s">
        <v>103</v>
      </c>
      <c r="X107" s="137" t="s">
        <v>33</v>
      </c>
      <c r="Y107" s="141" t="s">
        <v>104</v>
      </c>
      <c r="Z107" s="141" t="s">
        <v>104</v>
      </c>
      <c r="AA107" s="141" t="s">
        <v>104</v>
      </c>
      <c r="AB107" s="141" t="s">
        <v>104</v>
      </c>
      <c r="AC107" s="136" t="s">
        <v>34</v>
      </c>
      <c r="AD107" s="137" t="s">
        <v>35</v>
      </c>
      <c r="AE107" s="136" t="s">
        <v>36</v>
      </c>
      <c r="AF107" s="137" t="s">
        <v>37</v>
      </c>
      <c r="AG107" s="138" t="s">
        <v>13</v>
      </c>
      <c r="AH107" s="136" t="s">
        <v>105</v>
      </c>
      <c r="AI107" s="137" t="s">
        <v>38</v>
      </c>
      <c r="AJ107" s="136" t="s">
        <v>7</v>
      </c>
      <c r="AK107" s="137" t="s">
        <v>39</v>
      </c>
    </row>
    <row r="108" spans="1:37" x14ac:dyDescent="0.3">
      <c r="A108" s="16">
        <f t="shared" ref="A108:A127" si="56">A107+1</f>
        <v>1</v>
      </c>
      <c r="B108" s="83" t="str">
        <f t="shared" ref="B108:C127" si="57">B9</f>
        <v>101</v>
      </c>
      <c r="C108" s="83" t="str">
        <f t="shared" si="57"/>
        <v>Jackie Treehorn</v>
      </c>
      <c r="D108" s="3">
        <f>IF($B108="","",SUMPRODUCT(--(Lineups!G$46:G$83=$B108),--(Lineups!B$46:B$83="")))</f>
        <v>0</v>
      </c>
      <c r="E108" s="134">
        <f t="shared" ref="E108:E127" si="58">IF($B108="","",IF($D$102=0,"",D108/$D$102))</f>
        <v>0</v>
      </c>
      <c r="F108" s="142">
        <f>IF($B108="","",SUMPRODUCT(--(Lineups!G$46:G$83=$B108),--(Lineups!B$46:B$83="X")))</f>
        <v>0</v>
      </c>
      <c r="G108" s="142">
        <f>IF($B108="","",SUMPRODUCT(--(Lineups!K$46:K$83=$B108),--(Lineups!A$46:A$83&lt;&gt;"SP")))</f>
        <v>0</v>
      </c>
      <c r="H108" s="142">
        <f>IF($B108="","",SUMPRODUCT(--(Lineups!O$46:O$83=$B108),--(Lineups!A$46:A$83&lt;&gt;"SP")))</f>
        <v>2</v>
      </c>
      <c r="I108" s="142">
        <f>IF($B108="","",SUMPRODUCT(--(Lineups!S$46:S$83=$B108),--(Lineups!A$46:A$83&lt;&gt;"SP")))</f>
        <v>8</v>
      </c>
      <c r="J108" s="3">
        <f t="shared" ref="J108:J127" si="59">IF(B108="","",SUM(F108:I108))</f>
        <v>10</v>
      </c>
      <c r="K108" s="134">
        <f t="shared" ref="K108:K127" si="60">IF($B108="","",IF($D$102=0,"",J108/$D$102))</f>
        <v>0.625</v>
      </c>
      <c r="L108" s="3">
        <f t="shared" ref="L108:L127" si="61">IF(B108="","",SUM(D108,J108))</f>
        <v>10</v>
      </c>
      <c r="M108" s="134">
        <f t="shared" ref="M108:M127" si="62">IF($B108="","",IF($D$102=0,"",L108/$D$102))</f>
        <v>0.625</v>
      </c>
      <c r="N108" s="139" t="str">
        <f ca="1">IF(B108="","",IF(OR(SK!E173="",SK!E173=0),"",SK!H173))</f>
        <v/>
      </c>
      <c r="O108" s="3">
        <f>IF($B108="","",SUMPRODUCT(--(Lineups!C$46:C$83=$B108)))</f>
        <v>0</v>
      </c>
      <c r="P108" s="134">
        <f t="shared" ref="P108:P127" si="63">IF($B108="","",IF($D$102=0,"",O108/$D$102))</f>
        <v>0</v>
      </c>
      <c r="Q108" s="3">
        <f t="shared" ref="Q108:Q127" si="64">IF(B108="","",SUM(L108,O108))</f>
        <v>10</v>
      </c>
      <c r="R108" s="134">
        <f t="shared" ref="R108:R127" si="65">IF($B108="","",IF($D$102=0,"",Q108/$D$102))</f>
        <v>0.625</v>
      </c>
      <c r="T108" s="16">
        <f t="shared" ref="T108:T127" si="66">T107+1</f>
        <v>1</v>
      </c>
      <c r="U108" s="83" t="str">
        <f t="shared" ref="U108:V127" si="67">U9</f>
        <v>12</v>
      </c>
      <c r="V108" s="83" t="str">
        <f t="shared" si="67"/>
        <v>Zorra</v>
      </c>
      <c r="W108" s="3">
        <f>IF($U108="","",SUMPRODUCT(--(Lineups!AG$46:AG$83=$U108),--(Lineups!AB$46:AB$83="")))</f>
        <v>1</v>
      </c>
      <c r="X108" s="134">
        <f t="shared" ref="X108:X127" si="68">IF($U108="","",IF($W$102=0,"",W108/$W$102))</f>
        <v>6.25E-2</v>
      </c>
      <c r="Y108" s="142">
        <f>IF($U108="","",SUMPRODUCT(--(Lineups!AG$46:AG$83=$U108),--(Lineups!AB$46:AB$83="X")))</f>
        <v>1</v>
      </c>
      <c r="Z108" s="142">
        <f>IF($U108="","",SUMPRODUCT(--(Lineups!AK$46:AK$83=$U108),--(Lineups!AA$46:AA$83&lt;&gt;"SP")))</f>
        <v>0</v>
      </c>
      <c r="AA108" s="142">
        <f>IF($U108="","",SUMPRODUCT(--(Lineups!AO$46:AO$83=$U108),--(Lineups!AA$46:AA$83&lt;&gt;"SP")))</f>
        <v>0</v>
      </c>
      <c r="AB108" s="142">
        <f>IF($U108="","",SUMPRODUCT(--(Lineups!AS$46:AS$83=$U108),--(Lineups!AA$46:AA$83&lt;&gt;"SP")))</f>
        <v>0</v>
      </c>
      <c r="AC108" s="3">
        <f t="shared" ref="AC108:AC127" si="69">IF(U108="","",SUM(Y108:AB108))</f>
        <v>1</v>
      </c>
      <c r="AD108" s="134">
        <f t="shared" ref="AD108:AD127" si="70">IF($U108="","",IF($W$102=0,"",AC108/$W$102))</f>
        <v>6.25E-2</v>
      </c>
      <c r="AE108" s="3">
        <f t="shared" ref="AE108:AE127" si="71">IF(U108="","",SUM(W108,AC108))</f>
        <v>2</v>
      </c>
      <c r="AF108" s="134">
        <f t="shared" ref="AF108:AF127" si="72">IF($U108="","",IF($W$102=0,"",AE108/$W$102))</f>
        <v>0.125</v>
      </c>
      <c r="AG108" s="139">
        <f ca="1">IF(U108="","",IF(OR(SK!U173="",SK!U173=0),"",SK!X173))</f>
        <v>4</v>
      </c>
      <c r="AH108" s="3">
        <f>IF($U108="","",SUMPRODUCT(--(Lineups!AC$46:AC$83=$U108)))</f>
        <v>6</v>
      </c>
      <c r="AI108" s="134">
        <f t="shared" ref="AI108:AI127" si="73">IF($U108="","",IF($W$102=0,"",AH108/$W$102))</f>
        <v>0.375</v>
      </c>
      <c r="AJ108" s="3">
        <f t="shared" ref="AJ108:AJ127" si="74">IF(U108="","",SUM(AE108,AH108))</f>
        <v>8</v>
      </c>
      <c r="AK108" s="134">
        <f t="shared" ref="AK108:AK127" si="75">IF($U108="","",IF($W$102=0,"",AJ108/$W$102))</f>
        <v>0.5</v>
      </c>
    </row>
    <row r="109" spans="1:37" x14ac:dyDescent="0.3">
      <c r="A109" s="131">
        <f t="shared" si="56"/>
        <v>2</v>
      </c>
      <c r="B109" s="132" t="str">
        <f t="shared" si="57"/>
        <v>123</v>
      </c>
      <c r="C109" s="132" t="str">
        <f t="shared" si="57"/>
        <v>Bacon 4 Mercy</v>
      </c>
      <c r="D109" s="133">
        <f>IF($B109="","",SUMPRODUCT(--(Lineups!G$46:G$83=$B109),--(Lineups!B$46:B$83="")))</f>
        <v>0</v>
      </c>
      <c r="E109" s="135">
        <f t="shared" si="58"/>
        <v>0</v>
      </c>
      <c r="F109" s="142">
        <f>IF($B109="","",SUMPRODUCT(--(Lineups!G$46:G$83=$B109),--(Lineups!B$46:B$83="X")))</f>
        <v>1</v>
      </c>
      <c r="G109" s="142">
        <f>IF($B109="","",SUMPRODUCT(--(Lineups!K$46:K$83=$B109),--(Lineups!A$46:A$83&lt;&gt;"SP")))</f>
        <v>0</v>
      </c>
      <c r="H109" s="142">
        <f>IF($B109="","",SUMPRODUCT(--(Lineups!O$46:O$83=$B109),--(Lineups!A$46:A$83&lt;&gt;"SP")))</f>
        <v>0</v>
      </c>
      <c r="I109" s="142">
        <f>IF($B109="","",SUMPRODUCT(--(Lineups!S$46:S$83=$B109),--(Lineups!A$46:A$83&lt;&gt;"SP")))</f>
        <v>0</v>
      </c>
      <c r="J109" s="133">
        <f t="shared" si="59"/>
        <v>1</v>
      </c>
      <c r="K109" s="135">
        <f t="shared" si="60"/>
        <v>6.25E-2</v>
      </c>
      <c r="L109" s="133">
        <f t="shared" si="61"/>
        <v>1</v>
      </c>
      <c r="M109" s="135">
        <f t="shared" si="62"/>
        <v>6.25E-2</v>
      </c>
      <c r="N109" s="140">
        <f ca="1">IF(B109="","",IF(OR(SK!E176="",SK!E176=0),"",SK!H176))</f>
        <v>2</v>
      </c>
      <c r="O109" s="133">
        <f>IF($B109="","",SUMPRODUCT(--(Lineups!C$46:C$83=$B109)))</f>
        <v>5</v>
      </c>
      <c r="P109" s="135">
        <f t="shared" si="63"/>
        <v>0.3125</v>
      </c>
      <c r="Q109" s="133">
        <f t="shared" si="64"/>
        <v>6</v>
      </c>
      <c r="R109" s="135">
        <f t="shared" si="65"/>
        <v>0.375</v>
      </c>
      <c r="T109" s="131">
        <f t="shared" si="66"/>
        <v>2</v>
      </c>
      <c r="U109" s="132" t="str">
        <f t="shared" si="67"/>
        <v>16</v>
      </c>
      <c r="V109" s="132" t="str">
        <f t="shared" si="67"/>
        <v>Dodge n Burn</v>
      </c>
      <c r="W109" s="133">
        <f>IF($U109="","",SUMPRODUCT(--(Lineups!AG$46:AG$83=$U109),--(Lineups!AB$46:AB$83="")))</f>
        <v>0</v>
      </c>
      <c r="X109" s="135">
        <f t="shared" si="68"/>
        <v>0</v>
      </c>
      <c r="Y109" s="142">
        <f>IF($U109="","",SUMPRODUCT(--(Lineups!AG$46:AG$83=$U109),--(Lineups!AB$46:AB$83="X")))</f>
        <v>0</v>
      </c>
      <c r="Z109" s="142">
        <f>IF($U109="","",SUMPRODUCT(--(Lineups!AK$46:AK$83=$U109),--(Lineups!AA$46:AA$83&lt;&gt;"SP")))</f>
        <v>0</v>
      </c>
      <c r="AA109" s="142">
        <f>IF($U109="","",SUMPRODUCT(--(Lineups!AO$46:AO$83=$U109),--(Lineups!AA$46:AA$83&lt;&gt;"SP")))</f>
        <v>1</v>
      </c>
      <c r="AB109" s="142">
        <f>IF($U109="","",SUMPRODUCT(--(Lineups!AS$46:AS$83=$U109),--(Lineups!AA$46:AA$83&lt;&gt;"SP")))</f>
        <v>0</v>
      </c>
      <c r="AC109" s="133">
        <f t="shared" si="69"/>
        <v>1</v>
      </c>
      <c r="AD109" s="135">
        <f t="shared" si="70"/>
        <v>6.25E-2</v>
      </c>
      <c r="AE109" s="133">
        <f t="shared" si="71"/>
        <v>1</v>
      </c>
      <c r="AF109" s="135">
        <f t="shared" si="72"/>
        <v>6.25E-2</v>
      </c>
      <c r="AG109" s="140" t="str">
        <f ca="1">IF(U109="","",IF(OR(SK!U176="",SK!U176=0),"",SK!X176))</f>
        <v/>
      </c>
      <c r="AH109" s="133">
        <f>IF($U109="","",SUMPRODUCT(--(Lineups!AC$46:AC$83=$U109)))</f>
        <v>0</v>
      </c>
      <c r="AI109" s="135">
        <f t="shared" si="73"/>
        <v>0</v>
      </c>
      <c r="AJ109" s="133">
        <f t="shared" si="74"/>
        <v>1</v>
      </c>
      <c r="AK109" s="135">
        <f t="shared" si="75"/>
        <v>6.25E-2</v>
      </c>
    </row>
    <row r="110" spans="1:37" x14ac:dyDescent="0.3">
      <c r="A110" s="16">
        <f t="shared" si="56"/>
        <v>3</v>
      </c>
      <c r="B110" s="83" t="str">
        <f t="shared" si="57"/>
        <v>1760</v>
      </c>
      <c r="C110" s="83" t="str">
        <f t="shared" si="57"/>
        <v>By O. Hazard</v>
      </c>
      <c r="D110" s="3">
        <f>IF($B110="","",SUMPRODUCT(--(Lineups!G$46:G$83=$B110),--(Lineups!B$46:B$83="")))</f>
        <v>6</v>
      </c>
      <c r="E110" s="134">
        <f t="shared" si="58"/>
        <v>0.375</v>
      </c>
      <c r="F110" s="142">
        <f>IF($B110="","",SUMPRODUCT(--(Lineups!G$46:G$83=$B110),--(Lineups!B$46:B$83="X")))</f>
        <v>0</v>
      </c>
      <c r="G110" s="142">
        <f>IF($B110="","",SUMPRODUCT(--(Lineups!K$46:K$83=$B110),--(Lineups!A$46:A$83&lt;&gt;"SP")))</f>
        <v>1</v>
      </c>
      <c r="H110" s="142">
        <f>IF($B110="","",SUMPRODUCT(--(Lineups!O$46:O$83=$B110),--(Lineups!A$46:A$83&lt;&gt;"SP")))</f>
        <v>1</v>
      </c>
      <c r="I110" s="142">
        <f>IF($B110="","",SUMPRODUCT(--(Lineups!S$46:S$83=$B110),--(Lineups!A$46:A$83&lt;&gt;"SP")))</f>
        <v>2</v>
      </c>
      <c r="J110" s="3">
        <f t="shared" si="59"/>
        <v>4</v>
      </c>
      <c r="K110" s="134">
        <f t="shared" si="60"/>
        <v>0.25</v>
      </c>
      <c r="L110" s="3">
        <f t="shared" si="61"/>
        <v>10</v>
      </c>
      <c r="M110" s="134">
        <f t="shared" si="62"/>
        <v>0.625</v>
      </c>
      <c r="N110" s="139">
        <f ca="1">IF(B110="","",IF(OR(SK!E179="",SK!E179=0),"",SK!H179))</f>
        <v>0</v>
      </c>
      <c r="O110" s="3">
        <f>IF($B110="","",SUMPRODUCT(--(Lineups!C$46:C$83=$B110)))</f>
        <v>1</v>
      </c>
      <c r="P110" s="134">
        <f t="shared" si="63"/>
        <v>6.25E-2</v>
      </c>
      <c r="Q110" s="3">
        <f t="shared" si="64"/>
        <v>11</v>
      </c>
      <c r="R110" s="134">
        <f t="shared" si="65"/>
        <v>0.6875</v>
      </c>
      <c r="T110" s="16">
        <f t="shared" si="66"/>
        <v>3</v>
      </c>
      <c r="U110" s="83" t="str">
        <f t="shared" si="67"/>
        <v>17</v>
      </c>
      <c r="V110" s="83" t="str">
        <f t="shared" si="67"/>
        <v>Yinzey Lohan</v>
      </c>
      <c r="W110" s="3">
        <f>IF($U110="","",SUMPRODUCT(--(Lineups!AG$46:AG$83=$U110),--(Lineups!AB$46:AB$83="")))</f>
        <v>0</v>
      </c>
      <c r="X110" s="134">
        <f t="shared" si="68"/>
        <v>0</v>
      </c>
      <c r="Y110" s="142">
        <f>IF($U110="","",SUMPRODUCT(--(Lineups!AG$46:AG$83=$U110),--(Lineups!AB$46:AB$83="X")))</f>
        <v>0</v>
      </c>
      <c r="Z110" s="142">
        <f>IF($U110="","",SUMPRODUCT(--(Lineups!AK$46:AK$83=$U110),--(Lineups!AA$46:AA$83&lt;&gt;"SP")))</f>
        <v>4</v>
      </c>
      <c r="AA110" s="142">
        <f>IF($U110="","",SUMPRODUCT(--(Lineups!AO$46:AO$83=$U110),--(Lineups!AA$46:AA$83&lt;&gt;"SP")))</f>
        <v>0</v>
      </c>
      <c r="AB110" s="142">
        <f>IF($U110="","",SUMPRODUCT(--(Lineups!AS$46:AS$83=$U110),--(Lineups!AA$46:AA$83&lt;&gt;"SP")))</f>
        <v>1</v>
      </c>
      <c r="AC110" s="3">
        <f t="shared" si="69"/>
        <v>5</v>
      </c>
      <c r="AD110" s="134">
        <f t="shared" si="70"/>
        <v>0.3125</v>
      </c>
      <c r="AE110" s="3">
        <f t="shared" si="71"/>
        <v>5</v>
      </c>
      <c r="AF110" s="134">
        <f t="shared" si="72"/>
        <v>0.3125</v>
      </c>
      <c r="AG110" s="139" t="str">
        <f ca="1">IF(U110="","",IF(OR(SK!U179="",SK!U179=0),"",SK!X179))</f>
        <v/>
      </c>
      <c r="AH110" s="3">
        <f>IF($U110="","",SUMPRODUCT(--(Lineups!AC$46:AC$83=$U110)))</f>
        <v>0</v>
      </c>
      <c r="AI110" s="134">
        <f t="shared" si="73"/>
        <v>0</v>
      </c>
      <c r="AJ110" s="3">
        <f t="shared" si="74"/>
        <v>5</v>
      </c>
      <c r="AK110" s="134">
        <f t="shared" si="75"/>
        <v>0.3125</v>
      </c>
    </row>
    <row r="111" spans="1:37" x14ac:dyDescent="0.3">
      <c r="A111" s="131">
        <f t="shared" si="56"/>
        <v>4</v>
      </c>
      <c r="B111" s="132" t="str">
        <f t="shared" si="57"/>
        <v>202</v>
      </c>
      <c r="C111" s="132" t="str">
        <f t="shared" si="57"/>
        <v>Thai-GRRR</v>
      </c>
      <c r="D111" s="133">
        <f>IF($B111="","",SUMPRODUCT(--(Lineups!G$46:G$83=$B111),--(Lineups!B$46:B$83="")))</f>
        <v>0</v>
      </c>
      <c r="E111" s="135">
        <f t="shared" si="58"/>
        <v>0</v>
      </c>
      <c r="F111" s="142">
        <f>IF($B111="","",SUMPRODUCT(--(Lineups!G$46:G$83=$B111),--(Lineups!B$46:B$83="X")))</f>
        <v>0</v>
      </c>
      <c r="G111" s="142">
        <f>IF($B111="","",SUMPRODUCT(--(Lineups!K$46:K$83=$B111),--(Lineups!A$46:A$83&lt;&gt;"SP")))</f>
        <v>0</v>
      </c>
      <c r="H111" s="142">
        <f>IF($B111="","",SUMPRODUCT(--(Lineups!O$46:O$83=$B111),--(Lineups!A$46:A$83&lt;&gt;"SP")))</f>
        <v>0</v>
      </c>
      <c r="I111" s="142">
        <f>IF($B111="","",SUMPRODUCT(--(Lineups!S$46:S$83=$B111),--(Lineups!A$46:A$83&lt;&gt;"SP")))</f>
        <v>0</v>
      </c>
      <c r="J111" s="133">
        <f t="shared" si="59"/>
        <v>0</v>
      </c>
      <c r="K111" s="135">
        <f t="shared" si="60"/>
        <v>0</v>
      </c>
      <c r="L111" s="133">
        <f t="shared" si="61"/>
        <v>0</v>
      </c>
      <c r="M111" s="135">
        <f t="shared" si="62"/>
        <v>0</v>
      </c>
      <c r="N111" s="140">
        <f ca="1">IF(B111="","",IF(OR(SK!E182="",SK!E182=0),"",SK!H182))</f>
        <v>3</v>
      </c>
      <c r="O111" s="133">
        <f>IF($B111="","",SUMPRODUCT(--(Lineups!C$46:C$83=$B111)))</f>
        <v>4</v>
      </c>
      <c r="P111" s="135">
        <f t="shared" si="63"/>
        <v>0.25</v>
      </c>
      <c r="Q111" s="133">
        <f t="shared" si="64"/>
        <v>4</v>
      </c>
      <c r="R111" s="135">
        <f t="shared" si="65"/>
        <v>0.25</v>
      </c>
      <c r="T111" s="131">
        <f t="shared" si="66"/>
        <v>4</v>
      </c>
      <c r="U111" s="132" t="str">
        <f t="shared" si="67"/>
        <v>2</v>
      </c>
      <c r="V111" s="132" t="str">
        <f t="shared" si="67"/>
        <v>Stark Raven</v>
      </c>
      <c r="W111" s="133">
        <f>IF($U111="","",SUMPRODUCT(--(Lineups!AG$46:AG$83=$U111),--(Lineups!AB$46:AB$83="")))</f>
        <v>0</v>
      </c>
      <c r="X111" s="135">
        <f t="shared" si="68"/>
        <v>0</v>
      </c>
      <c r="Y111" s="142">
        <f>IF($U111="","",SUMPRODUCT(--(Lineups!AG$46:AG$83=$U111),--(Lineups!AB$46:AB$83="X")))</f>
        <v>0</v>
      </c>
      <c r="Z111" s="142">
        <f>IF($U111="","",SUMPRODUCT(--(Lineups!AK$46:AK$83=$U111),--(Lineups!AA$46:AA$83&lt;&gt;"SP")))</f>
        <v>7</v>
      </c>
      <c r="AA111" s="142">
        <f>IF($U111="","",SUMPRODUCT(--(Lineups!AO$46:AO$83=$U111),--(Lineups!AA$46:AA$83&lt;&gt;"SP")))</f>
        <v>1</v>
      </c>
      <c r="AB111" s="142">
        <f>IF($U111="","",SUMPRODUCT(--(Lineups!AS$46:AS$83=$U111),--(Lineups!AA$46:AA$83&lt;&gt;"SP")))</f>
        <v>0</v>
      </c>
      <c r="AC111" s="133">
        <f t="shared" si="69"/>
        <v>8</v>
      </c>
      <c r="AD111" s="135">
        <f t="shared" si="70"/>
        <v>0.5</v>
      </c>
      <c r="AE111" s="133">
        <f t="shared" si="71"/>
        <v>8</v>
      </c>
      <c r="AF111" s="135">
        <f t="shared" si="72"/>
        <v>0.5</v>
      </c>
      <c r="AG111" s="140" t="str">
        <f ca="1">IF(U111="","",IF(OR(SK!U182="",SK!U182=0),"",SK!X182))</f>
        <v/>
      </c>
      <c r="AH111" s="133">
        <f>IF($U111="","",SUMPRODUCT(--(Lineups!AC$46:AC$83=$U111)))</f>
        <v>0</v>
      </c>
      <c r="AI111" s="135">
        <f t="shared" si="73"/>
        <v>0</v>
      </c>
      <c r="AJ111" s="133">
        <f t="shared" si="74"/>
        <v>8</v>
      </c>
      <c r="AK111" s="135">
        <f t="shared" si="75"/>
        <v>0.5</v>
      </c>
    </row>
    <row r="112" spans="1:37" x14ac:dyDescent="0.3">
      <c r="A112" s="16">
        <f t="shared" si="56"/>
        <v>5</v>
      </c>
      <c r="B112" s="83" t="str">
        <f t="shared" si="57"/>
        <v>22</v>
      </c>
      <c r="C112" s="83" t="str">
        <f t="shared" si="57"/>
        <v>Jen Hex</v>
      </c>
      <c r="D112" s="3">
        <f>IF($B112="","",SUMPRODUCT(--(Lineups!G$46:G$83=$B112),--(Lineups!B$46:B$83="")))</f>
        <v>0</v>
      </c>
      <c r="E112" s="134">
        <f t="shared" si="58"/>
        <v>0</v>
      </c>
      <c r="F112" s="142">
        <f>IF($B112="","",SUMPRODUCT(--(Lineups!G$46:G$83=$B112),--(Lineups!B$46:B$83="X")))</f>
        <v>0</v>
      </c>
      <c r="G112" s="142">
        <f>IF($B112="","",SUMPRODUCT(--(Lineups!K$46:K$83=$B112),--(Lineups!A$46:A$83&lt;&gt;"SP")))</f>
        <v>0</v>
      </c>
      <c r="H112" s="142">
        <f>IF($B112="","",SUMPRODUCT(--(Lineups!O$46:O$83=$B112),--(Lineups!A$46:A$83&lt;&gt;"SP")))</f>
        <v>0</v>
      </c>
      <c r="I112" s="142">
        <f>IF($B112="","",SUMPRODUCT(--(Lineups!S$46:S$83=$B112),--(Lineups!A$46:A$83&lt;&gt;"SP")))</f>
        <v>0</v>
      </c>
      <c r="J112" s="3">
        <f t="shared" si="59"/>
        <v>0</v>
      </c>
      <c r="K112" s="134">
        <f t="shared" si="60"/>
        <v>0</v>
      </c>
      <c r="L112" s="3">
        <f t="shared" si="61"/>
        <v>0</v>
      </c>
      <c r="M112" s="134">
        <f t="shared" si="62"/>
        <v>0</v>
      </c>
      <c r="N112" s="139" t="str">
        <f ca="1">IF(B112="","",IF(OR(SK!E185="",SK!E185=0),"",SK!H185))</f>
        <v/>
      </c>
      <c r="O112" s="3">
        <f>IF($B112="","",SUMPRODUCT(--(Lineups!C$46:C$83=$B112)))</f>
        <v>0</v>
      </c>
      <c r="P112" s="134">
        <f t="shared" si="63"/>
        <v>0</v>
      </c>
      <c r="Q112" s="3">
        <f t="shared" si="64"/>
        <v>0</v>
      </c>
      <c r="R112" s="134">
        <f t="shared" si="65"/>
        <v>0</v>
      </c>
      <c r="T112" s="16">
        <f t="shared" si="66"/>
        <v>5</v>
      </c>
      <c r="U112" s="83" t="str">
        <f t="shared" si="67"/>
        <v>219</v>
      </c>
      <c r="V112" s="83" t="str">
        <f t="shared" si="67"/>
        <v>Dakota Slamming</v>
      </c>
      <c r="W112" s="3">
        <f>IF($U112="","",SUMPRODUCT(--(Lineups!AG$46:AG$83=$U112),--(Lineups!AB$46:AB$83="")))</f>
        <v>6</v>
      </c>
      <c r="X112" s="134">
        <f t="shared" si="68"/>
        <v>0.375</v>
      </c>
      <c r="Y112" s="142">
        <f>IF($U112="","",SUMPRODUCT(--(Lineups!AG$46:AG$83=$U112),--(Lineups!AB$46:AB$83="X")))</f>
        <v>0</v>
      </c>
      <c r="Z112" s="142">
        <f>IF($U112="","",SUMPRODUCT(--(Lineups!AK$46:AK$83=$U112),--(Lineups!AA$46:AA$83&lt;&gt;"SP")))</f>
        <v>0</v>
      </c>
      <c r="AA112" s="142">
        <f>IF($U112="","",SUMPRODUCT(--(Lineups!AO$46:AO$83=$U112),--(Lineups!AA$46:AA$83&lt;&gt;"SP")))</f>
        <v>1</v>
      </c>
      <c r="AB112" s="142">
        <f>IF($U112="","",SUMPRODUCT(--(Lineups!AS$46:AS$83=$U112),--(Lineups!AA$46:AA$83&lt;&gt;"SP")))</f>
        <v>1</v>
      </c>
      <c r="AC112" s="3">
        <f t="shared" si="69"/>
        <v>2</v>
      </c>
      <c r="AD112" s="134">
        <f t="shared" si="70"/>
        <v>0.125</v>
      </c>
      <c r="AE112" s="3">
        <f t="shared" si="71"/>
        <v>8</v>
      </c>
      <c r="AF112" s="134">
        <f t="shared" si="72"/>
        <v>0.5</v>
      </c>
      <c r="AG112" s="139">
        <f ca="1">IF(U112="","",IF(OR(SK!U185="",SK!U185=0),"",SK!X185))</f>
        <v>0</v>
      </c>
      <c r="AH112" s="3">
        <f>IF($U112="","",SUMPRODUCT(--(Lineups!AC$46:AC$83=$U112)))</f>
        <v>2</v>
      </c>
      <c r="AI112" s="134">
        <f t="shared" si="73"/>
        <v>0.125</v>
      </c>
      <c r="AJ112" s="3">
        <f t="shared" si="74"/>
        <v>10</v>
      </c>
      <c r="AK112" s="134">
        <f t="shared" si="75"/>
        <v>0.625</v>
      </c>
    </row>
    <row r="113" spans="1:37" x14ac:dyDescent="0.3">
      <c r="A113" s="131">
        <f t="shared" si="56"/>
        <v>6</v>
      </c>
      <c r="B113" s="132" t="str">
        <f t="shared" si="57"/>
        <v>221*</v>
      </c>
      <c r="C113" s="132" t="str">
        <f t="shared" si="57"/>
        <v>Kili Pepa</v>
      </c>
      <c r="D113" s="133">
        <f>IF($B113="","",SUMPRODUCT(--(Lineups!G$46:G$83=$B113),--(Lineups!B$46:B$83="")))</f>
        <v>0</v>
      </c>
      <c r="E113" s="135">
        <f t="shared" si="58"/>
        <v>0</v>
      </c>
      <c r="F113" s="142">
        <f>IF($B113="","",SUMPRODUCT(--(Lineups!G$46:G$83=$B113),--(Lineups!B$46:B$83="X")))</f>
        <v>0</v>
      </c>
      <c r="G113" s="142">
        <f>IF($B113="","",SUMPRODUCT(--(Lineups!K$46:K$83=$B113),--(Lineups!A$46:A$83&lt;&gt;"SP")))</f>
        <v>0</v>
      </c>
      <c r="H113" s="142">
        <f>IF($B113="","",SUMPRODUCT(--(Lineups!O$46:O$83=$B113),--(Lineups!A$46:A$83&lt;&gt;"SP")))</f>
        <v>0</v>
      </c>
      <c r="I113" s="142">
        <f>IF($B113="","",SUMPRODUCT(--(Lineups!S$46:S$83=$B113),--(Lineups!A$46:A$83&lt;&gt;"SP")))</f>
        <v>0</v>
      </c>
      <c r="J113" s="133">
        <f t="shared" si="59"/>
        <v>0</v>
      </c>
      <c r="K113" s="135">
        <f t="shared" si="60"/>
        <v>0</v>
      </c>
      <c r="L113" s="133">
        <f t="shared" si="61"/>
        <v>0</v>
      </c>
      <c r="M113" s="135">
        <f t="shared" si="62"/>
        <v>0</v>
      </c>
      <c r="N113" s="140" t="str">
        <f ca="1">IF(B113="","",IF(OR(SK!E188="",SK!E188=0),"",SK!H188))</f>
        <v/>
      </c>
      <c r="O113" s="133">
        <f>IF($B113="","",SUMPRODUCT(--(Lineups!C$46:C$83=$B113)))</f>
        <v>0</v>
      </c>
      <c r="P113" s="135">
        <f t="shared" si="63"/>
        <v>0</v>
      </c>
      <c r="Q113" s="133">
        <f t="shared" si="64"/>
        <v>0</v>
      </c>
      <c r="R113" s="135">
        <f t="shared" si="65"/>
        <v>0</v>
      </c>
      <c r="T113" s="131">
        <f t="shared" si="66"/>
        <v>6</v>
      </c>
      <c r="U113" s="132" t="str">
        <f t="shared" si="67"/>
        <v>22</v>
      </c>
      <c r="V113" s="132" t="str">
        <f t="shared" si="67"/>
        <v>Dammit Jammit</v>
      </c>
      <c r="W113" s="133">
        <f>IF($U113="","",SUMPRODUCT(--(Lineups!AG$46:AG$83=$U113),--(Lineups!AB$46:AB$83="")))</f>
        <v>2</v>
      </c>
      <c r="X113" s="135">
        <f t="shared" si="68"/>
        <v>0.125</v>
      </c>
      <c r="Y113" s="142">
        <f>IF($U113="","",SUMPRODUCT(--(Lineups!AG$46:AG$83=$U113),--(Lineups!AB$46:AB$83="X")))</f>
        <v>0</v>
      </c>
      <c r="Z113" s="142">
        <f>IF($U113="","",SUMPRODUCT(--(Lineups!AK$46:AK$83=$U113),--(Lineups!AA$46:AA$83&lt;&gt;"SP")))</f>
        <v>0</v>
      </c>
      <c r="AA113" s="142">
        <f>IF($U113="","",SUMPRODUCT(--(Lineups!AO$46:AO$83=$U113),--(Lineups!AA$46:AA$83&lt;&gt;"SP")))</f>
        <v>3</v>
      </c>
      <c r="AB113" s="142">
        <f>IF($U113="","",SUMPRODUCT(--(Lineups!AS$46:AS$83=$U113),--(Lineups!AA$46:AA$83&lt;&gt;"SP")))</f>
        <v>2</v>
      </c>
      <c r="AC113" s="133">
        <f t="shared" si="69"/>
        <v>5</v>
      </c>
      <c r="AD113" s="135">
        <f t="shared" si="70"/>
        <v>0.3125</v>
      </c>
      <c r="AE113" s="133">
        <f t="shared" si="71"/>
        <v>7</v>
      </c>
      <c r="AF113" s="135">
        <f t="shared" si="72"/>
        <v>0.4375</v>
      </c>
      <c r="AG113" s="140">
        <f ca="1">IF(U113="","",IF(OR(SK!U188="",SK!U188=0),"",SK!X188))</f>
        <v>0</v>
      </c>
      <c r="AH113" s="133">
        <f>IF($U113="","",SUMPRODUCT(--(Lineups!AC$46:AC$83=$U113)))</f>
        <v>1</v>
      </c>
      <c r="AI113" s="135">
        <f t="shared" si="73"/>
        <v>6.25E-2</v>
      </c>
      <c r="AJ113" s="133">
        <f t="shared" si="74"/>
        <v>8</v>
      </c>
      <c r="AK113" s="135">
        <f t="shared" si="75"/>
        <v>0.5</v>
      </c>
    </row>
    <row r="114" spans="1:37" x14ac:dyDescent="0.3">
      <c r="A114" s="16">
        <f t="shared" si="56"/>
        <v>7</v>
      </c>
      <c r="B114" s="83" t="str">
        <f t="shared" si="57"/>
        <v>229</v>
      </c>
      <c r="C114" s="83" t="str">
        <f t="shared" si="57"/>
        <v>Sparky</v>
      </c>
      <c r="D114" s="3">
        <f>IF($B114="","",SUMPRODUCT(--(Lineups!G$46:G$83=$B114),--(Lineups!B$46:B$83="")))</f>
        <v>0</v>
      </c>
      <c r="E114" s="134">
        <f t="shared" si="58"/>
        <v>0</v>
      </c>
      <c r="F114" s="142">
        <f>IF($B114="","",SUMPRODUCT(--(Lineups!G$46:G$83=$B114),--(Lineups!B$46:B$83="X")))</f>
        <v>0</v>
      </c>
      <c r="G114" s="142">
        <f>IF($B114="","",SUMPRODUCT(--(Lineups!K$46:K$83=$B114),--(Lineups!A$46:A$83&lt;&gt;"SP")))</f>
        <v>3</v>
      </c>
      <c r="H114" s="142">
        <f>IF($B114="","",SUMPRODUCT(--(Lineups!O$46:O$83=$B114),--(Lineups!A$46:A$83&lt;&gt;"SP")))</f>
        <v>2</v>
      </c>
      <c r="I114" s="142">
        <f>IF($B114="","",SUMPRODUCT(--(Lineups!S$46:S$83=$B114),--(Lineups!A$46:A$83&lt;&gt;"SP")))</f>
        <v>0</v>
      </c>
      <c r="J114" s="3">
        <f t="shared" si="59"/>
        <v>5</v>
      </c>
      <c r="K114" s="134">
        <f t="shared" si="60"/>
        <v>0.3125</v>
      </c>
      <c r="L114" s="3">
        <f t="shared" si="61"/>
        <v>5</v>
      </c>
      <c r="M114" s="134">
        <f t="shared" si="62"/>
        <v>0.3125</v>
      </c>
      <c r="N114" s="139" t="str">
        <f ca="1">IF(B114="","",IF(OR(SK!E191="",SK!E191=0),"",SK!H191))</f>
        <v/>
      </c>
      <c r="O114" s="3">
        <f>IF($B114="","",SUMPRODUCT(--(Lineups!C$46:C$83=$B114)))</f>
        <v>0</v>
      </c>
      <c r="P114" s="134">
        <f t="shared" si="63"/>
        <v>0</v>
      </c>
      <c r="Q114" s="3">
        <f t="shared" si="64"/>
        <v>5</v>
      </c>
      <c r="R114" s="134">
        <f t="shared" si="65"/>
        <v>0.3125</v>
      </c>
      <c r="T114" s="16">
        <f t="shared" si="66"/>
        <v>7</v>
      </c>
      <c r="U114" s="83" t="str">
        <f t="shared" si="67"/>
        <v>223</v>
      </c>
      <c r="V114" s="83" t="str">
        <f t="shared" si="67"/>
        <v>Frida Killah</v>
      </c>
      <c r="W114" s="3">
        <f>IF($U114="","",SUMPRODUCT(--(Lineups!AG$46:AG$83=$U114),--(Lineups!AB$46:AB$83="")))</f>
        <v>0</v>
      </c>
      <c r="X114" s="134">
        <f t="shared" si="68"/>
        <v>0</v>
      </c>
      <c r="Y114" s="142">
        <f>IF($U114="","",SUMPRODUCT(--(Lineups!AG$46:AG$83=$U114),--(Lineups!AB$46:AB$83="X")))</f>
        <v>0</v>
      </c>
      <c r="Z114" s="142">
        <f>IF($U114="","",SUMPRODUCT(--(Lineups!AK$46:AK$83=$U114),--(Lineups!AA$46:AA$83&lt;&gt;"SP")))</f>
        <v>0</v>
      </c>
      <c r="AA114" s="142">
        <f>IF($U114="","",SUMPRODUCT(--(Lineups!AO$46:AO$83=$U114),--(Lineups!AA$46:AA$83&lt;&gt;"SP")))</f>
        <v>0</v>
      </c>
      <c r="AB114" s="142">
        <f>IF($U114="","",SUMPRODUCT(--(Lineups!AS$46:AS$83=$U114),--(Lineups!AA$46:AA$83&lt;&gt;"SP")))</f>
        <v>0</v>
      </c>
      <c r="AC114" s="3">
        <f t="shared" si="69"/>
        <v>0</v>
      </c>
      <c r="AD114" s="134">
        <f t="shared" si="70"/>
        <v>0</v>
      </c>
      <c r="AE114" s="3">
        <f t="shared" si="71"/>
        <v>0</v>
      </c>
      <c r="AF114" s="134">
        <f t="shared" si="72"/>
        <v>0</v>
      </c>
      <c r="AG114" s="139">
        <f ca="1">IF(U114="","",IF(OR(SK!U191="",SK!U191=0),"",SK!X191))</f>
        <v>2</v>
      </c>
      <c r="AH114" s="3">
        <f>IF($U114="","",SUMPRODUCT(--(Lineups!AC$46:AC$83=$U114)))</f>
        <v>2</v>
      </c>
      <c r="AI114" s="134">
        <f t="shared" si="73"/>
        <v>0.125</v>
      </c>
      <c r="AJ114" s="3">
        <f t="shared" si="74"/>
        <v>2</v>
      </c>
      <c r="AK114" s="134">
        <f t="shared" si="75"/>
        <v>0.125</v>
      </c>
    </row>
    <row r="115" spans="1:37" x14ac:dyDescent="0.3">
      <c r="A115" s="131">
        <f t="shared" si="56"/>
        <v>8</v>
      </c>
      <c r="B115" s="132" t="str">
        <f t="shared" si="57"/>
        <v>237</v>
      </c>
      <c r="C115" s="132" t="str">
        <f t="shared" si="57"/>
        <v>RedRum</v>
      </c>
      <c r="D115" s="133">
        <f>IF($B115="","",SUMPRODUCT(--(Lineups!G$46:G$83=$B115),--(Lineups!B$46:B$83="")))</f>
        <v>0</v>
      </c>
      <c r="E115" s="135">
        <f t="shared" si="58"/>
        <v>0</v>
      </c>
      <c r="F115" s="142">
        <f>IF($B115="","",SUMPRODUCT(--(Lineups!G$46:G$83=$B115),--(Lineups!B$46:B$83="X")))</f>
        <v>0</v>
      </c>
      <c r="G115" s="142">
        <f>IF($B115="","",SUMPRODUCT(--(Lineups!K$46:K$83=$B115),--(Lineups!A$46:A$83&lt;&gt;"SP")))</f>
        <v>1</v>
      </c>
      <c r="H115" s="142">
        <f>IF($B115="","",SUMPRODUCT(--(Lineups!O$46:O$83=$B115),--(Lineups!A$46:A$83&lt;&gt;"SP")))</f>
        <v>6</v>
      </c>
      <c r="I115" s="142">
        <f>IF($B115="","",SUMPRODUCT(--(Lineups!S$46:S$83=$B115),--(Lineups!A$46:A$83&lt;&gt;"SP")))</f>
        <v>3</v>
      </c>
      <c r="J115" s="133">
        <f t="shared" si="59"/>
        <v>10</v>
      </c>
      <c r="K115" s="135">
        <f t="shared" si="60"/>
        <v>0.625</v>
      </c>
      <c r="L115" s="133">
        <f t="shared" si="61"/>
        <v>10</v>
      </c>
      <c r="M115" s="135">
        <f t="shared" si="62"/>
        <v>0.625</v>
      </c>
      <c r="N115" s="140" t="str">
        <f ca="1">IF(B115="","",IF(OR(SK!E194="",SK!E194=0),"",SK!H194))</f>
        <v/>
      </c>
      <c r="O115" s="133">
        <f>IF($B115="","",SUMPRODUCT(--(Lineups!C$46:C$83=$B115)))</f>
        <v>0</v>
      </c>
      <c r="P115" s="135">
        <f t="shared" si="63"/>
        <v>0</v>
      </c>
      <c r="Q115" s="133">
        <f t="shared" si="64"/>
        <v>10</v>
      </c>
      <c r="R115" s="135">
        <f t="shared" si="65"/>
        <v>0.625</v>
      </c>
      <c r="T115" s="131">
        <f t="shared" si="66"/>
        <v>8</v>
      </c>
      <c r="U115" s="132" t="str">
        <f t="shared" si="67"/>
        <v>23</v>
      </c>
      <c r="V115" s="132" t="str">
        <f t="shared" si="67"/>
        <v>Towanda Woman</v>
      </c>
      <c r="W115" s="133">
        <f>IF($U115="","",SUMPRODUCT(--(Lineups!AG$46:AG$83=$U115),--(Lineups!AB$46:AB$83="")))</f>
        <v>0</v>
      </c>
      <c r="X115" s="135">
        <f t="shared" si="68"/>
        <v>0</v>
      </c>
      <c r="Y115" s="142">
        <f>IF($U115="","",SUMPRODUCT(--(Lineups!AG$46:AG$83=$U115),--(Lineups!AB$46:AB$83="X")))</f>
        <v>3</v>
      </c>
      <c r="Z115" s="142">
        <f>IF($U115="","",SUMPRODUCT(--(Lineups!AK$46:AK$83=$U115),--(Lineups!AA$46:AA$83&lt;&gt;"SP")))</f>
        <v>0</v>
      </c>
      <c r="AA115" s="142">
        <f>IF($U115="","",SUMPRODUCT(--(Lineups!AO$46:AO$83=$U115),--(Lineups!AA$46:AA$83&lt;&gt;"SP")))</f>
        <v>0</v>
      </c>
      <c r="AB115" s="142">
        <f>IF($U115="","",SUMPRODUCT(--(Lineups!AS$46:AS$83=$U115),--(Lineups!AA$46:AA$83&lt;&gt;"SP")))</f>
        <v>0</v>
      </c>
      <c r="AC115" s="133">
        <f t="shared" si="69"/>
        <v>3</v>
      </c>
      <c r="AD115" s="135">
        <f t="shared" si="70"/>
        <v>0.1875</v>
      </c>
      <c r="AE115" s="133">
        <f t="shared" si="71"/>
        <v>3</v>
      </c>
      <c r="AF115" s="135">
        <f t="shared" si="72"/>
        <v>0.1875</v>
      </c>
      <c r="AG115" s="140">
        <f ca="1">IF(U115="","",IF(OR(SK!U194="",SK!U194=0),"",SK!X194))</f>
        <v>1</v>
      </c>
      <c r="AH115" s="133">
        <f>IF($U115="","",SUMPRODUCT(--(Lineups!AC$46:AC$83=$U115)))</f>
        <v>4</v>
      </c>
      <c r="AI115" s="135">
        <f t="shared" si="73"/>
        <v>0.25</v>
      </c>
      <c r="AJ115" s="133">
        <f t="shared" si="74"/>
        <v>7</v>
      </c>
      <c r="AK115" s="135">
        <f t="shared" si="75"/>
        <v>0.4375</v>
      </c>
    </row>
    <row r="116" spans="1:37" x14ac:dyDescent="0.3">
      <c r="A116" s="16">
        <f t="shared" si="56"/>
        <v>9</v>
      </c>
      <c r="B116" s="83" t="str">
        <f t="shared" si="57"/>
        <v>282*</v>
      </c>
      <c r="C116" s="83" t="str">
        <f t="shared" si="57"/>
        <v>Dash Ketchum</v>
      </c>
      <c r="D116" s="3">
        <f>IF($B116="","",SUMPRODUCT(--(Lineups!G$46:G$83=$B116),--(Lineups!B$46:B$83="")))</f>
        <v>0</v>
      </c>
      <c r="E116" s="134">
        <f t="shared" si="58"/>
        <v>0</v>
      </c>
      <c r="F116" s="142">
        <f>IF($B116="","",SUMPRODUCT(--(Lineups!G$46:G$83=$B116),--(Lineups!B$46:B$83="X")))</f>
        <v>0</v>
      </c>
      <c r="G116" s="142">
        <f>IF($B116="","",SUMPRODUCT(--(Lineups!K$46:K$83=$B116),--(Lineups!A$46:A$83&lt;&gt;"SP")))</f>
        <v>0</v>
      </c>
      <c r="H116" s="142">
        <f>IF($B116="","",SUMPRODUCT(--(Lineups!O$46:O$83=$B116),--(Lineups!A$46:A$83&lt;&gt;"SP")))</f>
        <v>0</v>
      </c>
      <c r="I116" s="142">
        <f>IF($B116="","",SUMPRODUCT(--(Lineups!S$46:S$83=$B116),--(Lineups!A$46:A$83&lt;&gt;"SP")))</f>
        <v>0</v>
      </c>
      <c r="J116" s="3">
        <f t="shared" si="59"/>
        <v>0</v>
      </c>
      <c r="K116" s="134">
        <f t="shared" si="60"/>
        <v>0</v>
      </c>
      <c r="L116" s="3">
        <f t="shared" si="61"/>
        <v>0</v>
      </c>
      <c r="M116" s="134">
        <f t="shared" si="62"/>
        <v>0</v>
      </c>
      <c r="N116" s="139" t="str">
        <f ca="1">IF(B116="","",IF(OR(SK!E197="",SK!E197=0),"",SK!H197))</f>
        <v/>
      </c>
      <c r="O116" s="3">
        <f>IF($B116="","",SUMPRODUCT(--(Lineups!C$46:C$83=$B116)))</f>
        <v>0</v>
      </c>
      <c r="P116" s="134">
        <f t="shared" si="63"/>
        <v>0</v>
      </c>
      <c r="Q116" s="3">
        <f t="shared" si="64"/>
        <v>0</v>
      </c>
      <c r="R116" s="134">
        <f t="shared" si="65"/>
        <v>0</v>
      </c>
      <c r="T116" s="16">
        <f t="shared" si="66"/>
        <v>9</v>
      </c>
      <c r="U116" s="83" t="str">
        <f t="shared" si="67"/>
        <v>25</v>
      </c>
      <c r="V116" s="83" t="str">
        <f t="shared" si="67"/>
        <v>Ally McKill</v>
      </c>
      <c r="W116" s="3">
        <f>IF($U116="","",SUMPRODUCT(--(Lineups!AG$46:AG$83=$U116),--(Lineups!AB$46:AB$83="")))</f>
        <v>0</v>
      </c>
      <c r="X116" s="134">
        <f t="shared" si="68"/>
        <v>0</v>
      </c>
      <c r="Y116" s="142">
        <f>IF($U116="","",SUMPRODUCT(--(Lineups!AG$46:AG$83=$U116),--(Lineups!AB$46:AB$83="X")))</f>
        <v>0</v>
      </c>
      <c r="Z116" s="142">
        <f>IF($U116="","",SUMPRODUCT(--(Lineups!AK$46:AK$83=$U116),--(Lineups!AA$46:AA$83&lt;&gt;"SP")))</f>
        <v>4</v>
      </c>
      <c r="AA116" s="142">
        <f>IF($U116="","",SUMPRODUCT(--(Lineups!AO$46:AO$83=$U116),--(Lineups!AA$46:AA$83&lt;&gt;"SP")))</f>
        <v>4</v>
      </c>
      <c r="AB116" s="142">
        <f>IF($U116="","",SUMPRODUCT(--(Lineups!AS$46:AS$83=$U116),--(Lineups!AA$46:AA$83&lt;&gt;"SP")))</f>
        <v>0</v>
      </c>
      <c r="AC116" s="3">
        <f t="shared" si="69"/>
        <v>8</v>
      </c>
      <c r="AD116" s="134">
        <f t="shared" si="70"/>
        <v>0.5</v>
      </c>
      <c r="AE116" s="3">
        <f t="shared" si="71"/>
        <v>8</v>
      </c>
      <c r="AF116" s="134">
        <f t="shared" si="72"/>
        <v>0.5</v>
      </c>
      <c r="AG116" s="139" t="str">
        <f ca="1">IF(U116="","",IF(OR(SK!U197="",SK!U197=0),"",SK!X197))</f>
        <v/>
      </c>
      <c r="AH116" s="3">
        <f>IF($U116="","",SUMPRODUCT(--(Lineups!AC$46:AC$83=$U116)))</f>
        <v>0</v>
      </c>
      <c r="AI116" s="134">
        <f t="shared" si="73"/>
        <v>0</v>
      </c>
      <c r="AJ116" s="3">
        <f t="shared" si="74"/>
        <v>8</v>
      </c>
      <c r="AK116" s="134">
        <f t="shared" si="75"/>
        <v>0.5</v>
      </c>
    </row>
    <row r="117" spans="1:37" x14ac:dyDescent="0.3">
      <c r="A117" s="131">
        <f t="shared" si="56"/>
        <v>10</v>
      </c>
      <c r="B117" s="132" t="str">
        <f t="shared" si="57"/>
        <v>337</v>
      </c>
      <c r="C117" s="132" t="str">
        <f t="shared" si="57"/>
        <v>Susan Sure Ram Dem</v>
      </c>
      <c r="D117" s="133">
        <f>IF($B117="","",SUMPRODUCT(--(Lineups!G$46:G$83=$B117),--(Lineups!B$46:B$83="")))</f>
        <v>0</v>
      </c>
      <c r="E117" s="135">
        <f t="shared" si="58"/>
        <v>0</v>
      </c>
      <c r="F117" s="142">
        <f>IF($B117="","",SUMPRODUCT(--(Lineups!G$46:G$83=$B117),--(Lineups!B$46:B$83="X")))</f>
        <v>0</v>
      </c>
      <c r="G117" s="142">
        <f>IF($B117="","",SUMPRODUCT(--(Lineups!K$46:K$83=$B117),--(Lineups!A$46:A$83&lt;&gt;"SP")))</f>
        <v>2</v>
      </c>
      <c r="H117" s="142">
        <f>IF($B117="","",SUMPRODUCT(--(Lineups!O$46:O$83=$B117),--(Lineups!A$46:A$83&lt;&gt;"SP")))</f>
        <v>0</v>
      </c>
      <c r="I117" s="142">
        <f>IF($B117="","",SUMPRODUCT(--(Lineups!S$46:S$83=$B117),--(Lineups!A$46:A$83&lt;&gt;"SP")))</f>
        <v>1</v>
      </c>
      <c r="J117" s="133">
        <f t="shared" si="59"/>
        <v>3</v>
      </c>
      <c r="K117" s="135">
        <f t="shared" si="60"/>
        <v>0.1875</v>
      </c>
      <c r="L117" s="133">
        <f t="shared" si="61"/>
        <v>3</v>
      </c>
      <c r="M117" s="135">
        <f t="shared" si="62"/>
        <v>0.1875</v>
      </c>
      <c r="N117" s="140" t="str">
        <f ca="1">IF(B117="","",IF(OR(SK!E200="",SK!E200=0),"",SK!H200))</f>
        <v/>
      </c>
      <c r="O117" s="133">
        <f>IF($B117="","",SUMPRODUCT(--(Lineups!C$46:C$83=$B117)))</f>
        <v>0</v>
      </c>
      <c r="P117" s="135">
        <f t="shared" si="63"/>
        <v>0</v>
      </c>
      <c r="Q117" s="133">
        <f t="shared" si="64"/>
        <v>3</v>
      </c>
      <c r="R117" s="135">
        <f t="shared" si="65"/>
        <v>0.1875</v>
      </c>
      <c r="T117" s="131">
        <f t="shared" si="66"/>
        <v>10</v>
      </c>
      <c r="U117" s="132" t="str">
        <f t="shared" si="67"/>
        <v>26</v>
      </c>
      <c r="V117" s="132" t="str">
        <f t="shared" si="67"/>
        <v>Strange</v>
      </c>
      <c r="W117" s="133">
        <f>IF($U117="","",SUMPRODUCT(--(Lineups!AG$46:AG$83=$U117),--(Lineups!AB$46:AB$83="")))</f>
        <v>0</v>
      </c>
      <c r="X117" s="135">
        <f t="shared" si="68"/>
        <v>0</v>
      </c>
      <c r="Y117" s="142">
        <f>IF($U117="","",SUMPRODUCT(--(Lineups!AG$46:AG$83=$U117),--(Lineups!AB$46:AB$83="X")))</f>
        <v>0</v>
      </c>
      <c r="Z117" s="142">
        <f>IF($U117="","",SUMPRODUCT(--(Lineups!AK$46:AK$83=$U117),--(Lineups!AA$46:AA$83&lt;&gt;"SP")))</f>
        <v>0</v>
      </c>
      <c r="AA117" s="142">
        <f>IF($U117="","",SUMPRODUCT(--(Lineups!AO$46:AO$83=$U117),--(Lineups!AA$46:AA$83&lt;&gt;"SP")))</f>
        <v>3</v>
      </c>
      <c r="AB117" s="142">
        <f>IF($U117="","",SUMPRODUCT(--(Lineups!AS$46:AS$83=$U117),--(Lineups!AA$46:AA$83&lt;&gt;"SP")))</f>
        <v>5</v>
      </c>
      <c r="AC117" s="133">
        <f t="shared" si="69"/>
        <v>8</v>
      </c>
      <c r="AD117" s="135">
        <f t="shared" si="70"/>
        <v>0.5</v>
      </c>
      <c r="AE117" s="133">
        <f t="shared" si="71"/>
        <v>8</v>
      </c>
      <c r="AF117" s="135">
        <f t="shared" si="72"/>
        <v>0.5</v>
      </c>
      <c r="AG117" s="140" t="str">
        <f ca="1">IF(U117="","",IF(OR(SK!U200="",SK!U200=0),"",SK!X200))</f>
        <v/>
      </c>
      <c r="AH117" s="133">
        <f>IF($U117="","",SUMPRODUCT(--(Lineups!AC$46:AC$83=$U117)))</f>
        <v>0</v>
      </c>
      <c r="AI117" s="135">
        <f t="shared" si="73"/>
        <v>0</v>
      </c>
      <c r="AJ117" s="133">
        <f t="shared" si="74"/>
        <v>8</v>
      </c>
      <c r="AK117" s="135">
        <f t="shared" si="75"/>
        <v>0.5</v>
      </c>
    </row>
    <row r="118" spans="1:37" x14ac:dyDescent="0.3">
      <c r="A118" s="16">
        <f t="shared" si="56"/>
        <v>11</v>
      </c>
      <c r="B118" s="83" t="str">
        <f t="shared" si="57"/>
        <v>352</v>
      </c>
      <c r="C118" s="83" t="str">
        <f t="shared" si="57"/>
        <v>Olive Havoc</v>
      </c>
      <c r="D118" s="3">
        <f>IF($B118="","",SUMPRODUCT(--(Lineups!G$46:G$83=$B118),--(Lineups!B$46:B$83="")))</f>
        <v>0</v>
      </c>
      <c r="E118" s="134">
        <f t="shared" si="58"/>
        <v>0</v>
      </c>
      <c r="F118" s="142">
        <f>IF($B118="","",SUMPRODUCT(--(Lineups!G$46:G$83=$B118),--(Lineups!B$46:B$83="X")))</f>
        <v>1</v>
      </c>
      <c r="G118" s="142">
        <f>IF($B118="","",SUMPRODUCT(--(Lineups!K$46:K$83=$B118),--(Lineups!A$46:A$83&lt;&gt;"SP")))</f>
        <v>0</v>
      </c>
      <c r="H118" s="142">
        <f>IF($B118="","",SUMPRODUCT(--(Lineups!O$46:O$83=$B118),--(Lineups!A$46:A$83&lt;&gt;"SP")))</f>
        <v>0</v>
      </c>
      <c r="I118" s="142">
        <f>IF($B118="","",SUMPRODUCT(--(Lineups!S$46:S$83=$B118),--(Lineups!A$46:A$83&lt;&gt;"SP")))</f>
        <v>0</v>
      </c>
      <c r="J118" s="3">
        <f t="shared" si="59"/>
        <v>1</v>
      </c>
      <c r="K118" s="134">
        <f t="shared" si="60"/>
        <v>6.25E-2</v>
      </c>
      <c r="L118" s="3">
        <f t="shared" si="61"/>
        <v>1</v>
      </c>
      <c r="M118" s="134">
        <f t="shared" si="62"/>
        <v>6.25E-2</v>
      </c>
      <c r="N118" s="139">
        <f ca="1">IF(B118="","",IF(OR(SK!E203="",SK!E203=0),"",SK!H203))</f>
        <v>2</v>
      </c>
      <c r="O118" s="3">
        <f>IF($B118="","",SUMPRODUCT(--(Lineups!C$46:C$83=$B118)))</f>
        <v>5</v>
      </c>
      <c r="P118" s="134">
        <f t="shared" si="63"/>
        <v>0.3125</v>
      </c>
      <c r="Q118" s="3">
        <f t="shared" si="64"/>
        <v>6</v>
      </c>
      <c r="R118" s="134">
        <f t="shared" si="65"/>
        <v>0.375</v>
      </c>
      <c r="T118" s="16">
        <f t="shared" si="66"/>
        <v>11</v>
      </c>
      <c r="U118" s="83" t="str">
        <f t="shared" si="67"/>
        <v>49</v>
      </c>
      <c r="V118" s="83" t="str">
        <f t="shared" si="67"/>
        <v>Gnarly Manson</v>
      </c>
      <c r="W118" s="3">
        <f>IF($U118="","",SUMPRODUCT(--(Lineups!AG$46:AG$83=$U118),--(Lineups!AB$46:AB$83="")))</f>
        <v>0</v>
      </c>
      <c r="X118" s="134">
        <f t="shared" si="68"/>
        <v>0</v>
      </c>
      <c r="Y118" s="142">
        <f>IF($U118="","",SUMPRODUCT(--(Lineups!AG$46:AG$83=$U118),--(Lineups!AB$46:AB$83="X")))</f>
        <v>1</v>
      </c>
      <c r="Z118" s="142">
        <f>IF($U118="","",SUMPRODUCT(--(Lineups!AK$46:AK$83=$U118),--(Lineups!AA$46:AA$83&lt;&gt;"SP")))</f>
        <v>0</v>
      </c>
      <c r="AA118" s="142">
        <f>IF($U118="","",SUMPRODUCT(--(Lineups!AO$46:AO$83=$U118),--(Lineups!AA$46:AA$83&lt;&gt;"SP")))</f>
        <v>0</v>
      </c>
      <c r="AB118" s="142">
        <f>IF($U118="","",SUMPRODUCT(--(Lineups!AS$46:AS$83=$U118),--(Lineups!AA$46:AA$83&lt;&gt;"SP")))</f>
        <v>0</v>
      </c>
      <c r="AC118" s="3">
        <f t="shared" si="69"/>
        <v>1</v>
      </c>
      <c r="AD118" s="134">
        <f t="shared" si="70"/>
        <v>6.25E-2</v>
      </c>
      <c r="AE118" s="3">
        <f t="shared" si="71"/>
        <v>1</v>
      </c>
      <c r="AF118" s="134">
        <f t="shared" si="72"/>
        <v>6.25E-2</v>
      </c>
      <c r="AG118" s="139">
        <f ca="1">IF(U118="","",IF(OR(SK!U203="",SK!U203=0),"",SK!X203))</f>
        <v>1</v>
      </c>
      <c r="AH118" s="3">
        <f>IF($U118="","",SUMPRODUCT(--(Lineups!AC$46:AC$83=$U118)))</f>
        <v>4</v>
      </c>
      <c r="AI118" s="134">
        <f t="shared" si="73"/>
        <v>0.25</v>
      </c>
      <c r="AJ118" s="3">
        <f t="shared" si="74"/>
        <v>5</v>
      </c>
      <c r="AK118" s="134">
        <f t="shared" si="75"/>
        <v>0.3125</v>
      </c>
    </row>
    <row r="119" spans="1:37" x14ac:dyDescent="0.3">
      <c r="A119" s="131">
        <f t="shared" si="56"/>
        <v>12</v>
      </c>
      <c r="B119" s="132" t="str">
        <f t="shared" si="57"/>
        <v>36</v>
      </c>
      <c r="C119" s="132" t="str">
        <f t="shared" si="57"/>
        <v>Meanie</v>
      </c>
      <c r="D119" s="133">
        <f>IF($B119="","",SUMPRODUCT(--(Lineups!G$46:G$83=$B119),--(Lineups!B$46:B$83="")))</f>
        <v>0</v>
      </c>
      <c r="E119" s="135">
        <f t="shared" si="58"/>
        <v>0</v>
      </c>
      <c r="F119" s="142">
        <f>IF($B119="","",SUMPRODUCT(--(Lineups!G$46:G$83=$B119),--(Lineups!B$46:B$83="X")))</f>
        <v>0</v>
      </c>
      <c r="G119" s="142">
        <f>IF($B119="","",SUMPRODUCT(--(Lineups!K$46:K$83=$B119),--(Lineups!A$46:A$83&lt;&gt;"SP")))</f>
        <v>2</v>
      </c>
      <c r="H119" s="142">
        <f>IF($B119="","",SUMPRODUCT(--(Lineups!O$46:O$83=$B119),--(Lineups!A$46:A$83&lt;&gt;"SP")))</f>
        <v>0</v>
      </c>
      <c r="I119" s="142">
        <f>IF($B119="","",SUMPRODUCT(--(Lineups!S$46:S$83=$B119),--(Lineups!A$46:A$83&lt;&gt;"SP")))</f>
        <v>0</v>
      </c>
      <c r="J119" s="133">
        <f t="shared" si="59"/>
        <v>2</v>
      </c>
      <c r="K119" s="135">
        <f t="shared" si="60"/>
        <v>0.125</v>
      </c>
      <c r="L119" s="133">
        <f t="shared" si="61"/>
        <v>2</v>
      </c>
      <c r="M119" s="135">
        <f t="shared" si="62"/>
        <v>0.125</v>
      </c>
      <c r="N119" s="140" t="str">
        <f ca="1">IF(B119="","",IF(OR(SK!E206="",SK!E206=0),"",SK!H206))</f>
        <v/>
      </c>
      <c r="O119" s="133">
        <f>IF($B119="","",SUMPRODUCT(--(Lineups!C$46:C$83=$B119)))</f>
        <v>0</v>
      </c>
      <c r="P119" s="135">
        <f t="shared" si="63"/>
        <v>0</v>
      </c>
      <c r="Q119" s="133">
        <f t="shared" si="64"/>
        <v>2</v>
      </c>
      <c r="R119" s="135">
        <f t="shared" si="65"/>
        <v>0.125</v>
      </c>
      <c r="T119" s="131">
        <f t="shared" si="66"/>
        <v>12</v>
      </c>
      <c r="U119" s="132" t="str">
        <f t="shared" si="67"/>
        <v>78</v>
      </c>
      <c r="V119" s="132" t="str">
        <f t="shared" si="67"/>
        <v>Debbie Scary</v>
      </c>
      <c r="W119" s="133">
        <f>IF($U119="","",SUMPRODUCT(--(Lineups!AG$46:AG$83=$U119),--(Lineups!AB$46:AB$83="")))</f>
        <v>0</v>
      </c>
      <c r="X119" s="135">
        <f t="shared" si="68"/>
        <v>0</v>
      </c>
      <c r="Y119" s="142">
        <f>IF($U119="","",SUMPRODUCT(--(Lineups!AG$46:AG$83=$U119),--(Lineups!AB$46:AB$83="X")))</f>
        <v>0</v>
      </c>
      <c r="Z119" s="142">
        <f>IF($U119="","",SUMPRODUCT(--(Lineups!AK$46:AK$83=$U119),--(Lineups!AA$46:AA$83&lt;&gt;"SP")))</f>
        <v>0</v>
      </c>
      <c r="AA119" s="142">
        <f>IF($U119="","",SUMPRODUCT(--(Lineups!AO$46:AO$83=$U119),--(Lineups!AA$46:AA$83&lt;&gt;"SP")))</f>
        <v>0</v>
      </c>
      <c r="AB119" s="142">
        <f>IF($U119="","",SUMPRODUCT(--(Lineups!AS$46:AS$83=$U119),--(Lineups!AA$46:AA$83&lt;&gt;"SP")))</f>
        <v>1</v>
      </c>
      <c r="AC119" s="133">
        <f t="shared" si="69"/>
        <v>1</v>
      </c>
      <c r="AD119" s="135">
        <f t="shared" si="70"/>
        <v>6.25E-2</v>
      </c>
      <c r="AE119" s="133">
        <f t="shared" si="71"/>
        <v>1</v>
      </c>
      <c r="AF119" s="135">
        <f t="shared" si="72"/>
        <v>6.25E-2</v>
      </c>
      <c r="AG119" s="140" t="str">
        <f ca="1">IF(U119="","",IF(OR(SK!U206="",SK!U206=0),"",SK!X206))</f>
        <v/>
      </c>
      <c r="AH119" s="133">
        <f>IF($U119="","",SUMPRODUCT(--(Lineups!AC$46:AC$83=$U119)))</f>
        <v>0</v>
      </c>
      <c r="AI119" s="135">
        <f t="shared" si="73"/>
        <v>0</v>
      </c>
      <c r="AJ119" s="133">
        <f t="shared" si="74"/>
        <v>1</v>
      </c>
      <c r="AK119" s="135">
        <f t="shared" si="75"/>
        <v>6.25E-2</v>
      </c>
    </row>
    <row r="120" spans="1:37" x14ac:dyDescent="0.3">
      <c r="A120" s="16">
        <f t="shared" si="56"/>
        <v>13</v>
      </c>
      <c r="B120" s="83" t="str">
        <f t="shared" si="57"/>
        <v>64</v>
      </c>
      <c r="C120" s="83" t="str">
        <f t="shared" si="57"/>
        <v>Cruzella</v>
      </c>
      <c r="D120" s="3">
        <f>IF($B120="","",SUMPRODUCT(--(Lineups!G$46:G$83=$B120),--(Lineups!B$46:B$83="")))</f>
        <v>0</v>
      </c>
      <c r="E120" s="134">
        <f t="shared" si="58"/>
        <v>0</v>
      </c>
      <c r="F120" s="142">
        <f>IF($B120="","",SUMPRODUCT(--(Lineups!G$46:G$83=$B120),--(Lineups!B$46:B$83="X")))</f>
        <v>0</v>
      </c>
      <c r="G120" s="142">
        <f>IF($B120="","",SUMPRODUCT(--(Lineups!K$46:K$83=$B120),--(Lineups!A$46:A$83&lt;&gt;"SP")))</f>
        <v>0</v>
      </c>
      <c r="H120" s="142">
        <f>IF($B120="","",SUMPRODUCT(--(Lineups!O$46:O$83=$B120),--(Lineups!A$46:A$83&lt;&gt;"SP")))</f>
        <v>0</v>
      </c>
      <c r="I120" s="142">
        <f>IF($B120="","",SUMPRODUCT(--(Lineups!S$46:S$83=$B120),--(Lineups!A$46:A$83&lt;&gt;"SP")))</f>
        <v>0</v>
      </c>
      <c r="J120" s="3">
        <f t="shared" si="59"/>
        <v>0</v>
      </c>
      <c r="K120" s="134">
        <f t="shared" si="60"/>
        <v>0</v>
      </c>
      <c r="L120" s="3">
        <f t="shared" si="61"/>
        <v>0</v>
      </c>
      <c r="M120" s="134">
        <f t="shared" si="62"/>
        <v>0</v>
      </c>
      <c r="N120" s="139">
        <f ca="1">IF(B120="","",IF(OR(SK!E209="",SK!E209=0),"",SK!H209))</f>
        <v>1</v>
      </c>
      <c r="O120" s="3">
        <f>IF($B120="","",SUMPRODUCT(--(Lineups!C$46:C$83=$B120)))</f>
        <v>1</v>
      </c>
      <c r="P120" s="134">
        <f t="shared" si="63"/>
        <v>6.25E-2</v>
      </c>
      <c r="Q120" s="3">
        <f t="shared" si="64"/>
        <v>1</v>
      </c>
      <c r="R120" s="134">
        <f t="shared" si="65"/>
        <v>6.25E-2</v>
      </c>
      <c r="T120" s="16">
        <f t="shared" si="66"/>
        <v>13</v>
      </c>
      <c r="U120" s="83" t="str">
        <f t="shared" si="67"/>
        <v>8*</v>
      </c>
      <c r="V120" s="83" t="str">
        <f t="shared" si="67"/>
        <v>Venus Thigh Trap</v>
      </c>
      <c r="W120" s="3">
        <f>IF($U120="","",SUMPRODUCT(--(Lineups!AG$46:AG$83=$U120),--(Lineups!AB$46:AB$83="")))</f>
        <v>0</v>
      </c>
      <c r="X120" s="134">
        <f t="shared" si="68"/>
        <v>0</v>
      </c>
      <c r="Y120" s="142">
        <f>IF($U120="","",SUMPRODUCT(--(Lineups!AG$46:AG$83=$U120),--(Lineups!AB$46:AB$83="X")))</f>
        <v>0</v>
      </c>
      <c r="Z120" s="142">
        <f>IF($U120="","",SUMPRODUCT(--(Lineups!AK$46:AK$83=$U120),--(Lineups!AA$46:AA$83&lt;&gt;"SP")))</f>
        <v>0</v>
      </c>
      <c r="AA120" s="142">
        <f>IF($U120="","",SUMPRODUCT(--(Lineups!AO$46:AO$83=$U120),--(Lineups!AA$46:AA$83&lt;&gt;"SP")))</f>
        <v>0</v>
      </c>
      <c r="AB120" s="142">
        <f>IF($U120="","",SUMPRODUCT(--(Lineups!AS$46:AS$83=$U120),--(Lineups!AA$46:AA$83&lt;&gt;"SP")))</f>
        <v>0</v>
      </c>
      <c r="AC120" s="3">
        <f t="shared" si="69"/>
        <v>0</v>
      </c>
      <c r="AD120" s="134">
        <f t="shared" si="70"/>
        <v>0</v>
      </c>
      <c r="AE120" s="3">
        <f t="shared" si="71"/>
        <v>0</v>
      </c>
      <c r="AF120" s="134">
        <f t="shared" si="72"/>
        <v>0</v>
      </c>
      <c r="AG120" s="139" t="str">
        <f ca="1">IF(U120="","",IF(OR(SK!U209="",SK!U209=0),"",SK!X209))</f>
        <v/>
      </c>
      <c r="AH120" s="3">
        <f>IF($U120="","",SUMPRODUCT(--(Lineups!AC$46:AC$83=$U120)))</f>
        <v>0</v>
      </c>
      <c r="AI120" s="134">
        <f t="shared" si="73"/>
        <v>0</v>
      </c>
      <c r="AJ120" s="3">
        <f t="shared" si="74"/>
        <v>0</v>
      </c>
      <c r="AK120" s="134">
        <f t="shared" si="75"/>
        <v>0</v>
      </c>
    </row>
    <row r="121" spans="1:37" x14ac:dyDescent="0.3">
      <c r="A121" s="131">
        <f t="shared" si="56"/>
        <v>14</v>
      </c>
      <c r="B121" s="132" t="str">
        <f t="shared" si="57"/>
        <v>825</v>
      </c>
      <c r="C121" s="132" t="str">
        <f t="shared" si="57"/>
        <v>Rot-N 2 the Cor-E</v>
      </c>
      <c r="D121" s="133">
        <f>IF($B121="","",SUMPRODUCT(--(Lineups!G$46:G$83=$B121),--(Lineups!B$46:B$83="")))</f>
        <v>1</v>
      </c>
      <c r="E121" s="135">
        <f t="shared" si="58"/>
        <v>6.25E-2</v>
      </c>
      <c r="F121" s="142">
        <f>IF($B121="","",SUMPRODUCT(--(Lineups!G$46:G$83=$B121),--(Lineups!B$46:B$83="X")))</f>
        <v>0</v>
      </c>
      <c r="G121" s="142">
        <f>IF($B121="","",SUMPRODUCT(--(Lineups!K$46:K$83=$B121),--(Lineups!A$46:A$83&lt;&gt;"SP")))</f>
        <v>0</v>
      </c>
      <c r="H121" s="142">
        <f>IF($B121="","",SUMPRODUCT(--(Lineups!O$46:O$83=$B121),--(Lineups!A$46:A$83&lt;&gt;"SP")))</f>
        <v>0</v>
      </c>
      <c r="I121" s="142">
        <f>IF($B121="","",SUMPRODUCT(--(Lineups!S$46:S$83=$B121),--(Lineups!A$46:A$83&lt;&gt;"SP")))</f>
        <v>0</v>
      </c>
      <c r="J121" s="133">
        <f t="shared" si="59"/>
        <v>0</v>
      </c>
      <c r="K121" s="135">
        <f t="shared" si="60"/>
        <v>0</v>
      </c>
      <c r="L121" s="133">
        <f t="shared" si="61"/>
        <v>1</v>
      </c>
      <c r="M121" s="135">
        <f t="shared" si="62"/>
        <v>6.25E-2</v>
      </c>
      <c r="N121" s="140" t="str">
        <f ca="1">IF(B121="","",IF(OR(SK!E212="",SK!E212=0),"",SK!H212))</f>
        <v/>
      </c>
      <c r="O121" s="133">
        <f>IF($B121="","",SUMPRODUCT(--(Lineups!C$46:C$83=$B121)))</f>
        <v>0</v>
      </c>
      <c r="P121" s="135">
        <f t="shared" si="63"/>
        <v>0</v>
      </c>
      <c r="Q121" s="133">
        <f t="shared" si="64"/>
        <v>1</v>
      </c>
      <c r="R121" s="135">
        <f t="shared" si="65"/>
        <v>6.25E-2</v>
      </c>
      <c r="T121" s="131">
        <f t="shared" si="66"/>
        <v>14</v>
      </c>
      <c r="U121" s="132" t="str">
        <f t="shared" si="67"/>
        <v>800</v>
      </c>
      <c r="V121" s="132" t="str">
        <f t="shared" si="67"/>
        <v>Terminate Her</v>
      </c>
      <c r="W121" s="133">
        <f>IF($U121="","",SUMPRODUCT(--(Lineups!AG$46:AG$83=$U121),--(Lineups!AB$46:AB$83="")))</f>
        <v>2</v>
      </c>
      <c r="X121" s="135">
        <f t="shared" si="68"/>
        <v>0.125</v>
      </c>
      <c r="Y121" s="142">
        <f>IF($U121="","",SUMPRODUCT(--(Lineups!AG$46:AG$83=$U121),--(Lineups!AB$46:AB$83="X")))</f>
        <v>0</v>
      </c>
      <c r="Z121" s="142">
        <f>IF($U121="","",SUMPRODUCT(--(Lineups!AK$46:AK$83=$U121),--(Lineups!AA$46:AA$83&lt;&gt;"SP")))</f>
        <v>1</v>
      </c>
      <c r="AA121" s="142">
        <f>IF($U121="","",SUMPRODUCT(--(Lineups!AO$46:AO$83=$U121),--(Lineups!AA$46:AA$83&lt;&gt;"SP")))</f>
        <v>0</v>
      </c>
      <c r="AB121" s="142">
        <f>IF($U121="","",SUMPRODUCT(--(Lineups!AS$46:AS$83=$U121),--(Lineups!AA$46:AA$83&lt;&gt;"SP")))</f>
        <v>5</v>
      </c>
      <c r="AC121" s="133">
        <f t="shared" si="69"/>
        <v>6</v>
      </c>
      <c r="AD121" s="135">
        <f t="shared" si="70"/>
        <v>0.375</v>
      </c>
      <c r="AE121" s="133">
        <f t="shared" si="71"/>
        <v>8</v>
      </c>
      <c r="AF121" s="135">
        <f t="shared" si="72"/>
        <v>0.5</v>
      </c>
      <c r="AG121" s="140">
        <f ca="1">IF(U121="","",IF(OR(SK!U212="",SK!U212=0),"",SK!X212))</f>
        <v>0</v>
      </c>
      <c r="AH121" s="133">
        <f>IF($U121="","",SUMPRODUCT(--(Lineups!AC$46:AC$83=$U121)))</f>
        <v>1</v>
      </c>
      <c r="AI121" s="135">
        <f t="shared" si="73"/>
        <v>6.25E-2</v>
      </c>
      <c r="AJ121" s="133">
        <f t="shared" si="74"/>
        <v>9</v>
      </c>
      <c r="AK121" s="135">
        <f t="shared" si="75"/>
        <v>0.5625</v>
      </c>
    </row>
    <row r="122" spans="1:37" x14ac:dyDescent="0.3">
      <c r="A122" s="16">
        <f t="shared" si="56"/>
        <v>15</v>
      </c>
      <c r="B122" s="83" t="str">
        <f t="shared" si="57"/>
        <v>83</v>
      </c>
      <c r="C122" s="83" t="str">
        <f t="shared" si="57"/>
        <v>Grit n Barite</v>
      </c>
      <c r="D122" s="3">
        <f>IF($B122="","",SUMPRODUCT(--(Lineups!G$46:G$83=$B122),--(Lineups!B$46:B$83="")))</f>
        <v>1</v>
      </c>
      <c r="E122" s="134">
        <f t="shared" si="58"/>
        <v>6.25E-2</v>
      </c>
      <c r="F122" s="142">
        <f>IF($B122="","",SUMPRODUCT(--(Lineups!G$46:G$83=$B122),--(Lineups!B$46:B$83="X")))</f>
        <v>0</v>
      </c>
      <c r="G122" s="142">
        <f>IF($B122="","",SUMPRODUCT(--(Lineups!K$46:K$83=$B122),--(Lineups!A$46:A$83&lt;&gt;"SP")))</f>
        <v>2</v>
      </c>
      <c r="H122" s="142">
        <f>IF($B122="","",SUMPRODUCT(--(Lineups!O$46:O$83=$B122),--(Lineups!A$46:A$83&lt;&gt;"SP")))</f>
        <v>2</v>
      </c>
      <c r="I122" s="142">
        <f>IF($B122="","",SUMPRODUCT(--(Lineups!S$46:S$83=$B122),--(Lineups!A$46:A$83&lt;&gt;"SP")))</f>
        <v>2</v>
      </c>
      <c r="J122" s="3">
        <f t="shared" si="59"/>
        <v>6</v>
      </c>
      <c r="K122" s="134">
        <f t="shared" si="60"/>
        <v>0.375</v>
      </c>
      <c r="L122" s="3">
        <f t="shared" si="61"/>
        <v>7</v>
      </c>
      <c r="M122" s="134">
        <f t="shared" si="62"/>
        <v>0.4375</v>
      </c>
      <c r="N122" s="139" t="str">
        <f ca="1">IF(B122="","",IF(OR(SK!E215="",SK!E215=0),"",SK!H215))</f>
        <v/>
      </c>
      <c r="O122" s="3">
        <f>IF($B122="","",SUMPRODUCT(--(Lineups!C$46:C$83=$B122)))</f>
        <v>0</v>
      </c>
      <c r="P122" s="134">
        <f t="shared" si="63"/>
        <v>0</v>
      </c>
      <c r="Q122" s="3">
        <f t="shared" si="64"/>
        <v>7</v>
      </c>
      <c r="R122" s="134">
        <f t="shared" si="65"/>
        <v>0.4375</v>
      </c>
      <c r="T122" s="16">
        <f t="shared" si="66"/>
        <v>15</v>
      </c>
      <c r="U122" s="83" t="str">
        <f t="shared" si="67"/>
        <v>88*</v>
      </c>
      <c r="V122" s="83" t="str">
        <f t="shared" si="67"/>
        <v>Flux</v>
      </c>
      <c r="W122" s="3">
        <f>IF($U122="","",SUMPRODUCT(--(Lineups!AG$46:AG$83=$U122),--(Lineups!AB$46:AB$83="")))</f>
        <v>0</v>
      </c>
      <c r="X122" s="134">
        <f t="shared" si="68"/>
        <v>0</v>
      </c>
      <c r="Y122" s="142">
        <f>IF($U122="","",SUMPRODUCT(--(Lineups!AG$46:AG$83=$U122),--(Lineups!AB$46:AB$83="X")))</f>
        <v>0</v>
      </c>
      <c r="Z122" s="142">
        <f>IF($U122="","",SUMPRODUCT(--(Lineups!AK$46:AK$83=$U122),--(Lineups!AA$46:AA$83&lt;&gt;"SP")))</f>
        <v>0</v>
      </c>
      <c r="AA122" s="142">
        <f>IF($U122="","",SUMPRODUCT(--(Lineups!AO$46:AO$83=$U122),--(Lineups!AA$46:AA$83&lt;&gt;"SP")))</f>
        <v>0</v>
      </c>
      <c r="AB122" s="142">
        <f>IF($U122="","",SUMPRODUCT(--(Lineups!AS$46:AS$83=$U122),--(Lineups!AA$46:AA$83&lt;&gt;"SP")))</f>
        <v>0</v>
      </c>
      <c r="AC122" s="3">
        <f t="shared" si="69"/>
        <v>0</v>
      </c>
      <c r="AD122" s="134">
        <f t="shared" si="70"/>
        <v>0</v>
      </c>
      <c r="AE122" s="3">
        <f t="shared" si="71"/>
        <v>0</v>
      </c>
      <c r="AF122" s="134">
        <f t="shared" si="72"/>
        <v>0</v>
      </c>
      <c r="AG122" s="139" t="str">
        <f ca="1">IF(U122="","",IF(OR(SK!U215="",SK!U215=0),"",SK!X215))</f>
        <v/>
      </c>
      <c r="AH122" s="3">
        <f>IF($U122="","",SUMPRODUCT(--(Lineups!AC$46:AC$83=$U122)))</f>
        <v>0</v>
      </c>
      <c r="AI122" s="134">
        <f t="shared" si="73"/>
        <v>0</v>
      </c>
      <c r="AJ122" s="3">
        <f t="shared" si="74"/>
        <v>0</v>
      </c>
      <c r="AK122" s="134">
        <f t="shared" si="75"/>
        <v>0</v>
      </c>
    </row>
    <row r="123" spans="1:37" x14ac:dyDescent="0.3">
      <c r="A123" s="131">
        <f t="shared" si="56"/>
        <v>16</v>
      </c>
      <c r="B123" s="132" t="str">
        <f t="shared" si="57"/>
        <v>84</v>
      </c>
      <c r="C123" s="132" t="str">
        <f t="shared" si="57"/>
        <v>Phoenix</v>
      </c>
      <c r="D123" s="133">
        <f>IF($B123="","",SUMPRODUCT(--(Lineups!G$46:G$83=$B123),--(Lineups!B$46:B$83="")))</f>
        <v>8</v>
      </c>
      <c r="E123" s="135">
        <f t="shared" si="58"/>
        <v>0.5</v>
      </c>
      <c r="F123" s="142">
        <f>IF($B123="","",SUMPRODUCT(--(Lineups!G$46:G$83=$B123),--(Lineups!B$46:B$83="X")))</f>
        <v>0</v>
      </c>
      <c r="G123" s="142">
        <f>IF($B123="","",SUMPRODUCT(--(Lineups!K$46:K$83=$B123),--(Lineups!A$46:A$83&lt;&gt;"SP")))</f>
        <v>1</v>
      </c>
      <c r="H123" s="142">
        <f>IF($B123="","",SUMPRODUCT(--(Lineups!O$46:O$83=$B123),--(Lineups!A$46:A$83&lt;&gt;"SP")))</f>
        <v>0</v>
      </c>
      <c r="I123" s="142">
        <f>IF($B123="","",SUMPRODUCT(--(Lineups!S$46:S$83=$B123),--(Lineups!A$46:A$83&lt;&gt;"SP")))</f>
        <v>0</v>
      </c>
      <c r="J123" s="133">
        <f t="shared" si="59"/>
        <v>1</v>
      </c>
      <c r="K123" s="135">
        <f t="shared" si="60"/>
        <v>6.25E-2</v>
      </c>
      <c r="L123" s="133">
        <f t="shared" si="61"/>
        <v>9</v>
      </c>
      <c r="M123" s="135">
        <f t="shared" si="62"/>
        <v>0.5625</v>
      </c>
      <c r="N123" s="140">
        <f ca="1">IF(B123="","",IF(OR(SK!E218="",SK!E218=0),"",SK!H218))</f>
        <v>0</v>
      </c>
      <c r="O123" s="133">
        <f>IF($B123="","",SUMPRODUCT(--(Lineups!C$46:C$83=$B123)))</f>
        <v>2</v>
      </c>
      <c r="P123" s="135">
        <f t="shared" si="63"/>
        <v>0.125</v>
      </c>
      <c r="Q123" s="133">
        <f t="shared" si="64"/>
        <v>11</v>
      </c>
      <c r="R123" s="135">
        <f t="shared" si="65"/>
        <v>0.6875</v>
      </c>
      <c r="T123" s="131">
        <f t="shared" si="66"/>
        <v>16</v>
      </c>
      <c r="U123" s="132" t="str">
        <f t="shared" si="67"/>
        <v>911</v>
      </c>
      <c r="V123" s="132" t="str">
        <f t="shared" si="67"/>
        <v>Annie Mergency</v>
      </c>
      <c r="W123" s="133">
        <f>IF($U123="","",SUMPRODUCT(--(Lineups!AG$46:AG$83=$U123),--(Lineups!AB$46:AB$83="")))</f>
        <v>5</v>
      </c>
      <c r="X123" s="135">
        <f t="shared" si="68"/>
        <v>0.3125</v>
      </c>
      <c r="Y123" s="142">
        <f>IF($U123="","",SUMPRODUCT(--(Lineups!AG$46:AG$83=$U123),--(Lineups!AB$46:AB$83="X")))</f>
        <v>0</v>
      </c>
      <c r="Z123" s="142">
        <f>IF($U123="","",SUMPRODUCT(--(Lineups!AK$46:AK$83=$U123),--(Lineups!AA$46:AA$83&lt;&gt;"SP")))</f>
        <v>0</v>
      </c>
      <c r="AA123" s="142">
        <f>IF($U123="","",SUMPRODUCT(--(Lineups!AO$46:AO$83=$U123),--(Lineups!AA$46:AA$83&lt;&gt;"SP")))</f>
        <v>1</v>
      </c>
      <c r="AB123" s="142">
        <f>IF($U123="","",SUMPRODUCT(--(Lineups!AS$46:AS$83=$U123),--(Lineups!AA$46:AA$83&lt;&gt;"SP")))</f>
        <v>1</v>
      </c>
      <c r="AC123" s="133">
        <f t="shared" si="69"/>
        <v>2</v>
      </c>
      <c r="AD123" s="135">
        <f t="shared" si="70"/>
        <v>0.125</v>
      </c>
      <c r="AE123" s="133">
        <f t="shared" si="71"/>
        <v>7</v>
      </c>
      <c r="AF123" s="135">
        <f t="shared" si="72"/>
        <v>0.4375</v>
      </c>
      <c r="AG123" s="140">
        <f ca="1">IF(U123="","",IF(OR(SK!U218="",SK!U218=0),"",SK!X218))</f>
        <v>0</v>
      </c>
      <c r="AH123" s="133">
        <f>IF($U123="","",SUMPRODUCT(--(Lineups!AC$46:AC$83=$U123)))</f>
        <v>1</v>
      </c>
      <c r="AI123" s="135">
        <f t="shared" si="73"/>
        <v>6.25E-2</v>
      </c>
      <c r="AJ123" s="133">
        <f t="shared" si="74"/>
        <v>8</v>
      </c>
      <c r="AK123" s="135">
        <f t="shared" si="75"/>
        <v>0.5</v>
      </c>
    </row>
    <row r="124" spans="1:37" x14ac:dyDescent="0.3">
      <c r="A124" s="16">
        <f t="shared" si="56"/>
        <v>17</v>
      </c>
      <c r="B124" s="83" t="str">
        <f t="shared" si="57"/>
        <v>86</v>
      </c>
      <c r="C124" s="83" t="str">
        <f t="shared" si="57"/>
        <v>P.T.S.D.</v>
      </c>
      <c r="D124" s="3">
        <f>IF($B124="","",SUMPRODUCT(--(Lineups!G$46:G$83=$B124),--(Lineups!B$46:B$83="")))</f>
        <v>0</v>
      </c>
      <c r="E124" s="134">
        <f t="shared" si="58"/>
        <v>0</v>
      </c>
      <c r="F124" s="142">
        <f>IF($B124="","",SUMPRODUCT(--(Lineups!G$46:G$83=$B124),--(Lineups!B$46:B$83="X")))</f>
        <v>0</v>
      </c>
      <c r="G124" s="142">
        <f>IF($B124="","",SUMPRODUCT(--(Lineups!K$46:K$83=$B124),--(Lineups!A$46:A$83&lt;&gt;"SP")))</f>
        <v>4</v>
      </c>
      <c r="H124" s="142">
        <f>IF($B124="","",SUMPRODUCT(--(Lineups!O$46:O$83=$B124),--(Lineups!A$46:A$83&lt;&gt;"SP")))</f>
        <v>3</v>
      </c>
      <c r="I124" s="142">
        <f>IF($B124="","",SUMPRODUCT(--(Lineups!S$46:S$83=$B124),--(Lineups!A$46:A$83&lt;&gt;"SP")))</f>
        <v>0</v>
      </c>
      <c r="J124" s="3">
        <f t="shared" si="59"/>
        <v>7</v>
      </c>
      <c r="K124" s="134">
        <f t="shared" si="60"/>
        <v>0.4375</v>
      </c>
      <c r="L124" s="3">
        <f t="shared" si="61"/>
        <v>7</v>
      </c>
      <c r="M124" s="134">
        <f t="shared" si="62"/>
        <v>0.4375</v>
      </c>
      <c r="N124" s="139" t="str">
        <f ca="1">IF(B124="","",IF(OR(SK!E221="",SK!E221=0),"",SK!H221))</f>
        <v/>
      </c>
      <c r="O124" s="3">
        <f>IF($B124="","",SUMPRODUCT(--(Lineups!C$46:C$83=$B124)))</f>
        <v>0</v>
      </c>
      <c r="P124" s="134">
        <f t="shared" si="63"/>
        <v>0</v>
      </c>
      <c r="Q124" s="3">
        <f t="shared" si="64"/>
        <v>7</v>
      </c>
      <c r="R124" s="134">
        <f t="shared" si="65"/>
        <v>0.4375</v>
      </c>
      <c r="T124" s="16">
        <f t="shared" si="66"/>
        <v>17</v>
      </c>
      <c r="U124" s="83" t="str">
        <f t="shared" si="67"/>
        <v>94</v>
      </c>
      <c r="V124" s="83" t="str">
        <f t="shared" si="67"/>
        <v>The Kraken</v>
      </c>
      <c r="W124" s="3">
        <f>IF($U124="","",SUMPRODUCT(--(Lineups!AG$46:AG$83=$U124),--(Lineups!AB$46:AB$83="")))</f>
        <v>0</v>
      </c>
      <c r="X124" s="134">
        <f t="shared" si="68"/>
        <v>0</v>
      </c>
      <c r="Y124" s="142">
        <f>IF($U124="","",SUMPRODUCT(--(Lineups!AG$46:AG$83=$U124),--(Lineups!AB$46:AB$83="X")))</f>
        <v>0</v>
      </c>
      <c r="Z124" s="142">
        <f>IF($U124="","",SUMPRODUCT(--(Lineups!AK$46:AK$83=$U124),--(Lineups!AA$46:AA$83&lt;&gt;"SP")))</f>
        <v>0</v>
      </c>
      <c r="AA124" s="142">
        <f>IF($U124="","",SUMPRODUCT(--(Lineups!AO$46:AO$83=$U124),--(Lineups!AA$46:AA$83&lt;&gt;"SP")))</f>
        <v>2</v>
      </c>
      <c r="AB124" s="142">
        <f>IF($U124="","",SUMPRODUCT(--(Lineups!AS$46:AS$83=$U124),--(Lineups!AA$46:AA$83&lt;&gt;"SP")))</f>
        <v>0</v>
      </c>
      <c r="AC124" s="3">
        <f t="shared" si="69"/>
        <v>2</v>
      </c>
      <c r="AD124" s="134">
        <f t="shared" si="70"/>
        <v>0.125</v>
      </c>
      <c r="AE124" s="3">
        <f t="shared" si="71"/>
        <v>2</v>
      </c>
      <c r="AF124" s="134">
        <f t="shared" si="72"/>
        <v>0.125</v>
      </c>
      <c r="AG124" s="139" t="str">
        <f ca="1">IF(U124="","",IF(OR(SK!U221="",SK!U221=0),"",SK!X221))</f>
        <v/>
      </c>
      <c r="AH124" s="3">
        <f>IF($U124="","",SUMPRODUCT(--(Lineups!AC$46:AC$83=$U124)))</f>
        <v>0</v>
      </c>
      <c r="AI124" s="134">
        <f t="shared" si="73"/>
        <v>0</v>
      </c>
      <c r="AJ124" s="3">
        <f t="shared" si="74"/>
        <v>2</v>
      </c>
      <c r="AK124" s="134">
        <f t="shared" si="75"/>
        <v>0.125</v>
      </c>
    </row>
    <row r="125" spans="1:37" x14ac:dyDescent="0.3">
      <c r="A125" s="131">
        <f t="shared" si="56"/>
        <v>18</v>
      </c>
      <c r="B125" s="132" t="str">
        <f t="shared" si="57"/>
        <v/>
      </c>
      <c r="C125" s="132" t="str">
        <f t="shared" si="57"/>
        <v/>
      </c>
      <c r="D125" s="133" t="str">
        <f>IF($B125="","",SUMPRODUCT(--(Lineups!G$46:G$83=$B125),--(Lineups!B$46:B$83="")))</f>
        <v/>
      </c>
      <c r="E125" s="135" t="str">
        <f t="shared" si="58"/>
        <v/>
      </c>
      <c r="F125" s="142" t="str">
        <f>IF($B125="","",SUMPRODUCT(--(Lineups!G$46:G$83=$B125),--(Lineups!B$46:B$83="X")))</f>
        <v/>
      </c>
      <c r="G125" s="142" t="str">
        <f>IF($B125="","",SUMPRODUCT(--(Lineups!K$46:K$83=$B125),--(Lineups!A$46:A$83&lt;&gt;"SP")))</f>
        <v/>
      </c>
      <c r="H125" s="142" t="str">
        <f>IF($B125="","",SUMPRODUCT(--(Lineups!O$46:O$83=$B125),--(Lineups!A$46:A$83&lt;&gt;"SP")))</f>
        <v/>
      </c>
      <c r="I125" s="142" t="str">
        <f>IF($B125="","",SUMPRODUCT(--(Lineups!S$46:S$83=$B125),--(Lineups!A$46:A$83&lt;&gt;"SP")))</f>
        <v/>
      </c>
      <c r="J125" s="133" t="str">
        <f t="shared" si="59"/>
        <v/>
      </c>
      <c r="K125" s="135" t="str">
        <f t="shared" si="60"/>
        <v/>
      </c>
      <c r="L125" s="133" t="str">
        <f t="shared" si="61"/>
        <v/>
      </c>
      <c r="M125" s="135" t="str">
        <f t="shared" si="62"/>
        <v/>
      </c>
      <c r="N125" s="140" t="str">
        <f>IF(B125="","",IF(OR(SK!E224="",SK!E224=0),"",SK!H224))</f>
        <v/>
      </c>
      <c r="O125" s="133" t="str">
        <f>IF($B125="","",SUMPRODUCT(--(Lineups!C$46:C$83=$B125)))</f>
        <v/>
      </c>
      <c r="P125" s="135" t="str">
        <f t="shared" si="63"/>
        <v/>
      </c>
      <c r="Q125" s="133" t="str">
        <f t="shared" si="64"/>
        <v/>
      </c>
      <c r="R125" s="135" t="str">
        <f t="shared" si="65"/>
        <v/>
      </c>
      <c r="T125" s="131">
        <f t="shared" si="66"/>
        <v>18</v>
      </c>
      <c r="U125" s="132" t="str">
        <f t="shared" si="67"/>
        <v/>
      </c>
      <c r="V125" s="132" t="str">
        <f t="shared" si="67"/>
        <v/>
      </c>
      <c r="W125" s="133" t="str">
        <f>IF($U125="","",SUMPRODUCT(--(Lineups!AG$46:AG$83=$U125),--(Lineups!AB$46:AB$83="")))</f>
        <v/>
      </c>
      <c r="X125" s="135" t="str">
        <f t="shared" si="68"/>
        <v/>
      </c>
      <c r="Y125" s="142" t="str">
        <f>IF($U125="","",SUMPRODUCT(--(Lineups!AG$46:AG$83=$U125),--(Lineups!AB$46:AB$83="X")))</f>
        <v/>
      </c>
      <c r="Z125" s="142" t="str">
        <f>IF($U125="","",SUMPRODUCT(--(Lineups!AK$46:AK$83=$U125),--(Lineups!AA$46:AA$83&lt;&gt;"SP")))</f>
        <v/>
      </c>
      <c r="AA125" s="142" t="str">
        <f>IF($U125="","",SUMPRODUCT(--(Lineups!AO$46:AO$83=$U125),--(Lineups!AA$46:AA$83&lt;&gt;"SP")))</f>
        <v/>
      </c>
      <c r="AB125" s="142" t="str">
        <f>IF($U125="","",SUMPRODUCT(--(Lineups!AS$46:AS$83=$U125),--(Lineups!AA$46:AA$83&lt;&gt;"SP")))</f>
        <v/>
      </c>
      <c r="AC125" s="133" t="str">
        <f t="shared" si="69"/>
        <v/>
      </c>
      <c r="AD125" s="135" t="str">
        <f t="shared" si="70"/>
        <v/>
      </c>
      <c r="AE125" s="133" t="str">
        <f t="shared" si="71"/>
        <v/>
      </c>
      <c r="AF125" s="135" t="str">
        <f t="shared" si="72"/>
        <v/>
      </c>
      <c r="AG125" s="140" t="str">
        <f>IF(U125="","",IF(OR(SK!U224="",SK!U224=0),"",SK!X224))</f>
        <v/>
      </c>
      <c r="AH125" s="133" t="str">
        <f>IF($U125="","",SUMPRODUCT(--(Lineups!AC$46:AC$83=$U125)))</f>
        <v/>
      </c>
      <c r="AI125" s="135" t="str">
        <f t="shared" si="73"/>
        <v/>
      </c>
      <c r="AJ125" s="133" t="str">
        <f t="shared" si="74"/>
        <v/>
      </c>
      <c r="AK125" s="135" t="str">
        <f t="shared" si="75"/>
        <v/>
      </c>
    </row>
    <row r="126" spans="1:37" x14ac:dyDescent="0.3">
      <c r="A126" s="16">
        <f t="shared" si="56"/>
        <v>19</v>
      </c>
      <c r="B126" s="83" t="str">
        <f t="shared" si="57"/>
        <v/>
      </c>
      <c r="C126" s="83" t="str">
        <f t="shared" si="57"/>
        <v/>
      </c>
      <c r="D126" s="3" t="str">
        <f>IF($B126="","",SUMPRODUCT(--(Lineups!G$46:G$83=$B126),--(Lineups!B$46:B$83="")))</f>
        <v/>
      </c>
      <c r="E126" s="134" t="str">
        <f t="shared" si="58"/>
        <v/>
      </c>
      <c r="F126" s="142" t="str">
        <f>IF($B126="","",SUMPRODUCT(--(Lineups!G$46:G$83=$B126),--(Lineups!B$46:B$83="X")))</f>
        <v/>
      </c>
      <c r="G126" s="142" t="str">
        <f>IF($B126="","",SUMPRODUCT(--(Lineups!K$46:K$83=$B126),--(Lineups!A$46:A$83&lt;&gt;"SP")))</f>
        <v/>
      </c>
      <c r="H126" s="142" t="str">
        <f>IF($B126="","",SUMPRODUCT(--(Lineups!O$46:O$83=$B126),--(Lineups!A$46:A$83&lt;&gt;"SP")))</f>
        <v/>
      </c>
      <c r="I126" s="142" t="str">
        <f>IF($B126="","",SUMPRODUCT(--(Lineups!S$46:S$83=$B126),--(Lineups!A$46:A$83&lt;&gt;"SP")))</f>
        <v/>
      </c>
      <c r="J126" s="3" t="str">
        <f t="shared" si="59"/>
        <v/>
      </c>
      <c r="K126" s="134" t="str">
        <f t="shared" si="60"/>
        <v/>
      </c>
      <c r="L126" s="3" t="str">
        <f t="shared" si="61"/>
        <v/>
      </c>
      <c r="M126" s="134" t="str">
        <f t="shared" si="62"/>
        <v/>
      </c>
      <c r="N126" s="139" t="str">
        <f>IF(B126="","",IF(OR(SK!E227="",SK!E227=0),"",SK!H227))</f>
        <v/>
      </c>
      <c r="O126" s="3" t="str">
        <f>IF($B126="","",SUMPRODUCT(--(Lineups!C$46:C$83=$B126)))</f>
        <v/>
      </c>
      <c r="P126" s="134" t="str">
        <f t="shared" si="63"/>
        <v/>
      </c>
      <c r="Q126" s="3" t="str">
        <f t="shared" si="64"/>
        <v/>
      </c>
      <c r="R126" s="134" t="str">
        <f t="shared" si="65"/>
        <v/>
      </c>
      <c r="T126" s="16">
        <f t="shared" si="66"/>
        <v>19</v>
      </c>
      <c r="U126" s="83" t="str">
        <f t="shared" si="67"/>
        <v/>
      </c>
      <c r="V126" s="83" t="str">
        <f t="shared" si="67"/>
        <v/>
      </c>
      <c r="W126" s="3" t="str">
        <f>IF($U126="","",SUMPRODUCT(--(Lineups!AG$46:AG$83=$U126),--(Lineups!AB$46:AB$83="")))</f>
        <v/>
      </c>
      <c r="X126" s="134" t="str">
        <f t="shared" si="68"/>
        <v/>
      </c>
      <c r="Y126" s="142" t="str">
        <f>IF($U126="","",SUMPRODUCT(--(Lineups!AG$46:AG$83=$U126),--(Lineups!AB$46:AB$83="X")))</f>
        <v/>
      </c>
      <c r="Z126" s="142" t="str">
        <f>IF($U126="","",SUMPRODUCT(--(Lineups!AK$46:AK$83=$U126),--(Lineups!AA$46:AA$83&lt;&gt;"SP")))</f>
        <v/>
      </c>
      <c r="AA126" s="142" t="str">
        <f>IF($U126="","",SUMPRODUCT(--(Lineups!AO$46:AO$83=$U126),--(Lineups!AA$46:AA$83&lt;&gt;"SP")))</f>
        <v/>
      </c>
      <c r="AB126" s="142" t="str">
        <f>IF($U126="","",SUMPRODUCT(--(Lineups!AS$46:AS$83=$U126),--(Lineups!AA$46:AA$83&lt;&gt;"SP")))</f>
        <v/>
      </c>
      <c r="AC126" s="3" t="str">
        <f t="shared" si="69"/>
        <v/>
      </c>
      <c r="AD126" s="134" t="str">
        <f t="shared" si="70"/>
        <v/>
      </c>
      <c r="AE126" s="3" t="str">
        <f t="shared" si="71"/>
        <v/>
      </c>
      <c r="AF126" s="134" t="str">
        <f t="shared" si="72"/>
        <v/>
      </c>
      <c r="AG126" s="139" t="str">
        <f>IF(U122="","",IF(OR(SK!U227="",SK!U227=0),"",SK!X227))</f>
        <v/>
      </c>
      <c r="AH126" s="3" t="str">
        <f>IF($U126="","",SUMPRODUCT(--(Lineups!AC$46:AC$83=$U126)))</f>
        <v/>
      </c>
      <c r="AI126" s="134" t="str">
        <f t="shared" si="73"/>
        <v/>
      </c>
      <c r="AJ126" s="3" t="str">
        <f t="shared" si="74"/>
        <v/>
      </c>
      <c r="AK126" s="134" t="str">
        <f t="shared" si="75"/>
        <v/>
      </c>
    </row>
    <row r="127" spans="1:37" x14ac:dyDescent="0.3">
      <c r="A127" s="131">
        <f t="shared" si="56"/>
        <v>20</v>
      </c>
      <c r="B127" s="132" t="str">
        <f t="shared" si="57"/>
        <v/>
      </c>
      <c r="C127" s="132" t="str">
        <f t="shared" si="57"/>
        <v/>
      </c>
      <c r="D127" s="133" t="str">
        <f>IF($B127="","",SUMPRODUCT(--(Lineups!G$46:G$83=$B127),--(Lineups!B$46:B$83="")))</f>
        <v/>
      </c>
      <c r="E127" s="135" t="str">
        <f t="shared" si="58"/>
        <v/>
      </c>
      <c r="F127" s="142" t="str">
        <f>IF($B127="","",SUMPRODUCT(--(Lineups!G$46:G$83=$B127),--(Lineups!B$46:B$83="X")))</f>
        <v/>
      </c>
      <c r="G127" s="142" t="str">
        <f>IF($B127="","",SUMPRODUCT(--(Lineups!K$46:K$83=$B127),--(Lineups!A$46:A$83&lt;&gt;"SP")))</f>
        <v/>
      </c>
      <c r="H127" s="142" t="str">
        <f>IF($B127="","",SUMPRODUCT(--(Lineups!O$46:O$83=$B127),--(Lineups!A$46:A$83&lt;&gt;"SP")))</f>
        <v/>
      </c>
      <c r="I127" s="142" t="str">
        <f>IF($B127="","",SUMPRODUCT(--(Lineups!S$46:S$83=$B127),--(Lineups!A$46:A$83&lt;&gt;"SP")))</f>
        <v/>
      </c>
      <c r="J127" s="133" t="str">
        <f t="shared" si="59"/>
        <v/>
      </c>
      <c r="K127" s="135" t="str">
        <f t="shared" si="60"/>
        <v/>
      </c>
      <c r="L127" s="133" t="str">
        <f t="shared" si="61"/>
        <v/>
      </c>
      <c r="M127" s="135" t="str">
        <f t="shared" si="62"/>
        <v/>
      </c>
      <c r="N127" s="140" t="str">
        <f>IF(B127="","",IF(OR(SK!E230="",SK!E230=0),"",SK!H230))</f>
        <v/>
      </c>
      <c r="O127" s="133" t="str">
        <f>IF($B127="","",SUMPRODUCT(--(Lineups!C$46:C$83=$B127)))</f>
        <v/>
      </c>
      <c r="P127" s="135" t="str">
        <f t="shared" si="63"/>
        <v/>
      </c>
      <c r="Q127" s="133" t="str">
        <f t="shared" si="64"/>
        <v/>
      </c>
      <c r="R127" s="135" t="str">
        <f t="shared" si="65"/>
        <v/>
      </c>
      <c r="T127" s="131">
        <f t="shared" si="66"/>
        <v>20</v>
      </c>
      <c r="U127" s="132" t="str">
        <f t="shared" si="67"/>
        <v/>
      </c>
      <c r="V127" s="132" t="str">
        <f t="shared" si="67"/>
        <v/>
      </c>
      <c r="W127" s="133" t="str">
        <f>IF($U127="","",SUMPRODUCT(--(Lineups!AG$46:AG$83=$U127),--(Lineups!AB$46:AB$83="")))</f>
        <v/>
      </c>
      <c r="X127" s="135" t="str">
        <f t="shared" si="68"/>
        <v/>
      </c>
      <c r="Y127" s="142" t="str">
        <f>IF($U127="","",SUMPRODUCT(--(Lineups!AG$46:AG$83=$U127),--(Lineups!AB$46:AB$83="X")))</f>
        <v/>
      </c>
      <c r="Z127" s="142" t="str">
        <f>IF($U127="","",SUMPRODUCT(--(Lineups!AK$46:AK$83=$U127),--(Lineups!AA$46:AA$83&lt;&gt;"SP")))</f>
        <v/>
      </c>
      <c r="AA127" s="142" t="str">
        <f>IF($U127="","",SUMPRODUCT(--(Lineups!AO$46:AO$83=$U127),--(Lineups!AA$46:AA$83&lt;&gt;"SP")))</f>
        <v/>
      </c>
      <c r="AB127" s="142" t="str">
        <f>IF($U127="","",SUMPRODUCT(--(Lineups!AS$46:AS$83=$U127),--(Lineups!AA$46:AA$83&lt;&gt;"SP")))</f>
        <v/>
      </c>
      <c r="AC127" s="133" t="str">
        <f t="shared" si="69"/>
        <v/>
      </c>
      <c r="AD127" s="135" t="str">
        <f t="shared" si="70"/>
        <v/>
      </c>
      <c r="AE127" s="133" t="str">
        <f t="shared" si="71"/>
        <v/>
      </c>
      <c r="AF127" s="135" t="str">
        <f t="shared" si="72"/>
        <v/>
      </c>
      <c r="AG127" s="140" t="str">
        <f>IF(U127="","",IF(OR(SK!U230="",SK!U230=0),"",SK!X230))</f>
        <v/>
      </c>
      <c r="AH127" s="133" t="str">
        <f>IF($U127="","",SUMPRODUCT(--(Lineups!AC$46:AC$83=$U127)))</f>
        <v/>
      </c>
      <c r="AI127" s="135" t="str">
        <f t="shared" si="73"/>
        <v/>
      </c>
      <c r="AJ127" s="133" t="str">
        <f t="shared" si="74"/>
        <v/>
      </c>
      <c r="AK127" s="135" t="str">
        <f t="shared" si="75"/>
        <v/>
      </c>
    </row>
    <row r="129" spans="1:37" x14ac:dyDescent="0.3">
      <c r="A129" s="1200" t="s">
        <v>40</v>
      </c>
      <c r="B129" s="1200"/>
      <c r="C129" s="1200"/>
      <c r="D129" s="93"/>
      <c r="E129" s="93"/>
      <c r="F129" s="93"/>
      <c r="G129" s="93"/>
      <c r="H129" s="93"/>
      <c r="I129" s="93"/>
      <c r="J129" s="93"/>
      <c r="K129" s="93"/>
      <c r="L129" s="93"/>
      <c r="M129" s="93"/>
      <c r="N129" s="93"/>
      <c r="O129" s="93"/>
      <c r="P129" s="93"/>
      <c r="Q129" s="93"/>
      <c r="R129" s="93"/>
      <c r="T129" s="1200" t="s">
        <v>40</v>
      </c>
      <c r="U129" s="1200"/>
      <c r="V129" s="1200"/>
      <c r="W129" s="93"/>
      <c r="X129" s="93"/>
      <c r="Y129" s="93"/>
      <c r="Z129" s="93"/>
      <c r="AA129" s="93"/>
      <c r="AB129" s="93"/>
      <c r="AC129" s="93"/>
      <c r="AD129" s="93"/>
      <c r="AE129" s="93"/>
      <c r="AF129" s="93"/>
      <c r="AG129" s="93"/>
      <c r="AH129" s="93"/>
      <c r="AI129" s="93"/>
      <c r="AJ129" s="93"/>
      <c r="AK129" s="93"/>
    </row>
    <row r="130" spans="1:37" x14ac:dyDescent="0.3">
      <c r="A130" s="136">
        <v>0</v>
      </c>
      <c r="B130" s="136" t="s">
        <v>24</v>
      </c>
      <c r="C130" s="136" t="s">
        <v>25</v>
      </c>
      <c r="D130" s="136" t="s">
        <v>103</v>
      </c>
      <c r="E130" s="16"/>
      <c r="F130" s="141" t="s">
        <v>104</v>
      </c>
      <c r="G130" s="141" t="s">
        <v>104</v>
      </c>
      <c r="H130" s="141" t="s">
        <v>104</v>
      </c>
      <c r="I130" s="141" t="s">
        <v>104</v>
      </c>
      <c r="J130" s="136" t="s">
        <v>34</v>
      </c>
      <c r="K130" s="16"/>
      <c r="L130" s="136" t="s">
        <v>36</v>
      </c>
      <c r="M130" s="16"/>
      <c r="N130" s="138" t="s">
        <v>13</v>
      </c>
      <c r="O130" s="136" t="s">
        <v>105</v>
      </c>
      <c r="P130" s="16"/>
      <c r="Q130" s="136" t="s">
        <v>7</v>
      </c>
      <c r="R130" s="16"/>
      <c r="T130" s="136">
        <v>0</v>
      </c>
      <c r="U130" s="136" t="s">
        <v>24</v>
      </c>
      <c r="V130" s="136" t="s">
        <v>25</v>
      </c>
      <c r="W130" s="136" t="s">
        <v>103</v>
      </c>
      <c r="X130" s="16"/>
      <c r="Y130" s="141" t="s">
        <v>104</v>
      </c>
      <c r="Z130" s="141" t="s">
        <v>104</v>
      </c>
      <c r="AA130" s="141" t="s">
        <v>104</v>
      </c>
      <c r="AB130" s="141" t="s">
        <v>104</v>
      </c>
      <c r="AC130" s="136" t="s">
        <v>34</v>
      </c>
      <c r="AD130" s="16"/>
      <c r="AE130" s="136" t="s">
        <v>36</v>
      </c>
      <c r="AF130" s="16"/>
      <c r="AG130" s="138" t="s">
        <v>13</v>
      </c>
      <c r="AH130" s="136" t="s">
        <v>105</v>
      </c>
      <c r="AI130" s="16"/>
      <c r="AJ130" s="136" t="s">
        <v>7</v>
      </c>
      <c r="AK130" s="16"/>
    </row>
    <row r="131" spans="1:37" x14ac:dyDescent="0.3">
      <c r="A131" s="16">
        <f t="shared" ref="A131:A150" si="76">A130+1</f>
        <v>1</v>
      </c>
      <c r="B131" s="16" t="str">
        <f t="shared" ref="B131:C150" si="77">B108</f>
        <v>101</v>
      </c>
      <c r="C131" s="16" t="str">
        <f t="shared" si="77"/>
        <v>Jackie Treehorn</v>
      </c>
      <c r="D131" s="16">
        <f t="shared" ref="D131:D150" ca="1" si="78">IF($B131="","",D154-D177)</f>
        <v>0</v>
      </c>
      <c r="F131" s="142">
        <f t="shared" ref="F131:I150" ca="1" si="79">IF($B131="","",F154-F177)</f>
        <v>0</v>
      </c>
      <c r="G131" s="142">
        <f t="shared" ref="G131:G150" ca="1" si="80">IF($B131="","",G154-G177)</f>
        <v>0</v>
      </c>
      <c r="H131" s="142">
        <f t="shared" ca="1" si="79"/>
        <v>0</v>
      </c>
      <c r="I131" s="142">
        <f t="shared" ca="1" si="79"/>
        <v>3</v>
      </c>
      <c r="J131" s="16">
        <f t="shared" ref="J131:J150" ca="1" si="81">IF(B131="","",SUM(F131:I131))</f>
        <v>3</v>
      </c>
      <c r="L131" s="16">
        <f t="shared" ref="L131:L150" ca="1" si="82">IF(B131="","",SUM(D131,J131))</f>
        <v>3</v>
      </c>
      <c r="O131" s="16">
        <f t="shared" ref="O131:O150" ca="1" si="83">IF($B131="","",O154-O177)</f>
        <v>0</v>
      </c>
      <c r="Q131" s="16">
        <f t="shared" ref="Q131:Q150" ca="1" si="84">IF(B131="","",SUM(L131,O131))</f>
        <v>3</v>
      </c>
      <c r="T131" s="16">
        <f t="shared" ref="T131:T150" si="85">T130+1</f>
        <v>1</v>
      </c>
      <c r="U131" s="16" t="str">
        <f t="shared" ref="U131:V150" si="86">U108</f>
        <v>12</v>
      </c>
      <c r="V131" s="16" t="str">
        <f t="shared" si="86"/>
        <v>Zorra</v>
      </c>
      <c r="W131" s="16">
        <f t="shared" ref="W131:W150" ca="1" si="87">IF($U131="","",W154-W177)</f>
        <v>-16</v>
      </c>
      <c r="Y131" s="142">
        <f t="shared" ref="Y131:Y150" ca="1" si="88">IF($U131="","",Y154-Y177)</f>
        <v>0</v>
      </c>
      <c r="Z131" s="142">
        <f t="shared" ref="Z131:AB150" ca="1" si="89">IF($U131="","",Z154-Z177)</f>
        <v>0</v>
      </c>
      <c r="AA131" s="142">
        <f t="shared" ca="1" si="89"/>
        <v>0</v>
      </c>
      <c r="AB131" s="142">
        <f t="shared" ca="1" si="89"/>
        <v>0</v>
      </c>
      <c r="AC131" s="16">
        <f ca="1">IF(U131="","",SUM(Y131:AB131))</f>
        <v>0</v>
      </c>
      <c r="AE131" s="16">
        <f t="shared" ref="AE131:AE150" ca="1" si="90">IF(U131="","",SUM(W131,AC131))</f>
        <v>-16</v>
      </c>
      <c r="AH131" s="16">
        <f t="shared" ref="AH131:AH150" ca="1" si="91">IF($U131="","",AH154-AH177)</f>
        <v>-9</v>
      </c>
      <c r="AJ131" s="16">
        <f t="shared" ref="AJ131:AJ150" ca="1" si="92">IF(U131="","",SUM(AE131,AH131))</f>
        <v>-25</v>
      </c>
    </row>
    <row r="132" spans="1:37" x14ac:dyDescent="0.3">
      <c r="A132" s="131">
        <f t="shared" si="76"/>
        <v>2</v>
      </c>
      <c r="B132" s="131" t="str">
        <f t="shared" si="77"/>
        <v>123</v>
      </c>
      <c r="C132" s="131" t="str">
        <f t="shared" si="77"/>
        <v>Bacon 4 Mercy</v>
      </c>
      <c r="D132" s="131">
        <f t="shared" ca="1" si="78"/>
        <v>0</v>
      </c>
      <c r="F132" s="142">
        <f t="shared" ca="1" si="79"/>
        <v>0</v>
      </c>
      <c r="G132" s="142">
        <f t="shared" ca="1" si="80"/>
        <v>0</v>
      </c>
      <c r="H132" s="142">
        <f t="shared" ca="1" si="79"/>
        <v>0</v>
      </c>
      <c r="I132" s="142">
        <f t="shared" ca="1" si="79"/>
        <v>0</v>
      </c>
      <c r="J132" s="131">
        <f t="shared" ca="1" si="81"/>
        <v>0</v>
      </c>
      <c r="L132" s="131">
        <f t="shared" ca="1" si="82"/>
        <v>0</v>
      </c>
      <c r="O132" s="131">
        <f t="shared" ca="1" si="83"/>
        <v>-7</v>
      </c>
      <c r="Q132" s="131">
        <f t="shared" ca="1" si="84"/>
        <v>-7</v>
      </c>
      <c r="T132" s="131">
        <f t="shared" si="85"/>
        <v>2</v>
      </c>
      <c r="U132" s="131" t="str">
        <f t="shared" si="86"/>
        <v>16</v>
      </c>
      <c r="V132" s="131" t="str">
        <f t="shared" si="86"/>
        <v>Dodge n Burn</v>
      </c>
      <c r="W132" s="131">
        <f t="shared" ca="1" si="87"/>
        <v>0</v>
      </c>
      <c r="Y132" s="142">
        <f t="shared" ca="1" si="88"/>
        <v>0</v>
      </c>
      <c r="Z132" s="142">
        <f t="shared" ca="1" si="89"/>
        <v>0</v>
      </c>
      <c r="AA132" s="142">
        <f t="shared" ca="1" si="89"/>
        <v>-6</v>
      </c>
      <c r="AB132" s="142">
        <f t="shared" ca="1" si="89"/>
        <v>0</v>
      </c>
      <c r="AC132" s="131">
        <f t="shared" ref="AC132:AC150" ca="1" si="93">IF(U132="","",SUM(Y132:AB132))</f>
        <v>-6</v>
      </c>
      <c r="AE132" s="131">
        <f t="shared" ca="1" si="90"/>
        <v>-6</v>
      </c>
      <c r="AH132" s="131">
        <f t="shared" ca="1" si="91"/>
        <v>0</v>
      </c>
      <c r="AJ132" s="131">
        <f t="shared" ca="1" si="92"/>
        <v>-6</v>
      </c>
    </row>
    <row r="133" spans="1:37" x14ac:dyDescent="0.3">
      <c r="A133" s="16">
        <f t="shared" si="76"/>
        <v>3</v>
      </c>
      <c r="B133" s="16" t="str">
        <f t="shared" si="77"/>
        <v>1760</v>
      </c>
      <c r="C133" s="16" t="str">
        <f t="shared" si="77"/>
        <v>By O. Hazard</v>
      </c>
      <c r="D133" s="16">
        <f t="shared" ca="1" si="78"/>
        <v>3</v>
      </c>
      <c r="F133" s="142">
        <f t="shared" ca="1" si="79"/>
        <v>0</v>
      </c>
      <c r="G133" s="142">
        <f t="shared" ca="1" si="80"/>
        <v>1</v>
      </c>
      <c r="H133" s="142">
        <f t="shared" ca="1" si="79"/>
        <v>-2</v>
      </c>
      <c r="I133" s="142">
        <f t="shared" ca="1" si="79"/>
        <v>-2</v>
      </c>
      <c r="J133" s="16">
        <f t="shared" ca="1" si="81"/>
        <v>-3</v>
      </c>
      <c r="L133" s="16">
        <f t="shared" ca="1" si="82"/>
        <v>0</v>
      </c>
      <c r="O133" s="16">
        <f t="shared" ca="1" si="83"/>
        <v>0</v>
      </c>
      <c r="Q133" s="16">
        <f t="shared" ca="1" si="84"/>
        <v>0</v>
      </c>
      <c r="T133" s="16">
        <f t="shared" si="85"/>
        <v>3</v>
      </c>
      <c r="U133" s="16" t="str">
        <f t="shared" si="86"/>
        <v>17</v>
      </c>
      <c r="V133" s="16" t="str">
        <f t="shared" si="86"/>
        <v>Yinzey Lohan</v>
      </c>
      <c r="W133" s="16">
        <f t="shared" ca="1" si="87"/>
        <v>0</v>
      </c>
      <c r="Y133" s="142">
        <f t="shared" ca="1" si="88"/>
        <v>0</v>
      </c>
      <c r="Z133" s="142">
        <f t="shared" ca="1" si="89"/>
        <v>-5</v>
      </c>
      <c r="AA133" s="142">
        <f t="shared" ca="1" si="89"/>
        <v>0</v>
      </c>
      <c r="AB133" s="142">
        <f t="shared" ca="1" si="89"/>
        <v>4</v>
      </c>
      <c r="AC133" s="16">
        <f t="shared" ca="1" si="93"/>
        <v>-1</v>
      </c>
      <c r="AE133" s="16">
        <f t="shared" ca="1" si="90"/>
        <v>-1</v>
      </c>
      <c r="AH133" s="16">
        <f t="shared" ca="1" si="91"/>
        <v>0</v>
      </c>
      <c r="AJ133" s="16">
        <f t="shared" ca="1" si="92"/>
        <v>-1</v>
      </c>
    </row>
    <row r="134" spans="1:37" x14ac:dyDescent="0.3">
      <c r="A134" s="131">
        <f t="shared" si="76"/>
        <v>4</v>
      </c>
      <c r="B134" s="131" t="str">
        <f t="shared" si="77"/>
        <v>202</v>
      </c>
      <c r="C134" s="131" t="str">
        <f t="shared" si="77"/>
        <v>Thai-GRRR</v>
      </c>
      <c r="D134" s="131">
        <f t="shared" ca="1" si="78"/>
        <v>0</v>
      </c>
      <c r="F134" s="142">
        <f t="shared" ca="1" si="79"/>
        <v>0</v>
      </c>
      <c r="G134" s="142">
        <f t="shared" ca="1" si="80"/>
        <v>0</v>
      </c>
      <c r="H134" s="142">
        <f t="shared" ca="1" si="79"/>
        <v>0</v>
      </c>
      <c r="I134" s="142">
        <f t="shared" ca="1" si="79"/>
        <v>0</v>
      </c>
      <c r="J134" s="131">
        <f t="shared" ca="1" si="81"/>
        <v>0</v>
      </c>
      <c r="L134" s="131">
        <f t="shared" ca="1" si="82"/>
        <v>0</v>
      </c>
      <c r="O134" s="131">
        <f t="shared" ca="1" si="83"/>
        <v>22</v>
      </c>
      <c r="Q134" s="131">
        <f t="shared" ca="1" si="84"/>
        <v>22</v>
      </c>
      <c r="T134" s="131">
        <f t="shared" si="85"/>
        <v>4</v>
      </c>
      <c r="U134" s="131" t="str">
        <f t="shared" si="86"/>
        <v>2</v>
      </c>
      <c r="V134" s="131" t="str">
        <f t="shared" si="86"/>
        <v>Stark Raven</v>
      </c>
      <c r="W134" s="131">
        <f t="shared" ca="1" si="87"/>
        <v>0</v>
      </c>
      <c r="Y134" s="142">
        <f t="shared" ca="1" si="88"/>
        <v>0</v>
      </c>
      <c r="Z134" s="142">
        <f t="shared" ca="1" si="89"/>
        <v>1</v>
      </c>
      <c r="AA134" s="142">
        <f t="shared" ca="1" si="89"/>
        <v>4</v>
      </c>
      <c r="AB134" s="142">
        <f t="shared" ca="1" si="89"/>
        <v>0</v>
      </c>
      <c r="AC134" s="131">
        <f t="shared" ca="1" si="93"/>
        <v>5</v>
      </c>
      <c r="AE134" s="131">
        <f t="shared" ca="1" si="90"/>
        <v>5</v>
      </c>
      <c r="AH134" s="131">
        <f t="shared" ca="1" si="91"/>
        <v>0</v>
      </c>
      <c r="AJ134" s="131">
        <f t="shared" ca="1" si="92"/>
        <v>5</v>
      </c>
    </row>
    <row r="135" spans="1:37" x14ac:dyDescent="0.3">
      <c r="A135" s="16">
        <f t="shared" si="76"/>
        <v>5</v>
      </c>
      <c r="B135" s="16" t="str">
        <f t="shared" si="77"/>
        <v>22</v>
      </c>
      <c r="C135" s="16" t="str">
        <f t="shared" si="77"/>
        <v>Jen Hex</v>
      </c>
      <c r="D135" s="16">
        <f t="shared" ca="1" si="78"/>
        <v>0</v>
      </c>
      <c r="F135" s="142">
        <f t="shared" ca="1" si="79"/>
        <v>0</v>
      </c>
      <c r="G135" s="142">
        <f t="shared" ca="1" si="80"/>
        <v>0</v>
      </c>
      <c r="H135" s="142">
        <f t="shared" ca="1" si="79"/>
        <v>0</v>
      </c>
      <c r="I135" s="142">
        <f t="shared" ca="1" si="79"/>
        <v>0</v>
      </c>
      <c r="J135" s="16">
        <f t="shared" ca="1" si="81"/>
        <v>0</v>
      </c>
      <c r="L135" s="16">
        <f t="shared" ca="1" si="82"/>
        <v>0</v>
      </c>
      <c r="O135" s="16">
        <f t="shared" ca="1" si="83"/>
        <v>0</v>
      </c>
      <c r="Q135" s="16">
        <f t="shared" ca="1" si="84"/>
        <v>0</v>
      </c>
      <c r="T135" s="16">
        <f t="shared" si="85"/>
        <v>5</v>
      </c>
      <c r="U135" s="16" t="str">
        <f t="shared" si="86"/>
        <v>219</v>
      </c>
      <c r="V135" s="16" t="str">
        <f t="shared" si="86"/>
        <v>Dakota Slamming</v>
      </c>
      <c r="W135" s="16">
        <f t="shared" ca="1" si="87"/>
        <v>-21</v>
      </c>
      <c r="Y135" s="142">
        <f t="shared" ca="1" si="88"/>
        <v>0</v>
      </c>
      <c r="Z135" s="142">
        <f t="shared" ca="1" si="89"/>
        <v>0</v>
      </c>
      <c r="AA135" s="142">
        <f t="shared" ca="1" si="89"/>
        <v>-16</v>
      </c>
      <c r="AB135" s="142">
        <f t="shared" ca="1" si="89"/>
        <v>-8</v>
      </c>
      <c r="AC135" s="16">
        <f t="shared" ca="1" si="93"/>
        <v>-24</v>
      </c>
      <c r="AE135" s="16">
        <f t="shared" ca="1" si="90"/>
        <v>-45</v>
      </c>
      <c r="AH135" s="16">
        <f t="shared" ca="1" si="91"/>
        <v>3</v>
      </c>
      <c r="AJ135" s="16">
        <f t="shared" ca="1" si="92"/>
        <v>-42</v>
      </c>
    </row>
    <row r="136" spans="1:37" x14ac:dyDescent="0.3">
      <c r="A136" s="131">
        <f t="shared" si="76"/>
        <v>6</v>
      </c>
      <c r="B136" s="131" t="str">
        <f t="shared" si="77"/>
        <v>221*</v>
      </c>
      <c r="C136" s="131" t="str">
        <f t="shared" si="77"/>
        <v>Kili Pepa</v>
      </c>
      <c r="D136" s="131">
        <f t="shared" ca="1" si="78"/>
        <v>0</v>
      </c>
      <c r="F136" s="142">
        <f t="shared" ca="1" si="79"/>
        <v>0</v>
      </c>
      <c r="G136" s="142">
        <f t="shared" ca="1" si="80"/>
        <v>0</v>
      </c>
      <c r="H136" s="142">
        <f t="shared" ca="1" si="79"/>
        <v>0</v>
      </c>
      <c r="I136" s="142">
        <f t="shared" ca="1" si="79"/>
        <v>0</v>
      </c>
      <c r="J136" s="131">
        <f t="shared" ca="1" si="81"/>
        <v>0</v>
      </c>
      <c r="L136" s="131">
        <f t="shared" ca="1" si="82"/>
        <v>0</v>
      </c>
      <c r="O136" s="131">
        <f t="shared" ca="1" si="83"/>
        <v>0</v>
      </c>
      <c r="Q136" s="131">
        <f t="shared" ca="1" si="84"/>
        <v>0</v>
      </c>
      <c r="T136" s="131">
        <f t="shared" si="85"/>
        <v>6</v>
      </c>
      <c r="U136" s="131" t="str">
        <f t="shared" si="86"/>
        <v>22</v>
      </c>
      <c r="V136" s="131" t="str">
        <f t="shared" si="86"/>
        <v>Dammit Jammit</v>
      </c>
      <c r="W136" s="131">
        <f t="shared" ca="1" si="87"/>
        <v>-6</v>
      </c>
      <c r="Y136" s="142">
        <f t="shared" ca="1" si="88"/>
        <v>0</v>
      </c>
      <c r="Z136" s="142">
        <f t="shared" ca="1" si="89"/>
        <v>0</v>
      </c>
      <c r="AA136" s="142">
        <f t="shared" ca="1" si="89"/>
        <v>14</v>
      </c>
      <c r="AB136" s="142">
        <f t="shared" ca="1" si="89"/>
        <v>3</v>
      </c>
      <c r="AC136" s="131">
        <f t="shared" ca="1" si="93"/>
        <v>17</v>
      </c>
      <c r="AE136" s="131">
        <f t="shared" ca="1" si="90"/>
        <v>11</v>
      </c>
      <c r="AH136" s="131">
        <f t="shared" ca="1" si="91"/>
        <v>0</v>
      </c>
      <c r="AJ136" s="131">
        <f t="shared" ca="1" si="92"/>
        <v>11</v>
      </c>
    </row>
    <row r="137" spans="1:37" x14ac:dyDescent="0.3">
      <c r="A137" s="16">
        <f t="shared" si="76"/>
        <v>7</v>
      </c>
      <c r="B137" s="16" t="str">
        <f t="shared" si="77"/>
        <v>229</v>
      </c>
      <c r="C137" s="16" t="str">
        <f t="shared" si="77"/>
        <v>Sparky</v>
      </c>
      <c r="D137" s="16">
        <f t="shared" ca="1" si="78"/>
        <v>0</v>
      </c>
      <c r="F137" s="142">
        <f t="shared" ca="1" si="79"/>
        <v>0</v>
      </c>
      <c r="G137" s="142">
        <f t="shared" ca="1" si="80"/>
        <v>21</v>
      </c>
      <c r="H137" s="142">
        <f t="shared" ca="1" si="79"/>
        <v>13</v>
      </c>
      <c r="I137" s="142">
        <f t="shared" ca="1" si="79"/>
        <v>0</v>
      </c>
      <c r="J137" s="16">
        <f t="shared" ca="1" si="81"/>
        <v>34</v>
      </c>
      <c r="L137" s="16">
        <f t="shared" ca="1" si="82"/>
        <v>34</v>
      </c>
      <c r="O137" s="16">
        <f t="shared" ca="1" si="83"/>
        <v>0</v>
      </c>
      <c r="Q137" s="16">
        <f t="shared" ca="1" si="84"/>
        <v>34</v>
      </c>
      <c r="T137" s="16">
        <f t="shared" si="85"/>
        <v>7</v>
      </c>
      <c r="U137" s="16" t="str">
        <f t="shared" si="86"/>
        <v>223</v>
      </c>
      <c r="V137" s="16" t="str">
        <f t="shared" si="86"/>
        <v>Frida Killah</v>
      </c>
      <c r="W137" s="16">
        <f t="shared" ca="1" si="87"/>
        <v>0</v>
      </c>
      <c r="Y137" s="142">
        <f t="shared" ca="1" si="88"/>
        <v>0</v>
      </c>
      <c r="Z137" s="142">
        <f t="shared" ca="1" si="89"/>
        <v>0</v>
      </c>
      <c r="AA137" s="142">
        <f t="shared" ca="1" si="89"/>
        <v>0</v>
      </c>
      <c r="AB137" s="142">
        <f t="shared" ca="1" si="89"/>
        <v>0</v>
      </c>
      <c r="AC137" s="16">
        <f t="shared" ca="1" si="93"/>
        <v>0</v>
      </c>
      <c r="AE137" s="16">
        <f t="shared" ca="1" si="90"/>
        <v>0</v>
      </c>
      <c r="AH137" s="16">
        <f t="shared" ca="1" si="91"/>
        <v>10</v>
      </c>
      <c r="AJ137" s="16">
        <f t="shared" ca="1" si="92"/>
        <v>10</v>
      </c>
    </row>
    <row r="138" spans="1:37" x14ac:dyDescent="0.3">
      <c r="A138" s="131">
        <f t="shared" si="76"/>
        <v>8</v>
      </c>
      <c r="B138" s="131" t="str">
        <f t="shared" si="77"/>
        <v>237</v>
      </c>
      <c r="C138" s="131" t="str">
        <f t="shared" si="77"/>
        <v>RedRum</v>
      </c>
      <c r="D138" s="131">
        <f t="shared" ca="1" si="78"/>
        <v>0</v>
      </c>
      <c r="F138" s="142">
        <f t="shared" ca="1" si="79"/>
        <v>0</v>
      </c>
      <c r="G138" s="142">
        <f t="shared" ca="1" si="80"/>
        <v>-4</v>
      </c>
      <c r="H138" s="142">
        <f t="shared" ca="1" si="79"/>
        <v>29</v>
      </c>
      <c r="I138" s="142">
        <f t="shared" ca="1" si="79"/>
        <v>26</v>
      </c>
      <c r="J138" s="131">
        <f t="shared" ca="1" si="81"/>
        <v>51</v>
      </c>
      <c r="L138" s="131">
        <f t="shared" ca="1" si="82"/>
        <v>51</v>
      </c>
      <c r="O138" s="131">
        <f t="shared" ca="1" si="83"/>
        <v>0</v>
      </c>
      <c r="Q138" s="131">
        <f t="shared" ca="1" si="84"/>
        <v>51</v>
      </c>
      <c r="T138" s="131">
        <f t="shared" si="85"/>
        <v>8</v>
      </c>
      <c r="U138" s="131" t="str">
        <f t="shared" si="86"/>
        <v>23</v>
      </c>
      <c r="V138" s="131" t="str">
        <f t="shared" si="86"/>
        <v>Towanda Woman</v>
      </c>
      <c r="W138" s="131">
        <f t="shared" ca="1" si="87"/>
        <v>0</v>
      </c>
      <c r="Y138" s="142">
        <f t="shared" ca="1" si="88"/>
        <v>7</v>
      </c>
      <c r="Z138" s="142">
        <f t="shared" ca="1" si="89"/>
        <v>0</v>
      </c>
      <c r="AA138" s="142">
        <f t="shared" ca="1" si="89"/>
        <v>0</v>
      </c>
      <c r="AB138" s="142">
        <f t="shared" ca="1" si="89"/>
        <v>0</v>
      </c>
      <c r="AC138" s="131">
        <f t="shared" ca="1" si="93"/>
        <v>7</v>
      </c>
      <c r="AE138" s="131">
        <f t="shared" ca="1" si="90"/>
        <v>7</v>
      </c>
      <c r="AH138" s="131">
        <f t="shared" ca="1" si="91"/>
        <v>-19</v>
      </c>
      <c r="AJ138" s="131">
        <f t="shared" ca="1" si="92"/>
        <v>-12</v>
      </c>
    </row>
    <row r="139" spans="1:37" x14ac:dyDescent="0.3">
      <c r="A139" s="16">
        <f t="shared" si="76"/>
        <v>9</v>
      </c>
      <c r="B139" s="16" t="str">
        <f t="shared" si="77"/>
        <v>282*</v>
      </c>
      <c r="C139" s="16" t="str">
        <f t="shared" si="77"/>
        <v>Dash Ketchum</v>
      </c>
      <c r="D139" s="16">
        <f t="shared" ca="1" si="78"/>
        <v>0</v>
      </c>
      <c r="F139" s="142">
        <f t="shared" ca="1" si="79"/>
        <v>0</v>
      </c>
      <c r="G139" s="142">
        <f t="shared" ca="1" si="80"/>
        <v>0</v>
      </c>
      <c r="H139" s="142">
        <f t="shared" ca="1" si="79"/>
        <v>0</v>
      </c>
      <c r="I139" s="142">
        <f t="shared" ca="1" si="79"/>
        <v>0</v>
      </c>
      <c r="J139" s="16">
        <f t="shared" ca="1" si="81"/>
        <v>0</v>
      </c>
      <c r="L139" s="16">
        <f t="shared" ca="1" si="82"/>
        <v>0</v>
      </c>
      <c r="O139" s="16">
        <f t="shared" ca="1" si="83"/>
        <v>0</v>
      </c>
      <c r="Q139" s="16">
        <f t="shared" ca="1" si="84"/>
        <v>0</v>
      </c>
      <c r="T139" s="16">
        <f t="shared" si="85"/>
        <v>9</v>
      </c>
      <c r="U139" s="16" t="str">
        <f t="shared" si="86"/>
        <v>25</v>
      </c>
      <c r="V139" s="16" t="str">
        <f t="shared" si="86"/>
        <v>Ally McKill</v>
      </c>
      <c r="W139" s="16">
        <f t="shared" ca="1" si="87"/>
        <v>0</v>
      </c>
      <c r="Y139" s="142">
        <f t="shared" ca="1" si="88"/>
        <v>0</v>
      </c>
      <c r="Z139" s="142">
        <f t="shared" ca="1" si="89"/>
        <v>-37</v>
      </c>
      <c r="AA139" s="142">
        <f t="shared" ca="1" si="89"/>
        <v>-5</v>
      </c>
      <c r="AB139" s="142">
        <f t="shared" ca="1" si="89"/>
        <v>0</v>
      </c>
      <c r="AC139" s="16">
        <f t="shared" ca="1" si="93"/>
        <v>-42</v>
      </c>
      <c r="AE139" s="16">
        <f t="shared" ca="1" si="90"/>
        <v>-42</v>
      </c>
      <c r="AH139" s="16">
        <f t="shared" ca="1" si="91"/>
        <v>0</v>
      </c>
      <c r="AJ139" s="16">
        <f t="shared" ca="1" si="92"/>
        <v>-42</v>
      </c>
    </row>
    <row r="140" spans="1:37" x14ac:dyDescent="0.3">
      <c r="A140" s="131">
        <f t="shared" si="76"/>
        <v>10</v>
      </c>
      <c r="B140" s="131" t="str">
        <f t="shared" si="77"/>
        <v>337</v>
      </c>
      <c r="C140" s="131" t="str">
        <f t="shared" si="77"/>
        <v>Susan Sure Ram Dem</v>
      </c>
      <c r="D140" s="131">
        <f t="shared" ca="1" si="78"/>
        <v>0</v>
      </c>
      <c r="F140" s="142">
        <f t="shared" ca="1" si="79"/>
        <v>0</v>
      </c>
      <c r="G140" s="142">
        <f t="shared" ca="1" si="80"/>
        <v>-1</v>
      </c>
      <c r="H140" s="142">
        <f t="shared" ca="1" si="79"/>
        <v>0</v>
      </c>
      <c r="I140" s="142">
        <f t="shared" ca="1" si="79"/>
        <v>-2</v>
      </c>
      <c r="J140" s="131">
        <f t="shared" ca="1" si="81"/>
        <v>-3</v>
      </c>
      <c r="L140" s="131">
        <f t="shared" ca="1" si="82"/>
        <v>-3</v>
      </c>
      <c r="O140" s="131">
        <f t="shared" ca="1" si="83"/>
        <v>0</v>
      </c>
      <c r="Q140" s="131">
        <f t="shared" ca="1" si="84"/>
        <v>-3</v>
      </c>
      <c r="T140" s="131">
        <f t="shared" si="85"/>
        <v>10</v>
      </c>
      <c r="U140" s="131" t="str">
        <f t="shared" si="86"/>
        <v>26</v>
      </c>
      <c r="V140" s="131" t="str">
        <f t="shared" si="86"/>
        <v>Strange</v>
      </c>
      <c r="W140" s="131">
        <f t="shared" ca="1" si="87"/>
        <v>0</v>
      </c>
      <c r="Y140" s="142">
        <f t="shared" ca="1" si="88"/>
        <v>0</v>
      </c>
      <c r="Z140" s="142">
        <f t="shared" ca="1" si="89"/>
        <v>0</v>
      </c>
      <c r="AA140" s="142">
        <f t="shared" ca="1" si="89"/>
        <v>-21</v>
      </c>
      <c r="AB140" s="142">
        <f t="shared" ca="1" si="89"/>
        <v>-21</v>
      </c>
      <c r="AC140" s="131">
        <f t="shared" ca="1" si="93"/>
        <v>-42</v>
      </c>
      <c r="AE140" s="131">
        <f t="shared" ca="1" si="90"/>
        <v>-42</v>
      </c>
      <c r="AH140" s="131">
        <f t="shared" ca="1" si="91"/>
        <v>0</v>
      </c>
      <c r="AJ140" s="131">
        <f t="shared" ca="1" si="92"/>
        <v>-42</v>
      </c>
    </row>
    <row r="141" spans="1:37" x14ac:dyDescent="0.3">
      <c r="A141" s="16">
        <f t="shared" si="76"/>
        <v>11</v>
      </c>
      <c r="B141" s="16" t="str">
        <f t="shared" si="77"/>
        <v>352</v>
      </c>
      <c r="C141" s="16" t="str">
        <f t="shared" si="77"/>
        <v>Olive Havoc</v>
      </c>
      <c r="D141" s="16">
        <f t="shared" ca="1" si="78"/>
        <v>0</v>
      </c>
      <c r="F141" s="142">
        <f t="shared" ca="1" si="79"/>
        <v>0</v>
      </c>
      <c r="G141" s="142">
        <f t="shared" ca="1" si="80"/>
        <v>0</v>
      </c>
      <c r="H141" s="142">
        <f t="shared" ca="1" si="79"/>
        <v>0</v>
      </c>
      <c r="I141" s="142">
        <f t="shared" ca="1" si="79"/>
        <v>0</v>
      </c>
      <c r="J141" s="16">
        <f t="shared" ca="1" si="81"/>
        <v>0</v>
      </c>
      <c r="L141" s="16">
        <f t="shared" ca="1" si="82"/>
        <v>0</v>
      </c>
      <c r="O141" s="16">
        <f t="shared" ca="1" si="83"/>
        <v>14</v>
      </c>
      <c r="Q141" s="16">
        <f t="shared" ca="1" si="84"/>
        <v>14</v>
      </c>
      <c r="T141" s="16">
        <f t="shared" si="85"/>
        <v>11</v>
      </c>
      <c r="U141" s="16" t="str">
        <f t="shared" si="86"/>
        <v>49</v>
      </c>
      <c r="V141" s="16" t="str">
        <f t="shared" si="86"/>
        <v>Gnarly Manson</v>
      </c>
      <c r="W141" s="16">
        <f t="shared" ca="1" si="87"/>
        <v>0</v>
      </c>
      <c r="Y141" s="142">
        <f t="shared" ca="1" si="88"/>
        <v>4</v>
      </c>
      <c r="Z141" s="142">
        <f t="shared" ca="1" si="89"/>
        <v>0</v>
      </c>
      <c r="AA141" s="142">
        <f t="shared" ca="1" si="89"/>
        <v>0</v>
      </c>
      <c r="AB141" s="142">
        <f t="shared" ca="1" si="89"/>
        <v>0</v>
      </c>
      <c r="AC141" s="16">
        <f t="shared" ca="1" si="93"/>
        <v>4</v>
      </c>
      <c r="AE141" s="16">
        <f t="shared" ca="1" si="90"/>
        <v>4</v>
      </c>
      <c r="AH141" s="16">
        <f t="shared" ca="1" si="91"/>
        <v>-30</v>
      </c>
      <c r="AJ141" s="16">
        <f t="shared" ca="1" si="92"/>
        <v>-26</v>
      </c>
    </row>
    <row r="142" spans="1:37" x14ac:dyDescent="0.3">
      <c r="A142" s="131">
        <f t="shared" si="76"/>
        <v>12</v>
      </c>
      <c r="B142" s="131" t="str">
        <f t="shared" si="77"/>
        <v>36</v>
      </c>
      <c r="C142" s="131" t="str">
        <f t="shared" si="77"/>
        <v>Meanie</v>
      </c>
      <c r="D142" s="131">
        <f t="shared" ca="1" si="78"/>
        <v>0</v>
      </c>
      <c r="F142" s="142">
        <f t="shared" ca="1" si="79"/>
        <v>0</v>
      </c>
      <c r="G142" s="142">
        <f t="shared" ca="1" si="80"/>
        <v>-12</v>
      </c>
      <c r="H142" s="142">
        <f t="shared" ca="1" si="79"/>
        <v>0</v>
      </c>
      <c r="I142" s="142">
        <f t="shared" ca="1" si="79"/>
        <v>0</v>
      </c>
      <c r="J142" s="131">
        <f t="shared" ca="1" si="81"/>
        <v>-12</v>
      </c>
      <c r="L142" s="131">
        <f t="shared" ca="1" si="82"/>
        <v>-12</v>
      </c>
      <c r="O142" s="131">
        <f t="shared" ca="1" si="83"/>
        <v>0</v>
      </c>
      <c r="Q142" s="131">
        <f t="shared" ca="1" si="84"/>
        <v>-12</v>
      </c>
      <c r="T142" s="131">
        <f t="shared" si="85"/>
        <v>12</v>
      </c>
      <c r="U142" s="131" t="str">
        <f t="shared" si="86"/>
        <v>78</v>
      </c>
      <c r="V142" s="131" t="str">
        <f t="shared" si="86"/>
        <v>Debbie Scary</v>
      </c>
      <c r="W142" s="131">
        <f t="shared" ca="1" si="87"/>
        <v>0</v>
      </c>
      <c r="Y142" s="142">
        <f t="shared" ca="1" si="88"/>
        <v>0</v>
      </c>
      <c r="Z142" s="142">
        <f t="shared" ca="1" si="89"/>
        <v>0</v>
      </c>
      <c r="AA142" s="142">
        <f t="shared" ca="1" si="89"/>
        <v>0</v>
      </c>
      <c r="AB142" s="142">
        <f t="shared" ca="1" si="89"/>
        <v>-17</v>
      </c>
      <c r="AC142" s="131">
        <f t="shared" ca="1" si="93"/>
        <v>-17</v>
      </c>
      <c r="AE142" s="131">
        <f t="shared" ca="1" si="90"/>
        <v>-17</v>
      </c>
      <c r="AH142" s="131">
        <f t="shared" ca="1" si="91"/>
        <v>0</v>
      </c>
      <c r="AJ142" s="131">
        <f t="shared" ca="1" si="92"/>
        <v>-17</v>
      </c>
    </row>
    <row r="143" spans="1:37" x14ac:dyDescent="0.3">
      <c r="A143" s="16">
        <f t="shared" si="76"/>
        <v>13</v>
      </c>
      <c r="B143" s="16" t="str">
        <f t="shared" si="77"/>
        <v>64</v>
      </c>
      <c r="C143" s="16" t="str">
        <f t="shared" si="77"/>
        <v>Cruzella</v>
      </c>
      <c r="D143" s="16">
        <f t="shared" ca="1" si="78"/>
        <v>0</v>
      </c>
      <c r="F143" s="142">
        <f t="shared" ca="1" si="79"/>
        <v>0</v>
      </c>
      <c r="G143" s="142">
        <f t="shared" ca="1" si="80"/>
        <v>0</v>
      </c>
      <c r="H143" s="142">
        <f t="shared" ca="1" si="79"/>
        <v>0</v>
      </c>
      <c r="I143" s="142">
        <f t="shared" ca="1" si="79"/>
        <v>0</v>
      </c>
      <c r="J143" s="16">
        <f t="shared" ca="1" si="81"/>
        <v>0</v>
      </c>
      <c r="L143" s="16">
        <f t="shared" ca="1" si="82"/>
        <v>0</v>
      </c>
      <c r="O143" s="16">
        <f t="shared" ca="1" si="83"/>
        <v>4</v>
      </c>
      <c r="Q143" s="16">
        <f t="shared" ca="1" si="84"/>
        <v>4</v>
      </c>
      <c r="T143" s="16">
        <f t="shared" si="85"/>
        <v>13</v>
      </c>
      <c r="U143" s="16" t="str">
        <f t="shared" si="86"/>
        <v>8*</v>
      </c>
      <c r="V143" s="16" t="str">
        <f t="shared" si="86"/>
        <v>Venus Thigh Trap</v>
      </c>
      <c r="W143" s="16">
        <f t="shared" ca="1" si="87"/>
        <v>0</v>
      </c>
      <c r="Y143" s="142">
        <f t="shared" ca="1" si="88"/>
        <v>0</v>
      </c>
      <c r="Z143" s="142">
        <f t="shared" ca="1" si="89"/>
        <v>0</v>
      </c>
      <c r="AA143" s="142">
        <f t="shared" ca="1" si="89"/>
        <v>0</v>
      </c>
      <c r="AB143" s="142">
        <f t="shared" ca="1" si="89"/>
        <v>0</v>
      </c>
      <c r="AC143" s="16">
        <f t="shared" ca="1" si="93"/>
        <v>0</v>
      </c>
      <c r="AE143" s="16">
        <f t="shared" ca="1" si="90"/>
        <v>0</v>
      </c>
      <c r="AH143" s="16">
        <f t="shared" ca="1" si="91"/>
        <v>0</v>
      </c>
      <c r="AJ143" s="16">
        <f t="shared" ca="1" si="92"/>
        <v>0</v>
      </c>
    </row>
    <row r="144" spans="1:37" x14ac:dyDescent="0.3">
      <c r="A144" s="131">
        <f t="shared" si="76"/>
        <v>14</v>
      </c>
      <c r="B144" s="131" t="str">
        <f t="shared" si="77"/>
        <v>825</v>
      </c>
      <c r="C144" s="131" t="str">
        <f t="shared" si="77"/>
        <v>Rot-N 2 the Cor-E</v>
      </c>
      <c r="D144" s="131">
        <f t="shared" ca="1" si="78"/>
        <v>-2</v>
      </c>
      <c r="F144" s="142">
        <f t="shared" ca="1" si="79"/>
        <v>0</v>
      </c>
      <c r="G144" s="142">
        <f t="shared" ca="1" si="80"/>
        <v>0</v>
      </c>
      <c r="H144" s="142">
        <f t="shared" ca="1" si="79"/>
        <v>0</v>
      </c>
      <c r="I144" s="142">
        <f t="shared" ca="1" si="79"/>
        <v>0</v>
      </c>
      <c r="J144" s="131">
        <f t="shared" ca="1" si="81"/>
        <v>0</v>
      </c>
      <c r="L144" s="131">
        <f t="shared" ca="1" si="82"/>
        <v>-2</v>
      </c>
      <c r="O144" s="131">
        <f t="shared" ca="1" si="83"/>
        <v>0</v>
      </c>
      <c r="Q144" s="131">
        <f t="shared" ca="1" si="84"/>
        <v>-2</v>
      </c>
      <c r="T144" s="131">
        <f t="shared" si="85"/>
        <v>14</v>
      </c>
      <c r="U144" s="131" t="str">
        <f t="shared" si="86"/>
        <v>800</v>
      </c>
      <c r="V144" s="131" t="str">
        <f t="shared" si="86"/>
        <v>Terminate Her</v>
      </c>
      <c r="W144" s="131">
        <f t="shared" ca="1" si="87"/>
        <v>-11</v>
      </c>
      <c r="Y144" s="142">
        <f t="shared" ca="1" si="88"/>
        <v>0</v>
      </c>
      <c r="Z144" s="142">
        <f t="shared" ca="1" si="89"/>
        <v>4</v>
      </c>
      <c r="AA144" s="142">
        <f t="shared" ca="1" si="89"/>
        <v>0</v>
      </c>
      <c r="AB144" s="142">
        <f t="shared" ca="1" si="89"/>
        <v>8</v>
      </c>
      <c r="AC144" s="131">
        <f t="shared" ca="1" si="93"/>
        <v>12</v>
      </c>
      <c r="AE144" s="131">
        <f t="shared" ca="1" si="90"/>
        <v>1</v>
      </c>
      <c r="AH144" s="131">
        <f t="shared" ca="1" si="91"/>
        <v>4</v>
      </c>
      <c r="AJ144" s="131">
        <f t="shared" ca="1" si="92"/>
        <v>5</v>
      </c>
    </row>
    <row r="145" spans="1:37" x14ac:dyDescent="0.3">
      <c r="A145" s="16">
        <f t="shared" si="76"/>
        <v>15</v>
      </c>
      <c r="B145" s="16" t="str">
        <f t="shared" si="77"/>
        <v>83</v>
      </c>
      <c r="C145" s="16" t="str">
        <f t="shared" si="77"/>
        <v>Grit n Barite</v>
      </c>
      <c r="D145" s="16">
        <f t="shared" ca="1" si="78"/>
        <v>4</v>
      </c>
      <c r="F145" s="142">
        <f t="shared" ca="1" si="79"/>
        <v>0</v>
      </c>
      <c r="G145" s="142">
        <f t="shared" ca="1" si="80"/>
        <v>25</v>
      </c>
      <c r="H145" s="142">
        <f t="shared" ca="1" si="79"/>
        <v>-3</v>
      </c>
      <c r="I145" s="142">
        <f t="shared" ca="1" si="79"/>
        <v>12</v>
      </c>
      <c r="J145" s="16">
        <f t="shared" ca="1" si="81"/>
        <v>34</v>
      </c>
      <c r="L145" s="16">
        <f t="shared" ca="1" si="82"/>
        <v>38</v>
      </c>
      <c r="O145" s="16">
        <f t="shared" ca="1" si="83"/>
        <v>0</v>
      </c>
      <c r="Q145" s="16">
        <f t="shared" ca="1" si="84"/>
        <v>38</v>
      </c>
      <c r="T145" s="16">
        <f t="shared" si="85"/>
        <v>15</v>
      </c>
      <c r="U145" s="16" t="str">
        <f t="shared" si="86"/>
        <v>88*</v>
      </c>
      <c r="V145" s="16" t="str">
        <f t="shared" si="86"/>
        <v>Flux</v>
      </c>
      <c r="W145" s="16">
        <f t="shared" ca="1" si="87"/>
        <v>0</v>
      </c>
      <c r="Y145" s="142">
        <f t="shared" ca="1" si="88"/>
        <v>0</v>
      </c>
      <c r="Z145" s="142">
        <f t="shared" ca="1" si="89"/>
        <v>0</v>
      </c>
      <c r="AA145" s="142">
        <f t="shared" ca="1" si="89"/>
        <v>0</v>
      </c>
      <c r="AB145" s="142">
        <f t="shared" ca="1" si="89"/>
        <v>0</v>
      </c>
      <c r="AC145" s="16">
        <f t="shared" ca="1" si="93"/>
        <v>0</v>
      </c>
      <c r="AE145" s="16">
        <f t="shared" ca="1" si="90"/>
        <v>0</v>
      </c>
      <c r="AH145" s="16">
        <f t="shared" ca="1" si="91"/>
        <v>0</v>
      </c>
      <c r="AJ145" s="16">
        <f t="shared" ca="1" si="92"/>
        <v>0</v>
      </c>
    </row>
    <row r="146" spans="1:37" x14ac:dyDescent="0.3">
      <c r="A146" s="131">
        <f t="shared" si="76"/>
        <v>16</v>
      </c>
      <c r="B146" s="131" t="str">
        <f t="shared" si="77"/>
        <v>84</v>
      </c>
      <c r="C146" s="131" t="str">
        <f t="shared" si="77"/>
        <v>Phoenix</v>
      </c>
      <c r="D146" s="131">
        <f t="shared" ca="1" si="78"/>
        <v>32</v>
      </c>
      <c r="F146" s="142">
        <f t="shared" ca="1" si="79"/>
        <v>0</v>
      </c>
      <c r="G146" s="142">
        <f t="shared" ca="1" si="80"/>
        <v>8</v>
      </c>
      <c r="H146" s="142">
        <f t="shared" ca="1" si="79"/>
        <v>0</v>
      </c>
      <c r="I146" s="142">
        <f t="shared" ca="1" si="79"/>
        <v>0</v>
      </c>
      <c r="J146" s="131">
        <f t="shared" ca="1" si="81"/>
        <v>8</v>
      </c>
      <c r="L146" s="131">
        <f t="shared" ca="1" si="82"/>
        <v>40</v>
      </c>
      <c r="O146" s="131">
        <f t="shared" ca="1" si="83"/>
        <v>4</v>
      </c>
      <c r="Q146" s="131">
        <f t="shared" ca="1" si="84"/>
        <v>44</v>
      </c>
      <c r="T146" s="131">
        <f t="shared" si="85"/>
        <v>16</v>
      </c>
      <c r="U146" s="131" t="str">
        <f t="shared" si="86"/>
        <v>911</v>
      </c>
      <c r="V146" s="131" t="str">
        <f t="shared" si="86"/>
        <v>Annie Mergency</v>
      </c>
      <c r="W146" s="131">
        <f t="shared" ca="1" si="87"/>
        <v>6</v>
      </c>
      <c r="Y146" s="142">
        <f t="shared" ca="1" si="88"/>
        <v>0</v>
      </c>
      <c r="Z146" s="142">
        <f t="shared" ca="1" si="89"/>
        <v>0</v>
      </c>
      <c r="AA146" s="142">
        <f t="shared" ca="1" si="89"/>
        <v>-8</v>
      </c>
      <c r="AB146" s="142">
        <f t="shared" ca="1" si="89"/>
        <v>-6</v>
      </c>
      <c r="AC146" s="131">
        <f t="shared" ca="1" si="93"/>
        <v>-14</v>
      </c>
      <c r="AE146" s="131">
        <f t="shared" ca="1" si="90"/>
        <v>-8</v>
      </c>
      <c r="AH146" s="131">
        <f t="shared" ca="1" si="91"/>
        <v>4</v>
      </c>
      <c r="AJ146" s="131">
        <f t="shared" ca="1" si="92"/>
        <v>-4</v>
      </c>
    </row>
    <row r="147" spans="1:37" x14ac:dyDescent="0.3">
      <c r="A147" s="16">
        <f t="shared" si="76"/>
        <v>17</v>
      </c>
      <c r="B147" s="16" t="str">
        <f t="shared" si="77"/>
        <v>86</v>
      </c>
      <c r="C147" s="16" t="str">
        <f t="shared" si="77"/>
        <v>P.T.S.D.</v>
      </c>
      <c r="D147" s="16">
        <f t="shared" ca="1" si="78"/>
        <v>0</v>
      </c>
      <c r="F147" s="142">
        <f t="shared" ca="1" si="79"/>
        <v>0</v>
      </c>
      <c r="G147" s="142">
        <f t="shared" ca="1" si="80"/>
        <v>-1</v>
      </c>
      <c r="H147" s="142">
        <f t="shared" ca="1" si="79"/>
        <v>0</v>
      </c>
      <c r="I147" s="142">
        <f t="shared" ca="1" si="79"/>
        <v>0</v>
      </c>
      <c r="J147" s="16">
        <f t="shared" ca="1" si="81"/>
        <v>-1</v>
      </c>
      <c r="L147" s="16">
        <f t="shared" ca="1" si="82"/>
        <v>-1</v>
      </c>
      <c r="O147" s="16">
        <f t="shared" ca="1" si="83"/>
        <v>0</v>
      </c>
      <c r="Q147" s="16">
        <f t="shared" ca="1" si="84"/>
        <v>-1</v>
      </c>
      <c r="T147" s="16">
        <f t="shared" si="85"/>
        <v>17</v>
      </c>
      <c r="U147" s="16" t="str">
        <f t="shared" si="86"/>
        <v>94</v>
      </c>
      <c r="V147" s="16" t="str">
        <f t="shared" si="86"/>
        <v>The Kraken</v>
      </c>
      <c r="W147" s="16">
        <f t="shared" ca="1" si="87"/>
        <v>0</v>
      </c>
      <c r="Y147" s="142">
        <f t="shared" ca="1" si="88"/>
        <v>0</v>
      </c>
      <c r="Z147" s="142">
        <f t="shared" ca="1" si="89"/>
        <v>0</v>
      </c>
      <c r="AA147" s="142">
        <f t="shared" ca="1" si="89"/>
        <v>1</v>
      </c>
      <c r="AB147" s="142">
        <f t="shared" ca="1" si="89"/>
        <v>0</v>
      </c>
      <c r="AC147" s="16">
        <f t="shared" ca="1" si="93"/>
        <v>1</v>
      </c>
      <c r="AE147" s="16">
        <f t="shared" ca="1" si="90"/>
        <v>1</v>
      </c>
      <c r="AH147" s="16">
        <f t="shared" ca="1" si="91"/>
        <v>0</v>
      </c>
      <c r="AJ147" s="16">
        <f t="shared" ca="1" si="92"/>
        <v>1</v>
      </c>
    </row>
    <row r="148" spans="1:37" x14ac:dyDescent="0.3">
      <c r="A148" s="131">
        <f t="shared" si="76"/>
        <v>18</v>
      </c>
      <c r="B148" s="131" t="str">
        <f t="shared" si="77"/>
        <v/>
      </c>
      <c r="C148" s="131" t="str">
        <f t="shared" si="77"/>
        <v/>
      </c>
      <c r="D148" s="131" t="str">
        <f t="shared" si="78"/>
        <v/>
      </c>
      <c r="F148" s="142" t="str">
        <f t="shared" si="79"/>
        <v/>
      </c>
      <c r="G148" s="142" t="str">
        <f t="shared" si="80"/>
        <v/>
      </c>
      <c r="H148" s="142" t="str">
        <f t="shared" si="79"/>
        <v/>
      </c>
      <c r="I148" s="142" t="str">
        <f t="shared" si="79"/>
        <v/>
      </c>
      <c r="J148" s="131" t="str">
        <f t="shared" si="81"/>
        <v/>
      </c>
      <c r="L148" s="131" t="str">
        <f t="shared" si="82"/>
        <v/>
      </c>
      <c r="O148" s="131" t="str">
        <f t="shared" si="83"/>
        <v/>
      </c>
      <c r="Q148" s="131" t="str">
        <f t="shared" si="84"/>
        <v/>
      </c>
      <c r="T148" s="131">
        <f t="shared" si="85"/>
        <v>18</v>
      </c>
      <c r="U148" s="131" t="str">
        <f t="shared" si="86"/>
        <v/>
      </c>
      <c r="V148" s="131" t="str">
        <f t="shared" si="86"/>
        <v/>
      </c>
      <c r="W148" s="131" t="str">
        <f t="shared" si="87"/>
        <v/>
      </c>
      <c r="Y148" s="142" t="str">
        <f t="shared" si="88"/>
        <v/>
      </c>
      <c r="Z148" s="142" t="str">
        <f t="shared" si="89"/>
        <v/>
      </c>
      <c r="AA148" s="142" t="str">
        <f t="shared" si="89"/>
        <v/>
      </c>
      <c r="AB148" s="142" t="str">
        <f t="shared" si="89"/>
        <v/>
      </c>
      <c r="AC148" s="131" t="str">
        <f t="shared" si="93"/>
        <v/>
      </c>
      <c r="AE148" s="131" t="str">
        <f t="shared" si="90"/>
        <v/>
      </c>
      <c r="AH148" s="131" t="str">
        <f t="shared" si="91"/>
        <v/>
      </c>
      <c r="AJ148" s="131" t="str">
        <f t="shared" si="92"/>
        <v/>
      </c>
    </row>
    <row r="149" spans="1:37" x14ac:dyDescent="0.3">
      <c r="A149" s="16">
        <f t="shared" si="76"/>
        <v>19</v>
      </c>
      <c r="B149" s="16" t="str">
        <f t="shared" si="77"/>
        <v/>
      </c>
      <c r="C149" s="16" t="str">
        <f t="shared" si="77"/>
        <v/>
      </c>
      <c r="D149" s="16" t="str">
        <f t="shared" si="78"/>
        <v/>
      </c>
      <c r="F149" s="142" t="str">
        <f t="shared" si="79"/>
        <v/>
      </c>
      <c r="G149" s="142" t="str">
        <f t="shared" si="80"/>
        <v/>
      </c>
      <c r="H149" s="142" t="str">
        <f t="shared" si="79"/>
        <v/>
      </c>
      <c r="I149" s="142" t="str">
        <f t="shared" si="79"/>
        <v/>
      </c>
      <c r="J149" s="16" t="str">
        <f t="shared" si="81"/>
        <v/>
      </c>
      <c r="L149" s="16" t="str">
        <f t="shared" si="82"/>
        <v/>
      </c>
      <c r="O149" s="16" t="str">
        <f t="shared" si="83"/>
        <v/>
      </c>
      <c r="Q149" s="16" t="str">
        <f t="shared" si="84"/>
        <v/>
      </c>
      <c r="T149" s="16">
        <f t="shared" si="85"/>
        <v>19</v>
      </c>
      <c r="U149" s="16" t="str">
        <f t="shared" si="86"/>
        <v/>
      </c>
      <c r="V149" s="16" t="str">
        <f t="shared" si="86"/>
        <v/>
      </c>
      <c r="W149" s="16" t="str">
        <f t="shared" si="87"/>
        <v/>
      </c>
      <c r="Y149" s="142" t="str">
        <f t="shared" si="88"/>
        <v/>
      </c>
      <c r="Z149" s="142" t="str">
        <f t="shared" si="89"/>
        <v/>
      </c>
      <c r="AA149" s="142" t="str">
        <f t="shared" si="89"/>
        <v/>
      </c>
      <c r="AB149" s="142" t="str">
        <f t="shared" si="89"/>
        <v/>
      </c>
      <c r="AC149" s="16" t="str">
        <f t="shared" si="93"/>
        <v/>
      </c>
      <c r="AE149" s="16" t="str">
        <f t="shared" si="90"/>
        <v/>
      </c>
      <c r="AH149" s="16" t="str">
        <f t="shared" si="91"/>
        <v/>
      </c>
      <c r="AJ149" s="16" t="str">
        <f t="shared" si="92"/>
        <v/>
      </c>
    </row>
    <row r="150" spans="1:37" x14ac:dyDescent="0.3">
      <c r="A150" s="131">
        <f t="shared" si="76"/>
        <v>20</v>
      </c>
      <c r="B150" s="131" t="str">
        <f t="shared" si="77"/>
        <v/>
      </c>
      <c r="C150" s="131" t="str">
        <f t="shared" si="77"/>
        <v/>
      </c>
      <c r="D150" s="131" t="str">
        <f t="shared" si="78"/>
        <v/>
      </c>
      <c r="F150" s="142" t="str">
        <f t="shared" si="79"/>
        <v/>
      </c>
      <c r="G150" s="142" t="str">
        <f t="shared" si="80"/>
        <v/>
      </c>
      <c r="H150" s="142" t="str">
        <f t="shared" si="79"/>
        <v/>
      </c>
      <c r="I150" s="142" t="str">
        <f t="shared" si="79"/>
        <v/>
      </c>
      <c r="J150" s="131" t="str">
        <f t="shared" si="81"/>
        <v/>
      </c>
      <c r="L150" s="131" t="str">
        <f t="shared" si="82"/>
        <v/>
      </c>
      <c r="O150" s="131" t="str">
        <f t="shared" si="83"/>
        <v/>
      </c>
      <c r="Q150" s="131" t="str">
        <f t="shared" si="84"/>
        <v/>
      </c>
      <c r="T150" s="131">
        <f t="shared" si="85"/>
        <v>20</v>
      </c>
      <c r="U150" s="131" t="str">
        <f t="shared" si="86"/>
        <v/>
      </c>
      <c r="V150" s="131" t="str">
        <f t="shared" si="86"/>
        <v/>
      </c>
      <c r="W150" s="131" t="str">
        <f t="shared" si="87"/>
        <v/>
      </c>
      <c r="Y150" s="142" t="str">
        <f t="shared" si="88"/>
        <v/>
      </c>
      <c r="Z150" s="142" t="str">
        <f t="shared" si="89"/>
        <v/>
      </c>
      <c r="AA150" s="142" t="str">
        <f t="shared" si="89"/>
        <v/>
      </c>
      <c r="AB150" s="142" t="str">
        <f t="shared" si="89"/>
        <v/>
      </c>
      <c r="AC150" s="131" t="str">
        <f t="shared" si="93"/>
        <v/>
      </c>
      <c r="AE150" s="131" t="str">
        <f t="shared" si="90"/>
        <v/>
      </c>
      <c r="AH150" s="131" t="str">
        <f t="shared" si="91"/>
        <v/>
      </c>
      <c r="AJ150" s="131" t="str">
        <f t="shared" si="92"/>
        <v/>
      </c>
    </row>
    <row r="152" spans="1:37" x14ac:dyDescent="0.3">
      <c r="A152" s="1200" t="s">
        <v>41</v>
      </c>
      <c r="B152" s="1200"/>
      <c r="C152" s="1200"/>
      <c r="D152" s="93"/>
      <c r="E152" s="93"/>
      <c r="F152" s="93"/>
      <c r="G152" s="93"/>
      <c r="H152" s="93"/>
      <c r="I152" s="93"/>
      <c r="J152" s="93"/>
      <c r="K152" s="93"/>
      <c r="L152" s="93"/>
      <c r="M152" s="93"/>
      <c r="N152" s="93"/>
      <c r="O152" s="93"/>
      <c r="P152" s="93"/>
      <c r="Q152" s="93"/>
      <c r="R152" s="93"/>
      <c r="T152" s="1200" t="s">
        <v>41</v>
      </c>
      <c r="U152" s="1200"/>
      <c r="V152" s="1200"/>
      <c r="W152" s="93"/>
      <c r="X152" s="93"/>
      <c r="Y152" s="93"/>
      <c r="Z152" s="93"/>
      <c r="AA152" s="93"/>
      <c r="AB152" s="93"/>
      <c r="AC152" s="93"/>
      <c r="AD152" s="93"/>
      <c r="AE152" s="93"/>
      <c r="AF152" s="93"/>
      <c r="AG152" s="93"/>
      <c r="AH152" s="93"/>
      <c r="AI152" s="93"/>
      <c r="AJ152" s="93"/>
      <c r="AK152" s="93"/>
    </row>
    <row r="153" spans="1:37" x14ac:dyDescent="0.3">
      <c r="A153" s="136">
        <v>0</v>
      </c>
      <c r="B153" s="136" t="s">
        <v>24</v>
      </c>
      <c r="C153" s="136" t="s">
        <v>25</v>
      </c>
      <c r="D153" s="136" t="s">
        <v>103</v>
      </c>
      <c r="E153" s="16"/>
      <c r="F153" s="141" t="s">
        <v>104</v>
      </c>
      <c r="G153" s="141" t="s">
        <v>104</v>
      </c>
      <c r="H153" s="141" t="s">
        <v>104</v>
      </c>
      <c r="I153" s="141" t="s">
        <v>104</v>
      </c>
      <c r="J153" s="136" t="s">
        <v>34</v>
      </c>
      <c r="K153" s="16"/>
      <c r="L153" s="136" t="s">
        <v>36</v>
      </c>
      <c r="M153" s="16"/>
      <c r="N153" s="138" t="s">
        <v>13</v>
      </c>
      <c r="O153" s="136" t="s">
        <v>105</v>
      </c>
      <c r="P153" s="16"/>
      <c r="Q153" s="136" t="s">
        <v>7</v>
      </c>
      <c r="R153" s="16"/>
      <c r="T153" s="136">
        <v>0</v>
      </c>
      <c r="U153" s="136" t="s">
        <v>24</v>
      </c>
      <c r="V153" s="136" t="s">
        <v>25</v>
      </c>
      <c r="W153" s="136" t="s">
        <v>103</v>
      </c>
      <c r="X153" s="16"/>
      <c r="Y153" s="141" t="s">
        <v>104</v>
      </c>
      <c r="Z153" s="141" t="s">
        <v>104</v>
      </c>
      <c r="AA153" s="141" t="s">
        <v>104</v>
      </c>
      <c r="AB153" s="141" t="s">
        <v>104</v>
      </c>
      <c r="AC153" s="136" t="s">
        <v>34</v>
      </c>
      <c r="AD153" s="16"/>
      <c r="AE153" s="136" t="s">
        <v>36</v>
      </c>
      <c r="AF153" s="16"/>
      <c r="AG153" s="138" t="s">
        <v>13</v>
      </c>
      <c r="AH153" s="136" t="s">
        <v>105</v>
      </c>
      <c r="AI153" s="16"/>
      <c r="AJ153" s="136" t="s">
        <v>7</v>
      </c>
      <c r="AK153" s="16"/>
    </row>
    <row r="154" spans="1:37" x14ac:dyDescent="0.3">
      <c r="A154" s="16">
        <f t="shared" ref="A154:A173" si="94">A153+1</f>
        <v>1</v>
      </c>
      <c r="B154" s="16" t="str">
        <f t="shared" ref="B154:C173" si="95">B108</f>
        <v>101</v>
      </c>
      <c r="C154" s="16" t="str">
        <f t="shared" si="95"/>
        <v>Jackie Treehorn</v>
      </c>
      <c r="D154" s="16">
        <f ca="1">IF($B154="","",SUMPRODUCT(--(Lineups!G$46:G$83=$B154),--(Lineups!B$46:B$83=""),Lineups!$W$46:$W$83))</f>
        <v>0</v>
      </c>
      <c r="F154" s="142">
        <f ca="1">IF($B154="","",SUMPRODUCT(--(Lineups!G$46:G$83=$B154),--(Lineups!B$46:B$83="X"),Lineups!$W$46:$W$83))</f>
        <v>0</v>
      </c>
      <c r="G154" s="142">
        <f ca="1">IF($B154="","",SUMPRODUCT(--(Lineups!$K$46:$K$83=$B154),Lineups!$W$46:$W$83))</f>
        <v>0</v>
      </c>
      <c r="H154" s="142">
        <f ca="1">IF($B154="","",SUMPRODUCT(--(Lineups!$O$46:$O$83=$B154),Lineups!$W$46:$W$83))</f>
        <v>8</v>
      </c>
      <c r="I154" s="142">
        <f ca="1">IF($B154="","",SUMPRODUCT(--(Lineups!$S$46:$S$83=$B154),Lineups!$W$46:$W$83))</f>
        <v>37</v>
      </c>
      <c r="J154" s="16">
        <f t="shared" ref="J154:J173" ca="1" si="96">IF(B154="","",SUM(F154:I154))</f>
        <v>45</v>
      </c>
      <c r="L154" s="16">
        <f t="shared" ref="L154:L173" ca="1" si="97">IF(B154="","",SUM(D154,J154))</f>
        <v>45</v>
      </c>
      <c r="O154" s="16">
        <f ca="1">IF($B154="","",SUMPRODUCT(--(Lineups!$C$46:$C$83=$B154),Lineups!$W$46:$W$83))</f>
        <v>0</v>
      </c>
      <c r="Q154" s="16">
        <f t="shared" ref="Q154:Q173" ca="1" si="98">IF(B154="","",SUM(L154,O154))</f>
        <v>45</v>
      </c>
      <c r="T154" s="16">
        <f t="shared" ref="T154:T173" si="99">T153+1</f>
        <v>1</v>
      </c>
      <c r="U154" s="16" t="str">
        <f t="shared" ref="U154:V173" si="100">U108</f>
        <v>12</v>
      </c>
      <c r="V154" s="16" t="str">
        <f t="shared" si="100"/>
        <v>Zorra</v>
      </c>
      <c r="W154" s="16">
        <f ca="1">IF($U154="","",SUMPRODUCT(--(Lineups!$AG$46:$AG$83=$U154),--(Lineups!$AB$46:$AB$83=""),Lineups!$AW$46:$AW$83))</f>
        <v>4</v>
      </c>
      <c r="Y154" s="142">
        <f ca="1">IF($U154="","",SUMPRODUCT(--(Lineups!$AG$46:$AG$83=$U154),--(Lineups!$AB$46:$AB$83="X"),Lineups!$AW$46:$AW$83))</f>
        <v>0</v>
      </c>
      <c r="Z154" s="142">
        <f ca="1">IF($U154="","",SUMPRODUCT(--(Lineups!$AK$46:$AK$83=$U154),Lineups!$AW$46:$AW$83))</f>
        <v>0</v>
      </c>
      <c r="AA154" s="142">
        <f ca="1">IF($U154="","",SUMPRODUCT(--(Lineups!$AO$46:$AO$83=$U154),Lineups!$AW$46:$AW$83))</f>
        <v>0</v>
      </c>
      <c r="AB154" s="142">
        <f ca="1">IF($U154="","",SUMPRODUCT(--(Lineups!$AS$46:$AS$83=$U154),Lineups!$AW$46:$AW$83))</f>
        <v>0</v>
      </c>
      <c r="AC154" s="16">
        <f t="shared" ref="AC154:AC173" ca="1" si="101">IF(U154="",0,SUM(Y154:AB154))</f>
        <v>0</v>
      </c>
      <c r="AE154" s="16">
        <f t="shared" ref="AE154:AE173" ca="1" si="102">IF(U154="","",SUM(W154,AC154))</f>
        <v>4</v>
      </c>
      <c r="AH154" s="16">
        <f ca="1">IF($U154="","",SUMPRODUCT(--(Lineups!$AC$46:$AC$83=$U154),Lineups!$AW$46:$AW$83))</f>
        <v>24</v>
      </c>
      <c r="AJ154" s="16">
        <f t="shared" ref="AJ154:AJ173" ca="1" si="103">IF(U154="","",SUM(AE154,AH154))</f>
        <v>28</v>
      </c>
    </row>
    <row r="155" spans="1:37" x14ac:dyDescent="0.3">
      <c r="A155" s="131">
        <f t="shared" si="94"/>
        <v>2</v>
      </c>
      <c r="B155" s="131" t="str">
        <f t="shared" si="95"/>
        <v>123</v>
      </c>
      <c r="C155" s="131" t="str">
        <f t="shared" si="95"/>
        <v>Bacon 4 Mercy</v>
      </c>
      <c r="D155" s="131">
        <f ca="1">IF($B155="","",SUMPRODUCT(--(Lineups!G$46:G$83=$B155),--(Lineups!B$46:B$83=""),Lineups!$W$46:$W$83))</f>
        <v>0</v>
      </c>
      <c r="F155" s="142">
        <f ca="1">IF($B155="","",SUMPRODUCT(--(Lineups!G$46:G$83=$B155),--(Lineups!B$46:B$83="X"),Lineups!$W$46:$W$83))</f>
        <v>0</v>
      </c>
      <c r="G155" s="142">
        <f ca="1">IF($B155="","",SUMPRODUCT(--(Lineups!$K$46:$K$83=$B155),Lineups!$W$46:$W$83))</f>
        <v>0</v>
      </c>
      <c r="H155" s="142">
        <f ca="1">IF($B155="","",SUMPRODUCT(--(Lineups!$O$46:$O$83=$B155),Lineups!$W$46:$W$83))</f>
        <v>0</v>
      </c>
      <c r="I155" s="142">
        <f ca="1">IF($B155="","",SUMPRODUCT(--(Lineups!$S$46:$S$83=$B155),Lineups!$W$46:$W$83))</f>
        <v>0</v>
      </c>
      <c r="J155" s="131">
        <f t="shared" ca="1" si="96"/>
        <v>0</v>
      </c>
      <c r="L155" s="131">
        <f t="shared" ca="1" si="97"/>
        <v>0</v>
      </c>
      <c r="O155" s="131">
        <f ca="1">IF($B155="","",SUMPRODUCT(--(Lineups!$C$46:$C$83=$B155),Lineups!$W$46:$W$83))</f>
        <v>10</v>
      </c>
      <c r="Q155" s="131">
        <f t="shared" ca="1" si="98"/>
        <v>10</v>
      </c>
      <c r="T155" s="131">
        <f t="shared" si="99"/>
        <v>2</v>
      </c>
      <c r="U155" s="131" t="str">
        <f t="shared" si="100"/>
        <v>16</v>
      </c>
      <c r="V155" s="131" t="str">
        <f t="shared" si="100"/>
        <v>Dodge n Burn</v>
      </c>
      <c r="W155" s="131">
        <f ca="1">IF($U155="","",SUMPRODUCT(--(Lineups!$AG$46:$AG$83=$U155),--(Lineups!$AB$46:$AB$83=""),Lineups!$AW$46:$AW$83))</f>
        <v>0</v>
      </c>
      <c r="Y155" s="142">
        <f ca="1">IF($U155="","",SUMPRODUCT(--(Lineups!$AG$46:$AG$83=$U155),--(Lineups!$AB$46:$AB$83="X"),Lineups!$AW$46:$AW$83))</f>
        <v>0</v>
      </c>
      <c r="Z155" s="142">
        <f ca="1">IF($U155="","",SUMPRODUCT(--(Lineups!$AK$46:$AK$83=$U155),Lineups!$AW$46:$AW$83))</f>
        <v>0</v>
      </c>
      <c r="AA155" s="142">
        <f ca="1">IF($U155="","",SUMPRODUCT(--(Lineups!$AO$46:$AO$83=$U155),Lineups!$AW$46:$AW$83))</f>
        <v>0</v>
      </c>
      <c r="AB155" s="142">
        <f ca="1">IF($U155="","",SUMPRODUCT(--(Lineups!$AS$46:$AS$83=$U155),Lineups!$AW$46:$AW$83))</f>
        <v>0</v>
      </c>
      <c r="AC155" s="131">
        <f t="shared" ca="1" si="101"/>
        <v>0</v>
      </c>
      <c r="AE155" s="131">
        <f t="shared" ca="1" si="102"/>
        <v>0</v>
      </c>
      <c r="AH155" s="131">
        <f ca="1">IF($U155="","",SUMPRODUCT(--(Lineups!$AC$46:$AC$83=$U155),Lineups!$AW$46:$AW$83))</f>
        <v>0</v>
      </c>
      <c r="AJ155" s="131">
        <f t="shared" ca="1" si="103"/>
        <v>0</v>
      </c>
    </row>
    <row r="156" spans="1:37" x14ac:dyDescent="0.3">
      <c r="A156" s="16">
        <f t="shared" si="94"/>
        <v>3</v>
      </c>
      <c r="B156" s="16" t="str">
        <f t="shared" si="95"/>
        <v>1760</v>
      </c>
      <c r="C156" s="16" t="str">
        <f t="shared" si="95"/>
        <v>By O. Hazard</v>
      </c>
      <c r="D156" s="16">
        <f ca="1">IF($B156="","",SUMPRODUCT(--(Lineups!G$46:G$83=$B156),--(Lineups!B$46:B$83=""),Lineups!$W$46:$W$83))</f>
        <v>34</v>
      </c>
      <c r="F156" s="142">
        <f ca="1">IF($B156="","",SUMPRODUCT(--(Lineups!G$46:G$83=$B156),--(Lineups!B$46:B$83="X"),Lineups!$W$46:$W$83))</f>
        <v>0</v>
      </c>
      <c r="G156" s="142">
        <f ca="1">IF($B156="","",SUMPRODUCT(--(Lineups!$K$46:$K$83=$B156),Lineups!$W$46:$W$83))</f>
        <v>4</v>
      </c>
      <c r="H156" s="142">
        <f ca="1">IF($B156="","",SUMPRODUCT(--(Lineups!$O$46:$O$83=$B156),Lineups!$W$46:$W$83))</f>
        <v>0</v>
      </c>
      <c r="I156" s="142">
        <f ca="1">IF($B156="","",SUMPRODUCT(--(Lineups!$S$46:$S$83=$B156),Lineups!$W$46:$W$83))</f>
        <v>6</v>
      </c>
      <c r="J156" s="16">
        <f t="shared" ca="1" si="96"/>
        <v>10</v>
      </c>
      <c r="L156" s="16">
        <f t="shared" ca="1" si="97"/>
        <v>44</v>
      </c>
      <c r="O156" s="16">
        <f ca="1">IF($B156="","",SUMPRODUCT(--(Lineups!$C$46:$C$83=$B156),Lineups!$W$46:$W$83))</f>
        <v>0</v>
      </c>
      <c r="Q156" s="16">
        <f t="shared" ca="1" si="98"/>
        <v>44</v>
      </c>
      <c r="T156" s="16">
        <f t="shared" si="99"/>
        <v>3</v>
      </c>
      <c r="U156" s="16" t="str">
        <f t="shared" si="100"/>
        <v>17</v>
      </c>
      <c r="V156" s="16" t="str">
        <f t="shared" si="100"/>
        <v>Yinzey Lohan</v>
      </c>
      <c r="W156" s="16">
        <f ca="1">IF($U156="","",SUMPRODUCT(--(Lineups!$AG$46:$AG$83=$U156),--(Lineups!$AB$46:$AB$83=""),Lineups!$AW$46:$AW$83))</f>
        <v>0</v>
      </c>
      <c r="Y156" s="142">
        <f ca="1">IF($U156="","",SUMPRODUCT(--(Lineups!$AG$46:$AG$83=$U156),--(Lineups!$AB$46:$AB$83="X"),Lineups!$AW$46:$AW$83))</f>
        <v>0</v>
      </c>
      <c r="Z156" s="142">
        <f ca="1">IF($U156="","",SUMPRODUCT(--(Lineups!$AK$46:$AK$83=$U156),Lineups!$AW$46:$AW$83))</f>
        <v>15</v>
      </c>
      <c r="AA156" s="142">
        <f ca="1">IF($U156="","",SUMPRODUCT(--(Lineups!$AO$46:$AO$83=$U156),Lineups!$AW$46:$AW$83))</f>
        <v>0</v>
      </c>
      <c r="AB156" s="142">
        <f ca="1">IF($U156="","",SUMPRODUCT(--(Lineups!$AS$46:$AS$83=$U156),Lineups!$AW$46:$AW$83))</f>
        <v>4</v>
      </c>
      <c r="AC156" s="16">
        <f t="shared" ca="1" si="101"/>
        <v>19</v>
      </c>
      <c r="AE156" s="16">
        <f t="shared" ca="1" si="102"/>
        <v>19</v>
      </c>
      <c r="AH156" s="16">
        <f ca="1">IF($U156="","",SUMPRODUCT(--(Lineups!$AC$46:$AC$83=$U156),Lineups!$AW$46:$AW$83))</f>
        <v>0</v>
      </c>
      <c r="AJ156" s="16">
        <f t="shared" ca="1" si="103"/>
        <v>19</v>
      </c>
    </row>
    <row r="157" spans="1:37" x14ac:dyDescent="0.3">
      <c r="A157" s="131">
        <f t="shared" si="94"/>
        <v>4</v>
      </c>
      <c r="B157" s="131" t="str">
        <f t="shared" si="95"/>
        <v>202</v>
      </c>
      <c r="C157" s="131" t="str">
        <f t="shared" si="95"/>
        <v>Thai-GRRR</v>
      </c>
      <c r="D157" s="131">
        <f ca="1">IF($B157="","",SUMPRODUCT(--(Lineups!G$46:G$83=$B157),--(Lineups!B$46:B$83=""),Lineups!$W$46:$W$83))</f>
        <v>0</v>
      </c>
      <c r="F157" s="142">
        <f ca="1">IF($B157="","",SUMPRODUCT(--(Lineups!G$46:G$83=$B157),--(Lineups!B$46:B$83="X"),Lineups!$W$46:$W$83))</f>
        <v>0</v>
      </c>
      <c r="G157" s="142">
        <f ca="1">IF($B157="","",SUMPRODUCT(--(Lineups!$K$46:$K$83=$B157),Lineups!$W$46:$W$83))</f>
        <v>0</v>
      </c>
      <c r="H157" s="142">
        <f ca="1">IF($B157="","",SUMPRODUCT(--(Lineups!$O$46:$O$83=$B157),Lineups!$W$46:$W$83))</f>
        <v>0</v>
      </c>
      <c r="I157" s="142">
        <f ca="1">IF($B157="","",SUMPRODUCT(--(Lineups!$S$46:$S$83=$B157),Lineups!$W$46:$W$83))</f>
        <v>0</v>
      </c>
      <c r="J157" s="131">
        <f t="shared" ca="1" si="96"/>
        <v>0</v>
      </c>
      <c r="L157" s="131">
        <f t="shared" ca="1" si="97"/>
        <v>0</v>
      </c>
      <c r="O157" s="131">
        <f ca="1">IF($B157="","",SUMPRODUCT(--(Lineups!$C$46:$C$83=$B157),Lineups!$W$46:$W$83))</f>
        <v>34</v>
      </c>
      <c r="Q157" s="131">
        <f t="shared" ca="1" si="98"/>
        <v>34</v>
      </c>
      <c r="T157" s="131">
        <f t="shared" si="99"/>
        <v>4</v>
      </c>
      <c r="U157" s="131" t="str">
        <f t="shared" si="100"/>
        <v>2</v>
      </c>
      <c r="V157" s="131" t="str">
        <f t="shared" si="100"/>
        <v>Stark Raven</v>
      </c>
      <c r="W157" s="131">
        <f ca="1">IF($U157="","",SUMPRODUCT(--(Lineups!$AG$46:$AG$83=$U157),--(Lineups!$AB$46:$AB$83=""),Lineups!$AW$46:$AW$83))</f>
        <v>0</v>
      </c>
      <c r="Y157" s="142">
        <f ca="1">IF($U157="","",SUMPRODUCT(--(Lineups!$AG$46:$AG$83=$U157),--(Lineups!$AB$46:$AB$83="X"),Lineups!$AW$46:$AW$83))</f>
        <v>0</v>
      </c>
      <c r="Z157" s="142">
        <f ca="1">IF($U157="","",SUMPRODUCT(--(Lineups!$AK$46:$AK$83=$U157),Lineups!$AW$46:$AW$83))</f>
        <v>29</v>
      </c>
      <c r="AA157" s="142">
        <f ca="1">IF($U157="","",SUMPRODUCT(--(Lineups!$AO$46:$AO$83=$U157),Lineups!$AW$46:$AW$83))</f>
        <v>4</v>
      </c>
      <c r="AB157" s="142">
        <f ca="1">IF($U157="","",SUMPRODUCT(--(Lineups!$AS$46:$AS$83=$U157),Lineups!$AW$46:$AW$83))</f>
        <v>0</v>
      </c>
      <c r="AC157" s="131">
        <f t="shared" ca="1" si="101"/>
        <v>33</v>
      </c>
      <c r="AE157" s="131">
        <f t="shared" ca="1" si="102"/>
        <v>33</v>
      </c>
      <c r="AH157" s="131">
        <f ca="1">IF($U157="","",SUMPRODUCT(--(Lineups!$AC$46:$AC$83=$U157),Lineups!$AW$46:$AW$83))</f>
        <v>0</v>
      </c>
      <c r="AJ157" s="131">
        <f t="shared" ca="1" si="103"/>
        <v>33</v>
      </c>
    </row>
    <row r="158" spans="1:37" x14ac:dyDescent="0.3">
      <c r="A158" s="16">
        <f t="shared" si="94"/>
        <v>5</v>
      </c>
      <c r="B158" s="16" t="str">
        <f t="shared" si="95"/>
        <v>22</v>
      </c>
      <c r="C158" s="16" t="str">
        <f t="shared" si="95"/>
        <v>Jen Hex</v>
      </c>
      <c r="D158" s="16">
        <f ca="1">IF($B158="","",SUMPRODUCT(--(Lineups!G$46:G$83=$B158),--(Lineups!B$46:B$83=""),Lineups!$W$46:$W$83))</f>
        <v>0</v>
      </c>
      <c r="F158" s="142">
        <f ca="1">IF($B158="","",SUMPRODUCT(--(Lineups!G$46:G$83=$B158),--(Lineups!B$46:B$83="X"),Lineups!$W$46:$W$83))</f>
        <v>0</v>
      </c>
      <c r="G158" s="142">
        <f ca="1">IF($B158="","",SUMPRODUCT(--(Lineups!$K$46:$K$83=$B158),Lineups!$W$46:$W$83))</f>
        <v>0</v>
      </c>
      <c r="H158" s="142">
        <f ca="1">IF($B158="","",SUMPRODUCT(--(Lineups!$O$46:$O$83=$B158),Lineups!$W$46:$W$83))</f>
        <v>0</v>
      </c>
      <c r="I158" s="142">
        <f ca="1">IF($B158="","",SUMPRODUCT(--(Lineups!$S$46:$S$83=$B158),Lineups!$W$46:$W$83))</f>
        <v>0</v>
      </c>
      <c r="J158" s="16">
        <f t="shared" ca="1" si="96"/>
        <v>0</v>
      </c>
      <c r="L158" s="16">
        <f t="shared" ca="1" si="97"/>
        <v>0</v>
      </c>
      <c r="O158" s="16">
        <f ca="1">IF($B158="","",SUMPRODUCT(--(Lineups!$C$46:$C$83=$B158),Lineups!$W$46:$W$83))</f>
        <v>0</v>
      </c>
      <c r="Q158" s="16">
        <f t="shared" ca="1" si="98"/>
        <v>0</v>
      </c>
      <c r="T158" s="16">
        <f t="shared" si="99"/>
        <v>5</v>
      </c>
      <c r="U158" s="16" t="str">
        <f t="shared" si="100"/>
        <v>219</v>
      </c>
      <c r="V158" s="16" t="str">
        <f t="shared" si="100"/>
        <v>Dakota Slamming</v>
      </c>
      <c r="W158" s="16">
        <f ca="1">IF($U158="","",SUMPRODUCT(--(Lineups!$AG$46:$AG$83=$U158),--(Lineups!$AB$46:$AB$83=""),Lineups!$AW$46:$AW$83))</f>
        <v>16</v>
      </c>
      <c r="Y158" s="142">
        <f ca="1">IF($U158="","",SUMPRODUCT(--(Lineups!$AG$46:$AG$83=$U158),--(Lineups!$AB$46:$AB$83="X"),Lineups!$AW$46:$AW$83))</f>
        <v>0</v>
      </c>
      <c r="Z158" s="142">
        <f ca="1">IF($U158="","",SUMPRODUCT(--(Lineups!$AK$46:$AK$83=$U158),Lineups!$AW$46:$AW$83))</f>
        <v>0</v>
      </c>
      <c r="AA158" s="142">
        <f ca="1">IF($U158="","",SUMPRODUCT(--(Lineups!$AO$46:$AO$83=$U158),Lineups!$AW$46:$AW$83))</f>
        <v>4</v>
      </c>
      <c r="AB158" s="142">
        <f ca="1">IF($U158="","",SUMPRODUCT(--(Lineups!$AS$46:$AS$83=$U158),Lineups!$AW$46:$AW$83))</f>
        <v>4</v>
      </c>
      <c r="AC158" s="16">
        <f t="shared" ca="1" si="101"/>
        <v>8</v>
      </c>
      <c r="AE158" s="16">
        <f t="shared" ca="1" si="102"/>
        <v>24</v>
      </c>
      <c r="AH158" s="16">
        <f ca="1">IF($U158="","",SUMPRODUCT(--(Lineups!$AC$46:$AC$83=$U158),Lineups!$AW$46:$AW$83))</f>
        <v>3</v>
      </c>
      <c r="AJ158" s="16">
        <f t="shared" ca="1" si="103"/>
        <v>27</v>
      </c>
    </row>
    <row r="159" spans="1:37" x14ac:dyDescent="0.3">
      <c r="A159" s="131">
        <f t="shared" si="94"/>
        <v>6</v>
      </c>
      <c r="B159" s="131" t="str">
        <f t="shared" si="95"/>
        <v>221*</v>
      </c>
      <c r="C159" s="131" t="str">
        <f t="shared" si="95"/>
        <v>Kili Pepa</v>
      </c>
      <c r="D159" s="131">
        <f ca="1">IF($B159="","",SUMPRODUCT(--(Lineups!G$46:G$83=$B159),--(Lineups!B$46:B$83=""),Lineups!$W$46:$W$83))</f>
        <v>0</v>
      </c>
      <c r="F159" s="142">
        <f ca="1">IF($B159="","",SUMPRODUCT(--(Lineups!G$46:G$83=$B159),--(Lineups!B$46:B$83="X"),Lineups!$W$46:$W$83))</f>
        <v>0</v>
      </c>
      <c r="G159" s="142">
        <f ca="1">IF($B159="","",SUMPRODUCT(--(Lineups!$K$46:$K$83=$B159),Lineups!$W$46:$W$83))</f>
        <v>0</v>
      </c>
      <c r="H159" s="142">
        <f ca="1">IF($B159="","",SUMPRODUCT(--(Lineups!$O$46:$O$83=$B159),Lineups!$W$46:$W$83))</f>
        <v>0</v>
      </c>
      <c r="I159" s="142">
        <f ca="1">IF($B159="","",SUMPRODUCT(--(Lineups!$S$46:$S$83=$B159),Lineups!$W$46:$W$83))</f>
        <v>0</v>
      </c>
      <c r="J159" s="131">
        <f t="shared" ca="1" si="96"/>
        <v>0</v>
      </c>
      <c r="L159" s="131">
        <f t="shared" ca="1" si="97"/>
        <v>0</v>
      </c>
      <c r="O159" s="131">
        <f ca="1">IF($B159="","",SUMPRODUCT(--(Lineups!$C$46:$C$83=$B159),Lineups!$W$46:$W$83))</f>
        <v>0</v>
      </c>
      <c r="Q159" s="131">
        <f t="shared" ca="1" si="98"/>
        <v>0</v>
      </c>
      <c r="T159" s="131">
        <f t="shared" si="99"/>
        <v>6</v>
      </c>
      <c r="U159" s="131" t="str">
        <f t="shared" si="100"/>
        <v>22</v>
      </c>
      <c r="V159" s="131" t="str">
        <f t="shared" si="100"/>
        <v>Dammit Jammit</v>
      </c>
      <c r="W159" s="131">
        <f ca="1">IF($U159="","",SUMPRODUCT(--(Lineups!$AG$46:$AG$83=$U159),--(Lineups!$AB$46:$AB$83=""),Lineups!$AW$46:$AW$83))</f>
        <v>2</v>
      </c>
      <c r="Y159" s="142">
        <f ca="1">IF($U159="","",SUMPRODUCT(--(Lineups!$AG$46:$AG$83=$U159),--(Lineups!$AB$46:$AB$83="X"),Lineups!$AW$46:$AW$83))</f>
        <v>0</v>
      </c>
      <c r="Z159" s="142">
        <f ca="1">IF($U159="","",SUMPRODUCT(--(Lineups!$AK$46:$AK$83=$U159),Lineups!$AW$46:$AW$83))</f>
        <v>0</v>
      </c>
      <c r="AA159" s="142">
        <f ca="1">IF($U159="","",SUMPRODUCT(--(Lineups!$AO$46:$AO$83=$U159),Lineups!$AW$46:$AW$83))</f>
        <v>23</v>
      </c>
      <c r="AB159" s="142">
        <f ca="1">IF($U159="","",SUMPRODUCT(--(Lineups!$AS$46:$AS$83=$U159),Lineups!$AW$46:$AW$83))</f>
        <v>8</v>
      </c>
      <c r="AC159" s="131">
        <f t="shared" ca="1" si="101"/>
        <v>31</v>
      </c>
      <c r="AE159" s="131">
        <f t="shared" ca="1" si="102"/>
        <v>33</v>
      </c>
      <c r="AH159" s="131">
        <f ca="1">IF($U159="","",SUMPRODUCT(--(Lineups!$AC$46:$AC$83=$U159),Lineups!$AW$46:$AW$83))</f>
        <v>0</v>
      </c>
      <c r="AJ159" s="131">
        <f t="shared" ca="1" si="103"/>
        <v>33</v>
      </c>
    </row>
    <row r="160" spans="1:37" x14ac:dyDescent="0.3">
      <c r="A160" s="16">
        <f t="shared" si="94"/>
        <v>7</v>
      </c>
      <c r="B160" s="16" t="str">
        <f t="shared" si="95"/>
        <v>229</v>
      </c>
      <c r="C160" s="16" t="str">
        <f t="shared" si="95"/>
        <v>Sparky</v>
      </c>
      <c r="D160" s="16">
        <f ca="1">IF($B160="","",SUMPRODUCT(--(Lineups!G$46:G$83=$B160),--(Lineups!B$46:B$83=""),Lineups!$W$46:$W$83))</f>
        <v>0</v>
      </c>
      <c r="F160" s="142">
        <f ca="1">IF($B160="","",SUMPRODUCT(--(Lineups!G$46:G$83=$B160),--(Lineups!B$46:B$83="X"),Lineups!$W$46:$W$83))</f>
        <v>0</v>
      </c>
      <c r="G160" s="142">
        <f ca="1">IF($B160="","",SUMPRODUCT(--(Lineups!$K$46:$K$83=$B160),Lineups!$W$46:$W$83))</f>
        <v>29</v>
      </c>
      <c r="H160" s="142">
        <f ca="1">IF($B160="","",SUMPRODUCT(--(Lineups!$O$46:$O$83=$B160),Lineups!$W$46:$W$83))</f>
        <v>17</v>
      </c>
      <c r="I160" s="142">
        <f ca="1">IF($B160="","",SUMPRODUCT(--(Lineups!$S$46:$S$83=$B160),Lineups!$W$46:$W$83))</f>
        <v>0</v>
      </c>
      <c r="J160" s="16">
        <f t="shared" ca="1" si="96"/>
        <v>46</v>
      </c>
      <c r="L160" s="16">
        <f t="shared" ca="1" si="97"/>
        <v>46</v>
      </c>
      <c r="O160" s="16">
        <f ca="1">IF($B160="","",SUMPRODUCT(--(Lineups!$C$46:$C$83=$B160),Lineups!$W$46:$W$83))</f>
        <v>0</v>
      </c>
      <c r="Q160" s="16">
        <f t="shared" ca="1" si="98"/>
        <v>46</v>
      </c>
      <c r="T160" s="16">
        <f t="shared" si="99"/>
        <v>7</v>
      </c>
      <c r="U160" s="16" t="str">
        <f t="shared" si="100"/>
        <v>223</v>
      </c>
      <c r="V160" s="16" t="str">
        <f t="shared" si="100"/>
        <v>Frida Killah</v>
      </c>
      <c r="W160" s="16">
        <f ca="1">IF($U160="","",SUMPRODUCT(--(Lineups!$AG$46:$AG$83=$U160),--(Lineups!$AB$46:$AB$83=""),Lineups!$AW$46:$AW$83))</f>
        <v>0</v>
      </c>
      <c r="Y160" s="142">
        <f ca="1">IF($U160="","",SUMPRODUCT(--(Lineups!$AG$46:$AG$83=$U160),--(Lineups!$AB$46:$AB$83="X"),Lineups!$AW$46:$AW$83))</f>
        <v>0</v>
      </c>
      <c r="Z160" s="142">
        <f ca="1">IF($U160="","",SUMPRODUCT(--(Lineups!$AK$46:$AK$83=$U160),Lineups!$AW$46:$AW$83))</f>
        <v>0</v>
      </c>
      <c r="AA160" s="142">
        <f ca="1">IF($U160="","",SUMPRODUCT(--(Lineups!$AO$46:$AO$83=$U160),Lineups!$AW$46:$AW$83))</f>
        <v>0</v>
      </c>
      <c r="AB160" s="142">
        <f ca="1">IF($U160="","",SUMPRODUCT(--(Lineups!$AS$46:$AS$83=$U160),Lineups!$AW$46:$AW$83))</f>
        <v>0</v>
      </c>
      <c r="AC160" s="16">
        <f t="shared" ca="1" si="101"/>
        <v>0</v>
      </c>
      <c r="AE160" s="16">
        <f t="shared" ca="1" si="102"/>
        <v>0</v>
      </c>
      <c r="AH160" s="16">
        <f ca="1">IF($U160="","",SUMPRODUCT(--(Lineups!$AC$46:$AC$83=$U160),Lineups!$AW$46:$AW$83))</f>
        <v>10</v>
      </c>
      <c r="AJ160" s="16">
        <f t="shared" ca="1" si="103"/>
        <v>10</v>
      </c>
    </row>
    <row r="161" spans="1:37" x14ac:dyDescent="0.3">
      <c r="A161" s="131">
        <f t="shared" si="94"/>
        <v>8</v>
      </c>
      <c r="B161" s="131" t="str">
        <f t="shared" si="95"/>
        <v>237</v>
      </c>
      <c r="C161" s="131" t="str">
        <f t="shared" si="95"/>
        <v>RedRum</v>
      </c>
      <c r="D161" s="131">
        <f ca="1">IF($B161="","",SUMPRODUCT(--(Lineups!G$46:G$83=$B161),--(Lineups!B$46:B$83=""),Lineups!$W$46:$W$83))</f>
        <v>0</v>
      </c>
      <c r="F161" s="142">
        <f ca="1">IF($B161="","",SUMPRODUCT(--(Lineups!G$46:G$83=$B161),--(Lineups!B$46:B$83="X"),Lineups!$W$46:$W$83))</f>
        <v>0</v>
      </c>
      <c r="G161" s="142">
        <f ca="1">IF($B161="","",SUMPRODUCT(--(Lineups!$K$46:$K$83=$B161),Lineups!$W$46:$W$83))</f>
        <v>0</v>
      </c>
      <c r="H161" s="142">
        <f ca="1">IF($B161="","",SUMPRODUCT(--(Lineups!$O$46:$O$83=$B161),Lineups!$W$46:$W$83))</f>
        <v>52</v>
      </c>
      <c r="I161" s="142">
        <f ca="1">IF($B161="","",SUMPRODUCT(--(Lineups!$S$46:$S$83=$B161),Lineups!$W$46:$W$83))</f>
        <v>34</v>
      </c>
      <c r="J161" s="131">
        <f t="shared" ca="1" si="96"/>
        <v>86</v>
      </c>
      <c r="L161" s="131">
        <f t="shared" ca="1" si="97"/>
        <v>86</v>
      </c>
      <c r="O161" s="131">
        <f ca="1">IF($B161="","",SUMPRODUCT(--(Lineups!$C$46:$C$83=$B161),Lineups!$W$46:$W$83))</f>
        <v>0</v>
      </c>
      <c r="Q161" s="131">
        <f ca="1">IF(B161="","",SUM(L161,O161))</f>
        <v>86</v>
      </c>
      <c r="T161" s="131">
        <f t="shared" si="99"/>
        <v>8</v>
      </c>
      <c r="U161" s="131" t="str">
        <f t="shared" si="100"/>
        <v>23</v>
      </c>
      <c r="V161" s="131" t="str">
        <f t="shared" si="100"/>
        <v>Towanda Woman</v>
      </c>
      <c r="W161" s="131">
        <f ca="1">IF($U161="","",SUMPRODUCT(--(Lineups!$AG$46:$AG$83=$U161),--(Lineups!$AB$46:$AB$83=""),Lineups!$AW$46:$AW$83))</f>
        <v>0</v>
      </c>
      <c r="Y161" s="142">
        <f ca="1">IF($U161="","",SUMPRODUCT(--(Lineups!$AG$46:$AG$83=$U161),--(Lineups!$AB$46:$AB$83="X"),Lineups!$AW$46:$AW$83))</f>
        <v>7</v>
      </c>
      <c r="Z161" s="142">
        <f ca="1">IF($U161="","",SUMPRODUCT(--(Lineups!$AK$46:$AK$83=$U161),Lineups!$AW$46:$AW$83))</f>
        <v>0</v>
      </c>
      <c r="AA161" s="142">
        <f ca="1">IF($U161="","",SUMPRODUCT(--(Lineups!$AO$46:$AO$83=$U161),Lineups!$AW$46:$AW$83))</f>
        <v>0</v>
      </c>
      <c r="AB161" s="142">
        <f ca="1">IF($U161="","",SUMPRODUCT(--(Lineups!$AS$46:$AS$83=$U161),Lineups!$AW$46:$AW$83))</f>
        <v>0</v>
      </c>
      <c r="AC161" s="131">
        <f t="shared" ca="1" si="101"/>
        <v>7</v>
      </c>
      <c r="AE161" s="131">
        <f t="shared" ca="1" si="102"/>
        <v>7</v>
      </c>
      <c r="AH161" s="131">
        <f ca="1">IF($U161="","",SUMPRODUCT(--(Lineups!$AC$46:$AC$83=$U161),Lineups!$AW$46:$AW$83))</f>
        <v>7</v>
      </c>
      <c r="AJ161" s="131">
        <f t="shared" ca="1" si="103"/>
        <v>14</v>
      </c>
    </row>
    <row r="162" spans="1:37" x14ac:dyDescent="0.3">
      <c r="A162" s="16">
        <f t="shared" si="94"/>
        <v>9</v>
      </c>
      <c r="B162" s="16" t="str">
        <f t="shared" si="95"/>
        <v>282*</v>
      </c>
      <c r="C162" s="16" t="str">
        <f t="shared" si="95"/>
        <v>Dash Ketchum</v>
      </c>
      <c r="D162" s="16">
        <f ca="1">IF($B162="","",SUMPRODUCT(--(Lineups!G$46:G$83=$B162),--(Lineups!B$46:B$83=""),Lineups!$W$46:$W$83))</f>
        <v>0</v>
      </c>
      <c r="F162" s="142">
        <f ca="1">IF($B162="","",SUMPRODUCT(--(Lineups!G$46:G$83=$B162),--(Lineups!B$46:B$83="X"),Lineups!$W$46:$W$83))</f>
        <v>0</v>
      </c>
      <c r="G162" s="142">
        <f ca="1">IF($B162="","",SUMPRODUCT(--(Lineups!$K$46:$K$83=$B162),Lineups!$W$46:$W$83))</f>
        <v>0</v>
      </c>
      <c r="H162" s="142">
        <f ca="1">IF($B162="","",SUMPRODUCT(--(Lineups!$O$46:$O$83=$B162),Lineups!$W$46:$W$83))</f>
        <v>0</v>
      </c>
      <c r="I162" s="142">
        <f ca="1">IF($B162="","",SUMPRODUCT(--(Lineups!$S$46:$S$83=$B162),Lineups!$W$46:$W$83))</f>
        <v>0</v>
      </c>
      <c r="J162" s="16">
        <f t="shared" ca="1" si="96"/>
        <v>0</v>
      </c>
      <c r="L162" s="16">
        <f t="shared" ca="1" si="97"/>
        <v>0</v>
      </c>
      <c r="O162" s="16">
        <f ca="1">IF($B162="","",SUMPRODUCT(--(Lineups!$C$46:$C$83=$B162),Lineups!$W$46:$W$83))</f>
        <v>0</v>
      </c>
      <c r="Q162" s="16">
        <f t="shared" ca="1" si="98"/>
        <v>0</v>
      </c>
      <c r="T162" s="16">
        <f t="shared" si="99"/>
        <v>9</v>
      </c>
      <c r="U162" s="16" t="str">
        <f t="shared" si="100"/>
        <v>25</v>
      </c>
      <c r="V162" s="16" t="str">
        <f t="shared" si="100"/>
        <v>Ally McKill</v>
      </c>
      <c r="W162" s="16">
        <f ca="1">IF($U162="","",SUMPRODUCT(--(Lineups!$AG$46:$AG$83=$U162),--(Lineups!$AB$46:$AB$83=""),Lineups!$AW$46:$AW$83))</f>
        <v>0</v>
      </c>
      <c r="Y162" s="142">
        <f ca="1">IF($U162="","",SUMPRODUCT(--(Lineups!$AG$46:$AG$83=$U162),--(Lineups!$AB$46:$AB$83="X"),Lineups!$AW$46:$AW$83))</f>
        <v>0</v>
      </c>
      <c r="Z162" s="142">
        <f ca="1">IF($U162="","",SUMPRODUCT(--(Lineups!$AK$46:$AK$83=$U162),Lineups!$AW$46:$AW$83))</f>
        <v>12</v>
      </c>
      <c r="AA162" s="142">
        <f ca="1">IF($U162="","",SUMPRODUCT(--(Lineups!$AO$46:$AO$83=$U162),Lineups!$AW$46:$AW$83))</f>
        <v>15</v>
      </c>
      <c r="AB162" s="142">
        <f ca="1">IF($U162="","",SUMPRODUCT(--(Lineups!$AS$46:$AS$83=$U162),Lineups!$AW$46:$AW$83))</f>
        <v>0</v>
      </c>
      <c r="AC162" s="16">
        <f t="shared" ca="1" si="101"/>
        <v>27</v>
      </c>
      <c r="AE162" s="16">
        <f t="shared" ca="1" si="102"/>
        <v>27</v>
      </c>
      <c r="AH162" s="16">
        <f ca="1">IF($U162="","",SUMPRODUCT(--(Lineups!$AC$46:$AC$83=$U162),Lineups!$AW$46:$AW$83))</f>
        <v>0</v>
      </c>
      <c r="AJ162" s="16">
        <f t="shared" ca="1" si="103"/>
        <v>27</v>
      </c>
    </row>
    <row r="163" spans="1:37" x14ac:dyDescent="0.3">
      <c r="A163" s="131">
        <f t="shared" si="94"/>
        <v>10</v>
      </c>
      <c r="B163" s="131" t="str">
        <f t="shared" si="95"/>
        <v>337</v>
      </c>
      <c r="C163" s="131" t="str">
        <f t="shared" si="95"/>
        <v>Susan Sure Ram Dem</v>
      </c>
      <c r="D163" s="131">
        <f ca="1">IF($B163="","",SUMPRODUCT(--(Lineups!G$46:G$83=$B163),--(Lineups!B$46:B$83=""),Lineups!$W$46:$W$83))</f>
        <v>0</v>
      </c>
      <c r="F163" s="142">
        <f ca="1">IF($B163="","",SUMPRODUCT(--(Lineups!G$46:G$83=$B163),--(Lineups!B$46:B$83="X"),Lineups!$W$46:$W$83))</f>
        <v>0</v>
      </c>
      <c r="G163" s="142">
        <f ca="1">IF($B163="","",SUMPRODUCT(--(Lineups!$K$46:$K$83=$B163),Lineups!$W$46:$W$83))</f>
        <v>6</v>
      </c>
      <c r="H163" s="142">
        <f ca="1">IF($B163="","",SUMPRODUCT(--(Lineups!$O$46:$O$83=$B163),Lineups!$W$46:$W$83))</f>
        <v>0</v>
      </c>
      <c r="I163" s="142">
        <f ca="1">IF($B163="","",SUMPRODUCT(--(Lineups!$S$46:$S$83=$B163),Lineups!$W$46:$W$83))</f>
        <v>0</v>
      </c>
      <c r="J163" s="131">
        <f t="shared" ca="1" si="96"/>
        <v>6</v>
      </c>
      <c r="L163" s="131">
        <f t="shared" ca="1" si="97"/>
        <v>6</v>
      </c>
      <c r="O163" s="131">
        <f ca="1">IF($B163="","",SUMPRODUCT(--(Lineups!$C$46:$C$83=$B163),Lineups!$W$46:$W$83))</f>
        <v>0</v>
      </c>
      <c r="Q163" s="131">
        <f t="shared" ca="1" si="98"/>
        <v>6</v>
      </c>
      <c r="T163" s="131">
        <f t="shared" si="99"/>
        <v>10</v>
      </c>
      <c r="U163" s="131" t="str">
        <f t="shared" si="100"/>
        <v>26</v>
      </c>
      <c r="V163" s="131" t="str">
        <f t="shared" si="100"/>
        <v>Strange</v>
      </c>
      <c r="W163" s="131">
        <f ca="1">IF($U163="","",SUMPRODUCT(--(Lineups!$AG$46:$AG$83=$U163),--(Lineups!$AB$46:$AB$83=""),Lineups!$AW$46:$AW$83))</f>
        <v>0</v>
      </c>
      <c r="Y163" s="142">
        <f ca="1">IF($U163="","",SUMPRODUCT(--(Lineups!$AG$46:$AG$83=$U163),--(Lineups!$AB$46:$AB$83="X"),Lineups!$AW$46:$AW$83))</f>
        <v>0</v>
      </c>
      <c r="Z163" s="142">
        <f ca="1">IF($U163="","",SUMPRODUCT(--(Lineups!$AK$46:$AK$83=$U163),Lineups!$AW$46:$AW$83))</f>
        <v>0</v>
      </c>
      <c r="AA163" s="142">
        <f ca="1">IF($U163="","",SUMPRODUCT(--(Lineups!$AO$46:$AO$83=$U163),Lineups!$AW$46:$AW$83))</f>
        <v>8</v>
      </c>
      <c r="AB163" s="142">
        <f ca="1">IF($U163="","",SUMPRODUCT(--(Lineups!$AS$46:$AS$83=$U163),Lineups!$AW$46:$AW$83))</f>
        <v>19</v>
      </c>
      <c r="AC163" s="131">
        <f t="shared" ca="1" si="101"/>
        <v>27</v>
      </c>
      <c r="AE163" s="131">
        <f t="shared" ca="1" si="102"/>
        <v>27</v>
      </c>
      <c r="AH163" s="131">
        <f ca="1">IF($U163="","",SUMPRODUCT(--(Lineups!$AC$46:$AC$83=$U163),Lineups!$AW$46:$AW$83))</f>
        <v>0</v>
      </c>
      <c r="AJ163" s="131">
        <f t="shared" ca="1" si="103"/>
        <v>27</v>
      </c>
    </row>
    <row r="164" spans="1:37" x14ac:dyDescent="0.3">
      <c r="A164" s="16">
        <f t="shared" si="94"/>
        <v>11</v>
      </c>
      <c r="B164" s="16" t="str">
        <f t="shared" si="95"/>
        <v>352</v>
      </c>
      <c r="C164" s="16" t="str">
        <f t="shared" si="95"/>
        <v>Olive Havoc</v>
      </c>
      <c r="D164" s="16">
        <f ca="1">IF($B164="","",SUMPRODUCT(--(Lineups!G$46:G$83=$B164),--(Lineups!B$46:B$83=""),Lineups!$W$46:$W$83))</f>
        <v>0</v>
      </c>
      <c r="F164" s="142">
        <f ca="1">IF($B164="","",SUMPRODUCT(--(Lineups!G$46:G$83=$B164),--(Lineups!B$46:B$83="X"),Lineups!$W$46:$W$83))</f>
        <v>0</v>
      </c>
      <c r="G164" s="142">
        <f ca="1">IF($B164="","",SUMPRODUCT(--(Lineups!$K$46:$K$83=$B164),Lineups!$W$46:$W$83))</f>
        <v>0</v>
      </c>
      <c r="H164" s="142">
        <f ca="1">IF($B164="","",SUMPRODUCT(--(Lineups!$O$46:$O$83=$B164),Lineups!$W$46:$W$83))</f>
        <v>0</v>
      </c>
      <c r="I164" s="142">
        <f ca="1">IF($B164="","",SUMPRODUCT(--(Lineups!$S$46:$S$83=$B164),Lineups!$W$46:$W$83))</f>
        <v>0</v>
      </c>
      <c r="J164" s="16">
        <f t="shared" ca="1" si="96"/>
        <v>0</v>
      </c>
      <c r="L164" s="16">
        <f t="shared" ca="1" si="97"/>
        <v>0</v>
      </c>
      <c r="O164" s="16">
        <f ca="1">IF($B164="","",SUMPRODUCT(--(Lineups!$C$46:$C$83=$B164),Lineups!$W$46:$W$83))</f>
        <v>37</v>
      </c>
      <c r="Q164" s="16">
        <f t="shared" ca="1" si="98"/>
        <v>37</v>
      </c>
      <c r="T164" s="16">
        <f t="shared" si="99"/>
        <v>11</v>
      </c>
      <c r="U164" s="16" t="str">
        <f t="shared" si="100"/>
        <v>49</v>
      </c>
      <c r="V164" s="16" t="str">
        <f t="shared" si="100"/>
        <v>Gnarly Manson</v>
      </c>
      <c r="W164" s="16">
        <f ca="1">IF($U164="","",SUMPRODUCT(--(Lineups!$AG$46:$AG$83=$U164),--(Lineups!$AB$46:$AB$83=""),Lineups!$AW$46:$AW$83))</f>
        <v>0</v>
      </c>
      <c r="Y164" s="142">
        <f ca="1">IF($U164="","",SUMPRODUCT(--(Lineups!$AG$46:$AG$83=$U164),--(Lineups!$AB$46:$AB$83="X"),Lineups!$AW$46:$AW$83))</f>
        <v>4</v>
      </c>
      <c r="Z164" s="142">
        <f ca="1">IF($U164="","",SUMPRODUCT(--(Lineups!$AK$46:$AK$83=$U164),Lineups!$AW$46:$AW$83))</f>
        <v>0</v>
      </c>
      <c r="AA164" s="142">
        <f ca="1">IF($U164="","",SUMPRODUCT(--(Lineups!$AO$46:$AO$83=$U164),Lineups!$AW$46:$AW$83))</f>
        <v>0</v>
      </c>
      <c r="AB164" s="142">
        <f ca="1">IF($U164="","",SUMPRODUCT(--(Lineups!$AS$46:$AS$83=$U164),Lineups!$AW$46:$AW$83))</f>
        <v>0</v>
      </c>
      <c r="AC164" s="16">
        <f t="shared" ca="1" si="101"/>
        <v>4</v>
      </c>
      <c r="AE164" s="16">
        <f t="shared" ca="1" si="102"/>
        <v>4</v>
      </c>
      <c r="AH164" s="16">
        <f ca="1">IF($U164="","",SUMPRODUCT(--(Lineups!$AC$46:$AC$83=$U164),Lineups!$AW$46:$AW$83))</f>
        <v>8</v>
      </c>
      <c r="AJ164" s="16">
        <f t="shared" ca="1" si="103"/>
        <v>12</v>
      </c>
    </row>
    <row r="165" spans="1:37" x14ac:dyDescent="0.3">
      <c r="A165" s="131">
        <f t="shared" si="94"/>
        <v>12</v>
      </c>
      <c r="B165" s="131" t="str">
        <f t="shared" si="95"/>
        <v>36</v>
      </c>
      <c r="C165" s="131" t="str">
        <f t="shared" si="95"/>
        <v>Meanie</v>
      </c>
      <c r="D165" s="131">
        <f ca="1">IF($B165="","",SUMPRODUCT(--(Lineups!G$46:G$83=$B165),--(Lineups!B$46:B$83=""),Lineups!$W$46:$W$83))</f>
        <v>0</v>
      </c>
      <c r="F165" s="142">
        <f ca="1">IF($B165="","",SUMPRODUCT(--(Lineups!G$46:G$83=$B165),--(Lineups!B$46:B$83="X"),Lineups!$W$46:$W$83))</f>
        <v>0</v>
      </c>
      <c r="G165" s="142">
        <f ca="1">IF($B165="","",SUMPRODUCT(--(Lineups!$K$46:$K$83=$B165),Lineups!$W$46:$W$83))</f>
        <v>0</v>
      </c>
      <c r="H165" s="142">
        <f ca="1">IF($B165="","",SUMPRODUCT(--(Lineups!$O$46:$O$83=$B165),Lineups!$W$46:$W$83))</f>
        <v>0</v>
      </c>
      <c r="I165" s="142">
        <f ca="1">IF($B165="","",SUMPRODUCT(--(Lineups!$S$46:$S$83=$B165),Lineups!$W$46:$W$83))</f>
        <v>0</v>
      </c>
      <c r="J165" s="131">
        <f t="shared" ca="1" si="96"/>
        <v>0</v>
      </c>
      <c r="L165" s="131">
        <f t="shared" ca="1" si="97"/>
        <v>0</v>
      </c>
      <c r="O165" s="131">
        <f ca="1">IF($B165="","",SUMPRODUCT(--(Lineups!$C$46:$C$83=$B165),Lineups!$W$46:$W$83))</f>
        <v>0</v>
      </c>
      <c r="Q165" s="131">
        <f t="shared" ca="1" si="98"/>
        <v>0</v>
      </c>
      <c r="T165" s="131">
        <f t="shared" si="99"/>
        <v>12</v>
      </c>
      <c r="U165" s="131" t="str">
        <f t="shared" si="100"/>
        <v>78</v>
      </c>
      <c r="V165" s="131" t="str">
        <f t="shared" si="100"/>
        <v>Debbie Scary</v>
      </c>
      <c r="W165" s="131">
        <f ca="1">IF($U165="","",SUMPRODUCT(--(Lineups!$AG$46:$AG$83=$U165),--(Lineups!$AB$46:$AB$83=""),Lineups!$AW$46:$AW$83))</f>
        <v>0</v>
      </c>
      <c r="Y165" s="142">
        <f ca="1">IF($U165="","",SUMPRODUCT(--(Lineups!$AG$46:$AG$83=$U165),--(Lineups!$AB$46:$AB$83="X"),Lineups!$AW$46:$AW$83))</f>
        <v>0</v>
      </c>
      <c r="Z165" s="142">
        <f ca="1">IF($U165="","",SUMPRODUCT(--(Lineups!$AK$46:$AK$83=$U165),Lineups!$AW$46:$AW$83))</f>
        <v>0</v>
      </c>
      <c r="AA165" s="142">
        <f ca="1">IF($U165="","",SUMPRODUCT(--(Lineups!$AO$46:$AO$83=$U165),Lineups!$AW$46:$AW$83))</f>
        <v>0</v>
      </c>
      <c r="AB165" s="142">
        <f ca="1">IF($U165="","",SUMPRODUCT(--(Lineups!$AS$46:$AS$83=$U165),Lineups!$AW$46:$AW$83))</f>
        <v>0</v>
      </c>
      <c r="AC165" s="131">
        <f t="shared" ca="1" si="101"/>
        <v>0</v>
      </c>
      <c r="AE165" s="131">
        <f t="shared" ca="1" si="102"/>
        <v>0</v>
      </c>
      <c r="AH165" s="131">
        <f ca="1">IF($U165="","",SUMPRODUCT(--(Lineups!$AC$46:$AC$83=$U165),Lineups!$AW$46:$AW$83))</f>
        <v>0</v>
      </c>
      <c r="AJ165" s="131">
        <f t="shared" ca="1" si="103"/>
        <v>0</v>
      </c>
    </row>
    <row r="166" spans="1:37" x14ac:dyDescent="0.3">
      <c r="A166" s="16">
        <f t="shared" si="94"/>
        <v>13</v>
      </c>
      <c r="B166" s="16" t="str">
        <f t="shared" si="95"/>
        <v>64</v>
      </c>
      <c r="C166" s="16" t="str">
        <f t="shared" si="95"/>
        <v>Cruzella</v>
      </c>
      <c r="D166" s="16">
        <f ca="1">IF($B166="","",SUMPRODUCT(--(Lineups!G$46:G$83=$B166),--(Lineups!B$46:B$83=""),Lineups!$W$46:$W$83))</f>
        <v>0</v>
      </c>
      <c r="F166" s="142">
        <f ca="1">IF($B166="","",SUMPRODUCT(--(Lineups!G$46:G$83=$B166),--(Lineups!B$46:B$83="X"),Lineups!$W$46:$W$83))</f>
        <v>0</v>
      </c>
      <c r="G166" s="142">
        <f ca="1">IF($B166="","",SUMPRODUCT(--(Lineups!$K$46:$K$83=$B166),Lineups!$W$46:$W$83))</f>
        <v>0</v>
      </c>
      <c r="H166" s="142">
        <f ca="1">IF($B166="","",SUMPRODUCT(--(Lineups!$O$46:$O$83=$B166),Lineups!$W$46:$W$83))</f>
        <v>0</v>
      </c>
      <c r="I166" s="142">
        <f ca="1">IF($B166="","",SUMPRODUCT(--(Lineups!$S$46:$S$83=$B166),Lineups!$W$46:$W$83))</f>
        <v>0</v>
      </c>
      <c r="J166" s="16">
        <f t="shared" ca="1" si="96"/>
        <v>0</v>
      </c>
      <c r="L166" s="16">
        <f t="shared" ca="1" si="97"/>
        <v>0</v>
      </c>
      <c r="O166" s="16">
        <f ca="1">IF($B166="","",SUMPRODUCT(--(Lineups!$C$46:$C$83=$B166),Lineups!$W$46:$W$83))</f>
        <v>4</v>
      </c>
      <c r="Q166" s="16">
        <f t="shared" ca="1" si="98"/>
        <v>4</v>
      </c>
      <c r="T166" s="16">
        <f t="shared" si="99"/>
        <v>13</v>
      </c>
      <c r="U166" s="16" t="str">
        <f t="shared" si="100"/>
        <v>8*</v>
      </c>
      <c r="V166" s="16" t="str">
        <f t="shared" si="100"/>
        <v>Venus Thigh Trap</v>
      </c>
      <c r="W166" s="16">
        <f ca="1">IF($U166="","",SUMPRODUCT(--(Lineups!$AG$46:$AG$83=$U166),--(Lineups!$AB$46:$AB$83=""),Lineups!$AW$46:$AW$83))</f>
        <v>0</v>
      </c>
      <c r="Y166" s="142">
        <f ca="1">IF($U166="","",SUMPRODUCT(--(Lineups!$AG$46:$AG$83=$U166),--(Lineups!$AB$46:$AB$83="X"),Lineups!$AW$46:$AW$83))</f>
        <v>0</v>
      </c>
      <c r="Z166" s="142">
        <f ca="1">IF($U166="","",SUMPRODUCT(--(Lineups!$AK$46:$AK$83=$U166),Lineups!$AW$46:$AW$83))</f>
        <v>0</v>
      </c>
      <c r="AA166" s="142">
        <f ca="1">IF($U166="","",SUMPRODUCT(--(Lineups!$AO$46:$AO$83=$U166),Lineups!$AW$46:$AW$83))</f>
        <v>0</v>
      </c>
      <c r="AB166" s="142">
        <f ca="1">IF($U166="","",SUMPRODUCT(--(Lineups!$AS$46:$AS$83=$U166),Lineups!$AW$46:$AW$83))</f>
        <v>0</v>
      </c>
      <c r="AC166" s="16">
        <f t="shared" ca="1" si="101"/>
        <v>0</v>
      </c>
      <c r="AE166" s="16">
        <f t="shared" ca="1" si="102"/>
        <v>0</v>
      </c>
      <c r="AH166" s="16">
        <f ca="1">IF($U166="","",SUMPRODUCT(--(Lineups!$AC$46:$AC$83=$U166),Lineups!$AW$46:$AW$83))</f>
        <v>0</v>
      </c>
      <c r="AJ166" s="16">
        <f t="shared" ca="1" si="103"/>
        <v>0</v>
      </c>
    </row>
    <row r="167" spans="1:37" x14ac:dyDescent="0.3">
      <c r="A167" s="131">
        <f t="shared" si="94"/>
        <v>14</v>
      </c>
      <c r="B167" s="131" t="str">
        <f t="shared" si="95"/>
        <v>825</v>
      </c>
      <c r="C167" s="131" t="str">
        <f t="shared" si="95"/>
        <v>Rot-N 2 the Cor-E</v>
      </c>
      <c r="D167" s="131">
        <f ca="1">IF($B167="","",SUMPRODUCT(--(Lineups!G$46:G$83=$B167),--(Lineups!B$46:B$83=""),Lineups!$W$46:$W$83))</f>
        <v>0</v>
      </c>
      <c r="F167" s="142">
        <f ca="1">IF($B167="","",SUMPRODUCT(--(Lineups!G$46:G$83=$B167),--(Lineups!B$46:B$83="X"),Lineups!$W$46:$W$83))</f>
        <v>0</v>
      </c>
      <c r="G167" s="142">
        <f ca="1">IF($B167="","",SUMPRODUCT(--(Lineups!$K$46:$K$83=$B167),Lineups!$W$46:$W$83))</f>
        <v>0</v>
      </c>
      <c r="H167" s="142">
        <f ca="1">IF($B167="","",SUMPRODUCT(--(Lineups!$O$46:$O$83=$B167),Lineups!$W$46:$W$83))</f>
        <v>0</v>
      </c>
      <c r="I167" s="142">
        <f ca="1">IF($B167="","",SUMPRODUCT(--(Lineups!$S$46:$S$83=$B167),Lineups!$W$46:$W$83))</f>
        <v>0</v>
      </c>
      <c r="J167" s="131">
        <f t="shared" ca="1" si="96"/>
        <v>0</v>
      </c>
      <c r="L167" s="131">
        <f t="shared" ca="1" si="97"/>
        <v>0</v>
      </c>
      <c r="O167" s="131">
        <f ca="1">IF($B167="","",SUMPRODUCT(--(Lineups!$C$46:$C$83=$B167),Lineups!$W$46:$W$83))</f>
        <v>0</v>
      </c>
      <c r="Q167" s="131">
        <f t="shared" ca="1" si="98"/>
        <v>0</v>
      </c>
      <c r="T167" s="131">
        <f t="shared" si="99"/>
        <v>14</v>
      </c>
      <c r="U167" s="131" t="str">
        <f t="shared" si="100"/>
        <v>800</v>
      </c>
      <c r="V167" s="131" t="str">
        <f t="shared" si="100"/>
        <v>Terminate Her</v>
      </c>
      <c r="W167" s="131">
        <f ca="1">IF($U167="","",SUMPRODUCT(--(Lineups!$AG$46:$AG$83=$U167),--(Lineups!$AB$46:$AB$83=""),Lineups!$AW$46:$AW$83))</f>
        <v>0</v>
      </c>
      <c r="Y167" s="142">
        <f ca="1">IF($U167="","",SUMPRODUCT(--(Lineups!$AG$46:$AG$83=$U167),--(Lineups!$AB$46:$AB$83="X"),Lineups!$AW$46:$AW$83))</f>
        <v>0</v>
      </c>
      <c r="Z167" s="142">
        <f ca="1">IF($U167="","",SUMPRODUCT(--(Lineups!$AK$46:$AK$83=$U167),Lineups!$AW$46:$AW$83))</f>
        <v>4</v>
      </c>
      <c r="AA167" s="142">
        <f ca="1">IF($U167="","",SUMPRODUCT(--(Lineups!$AO$46:$AO$83=$U167),Lineups!$AW$46:$AW$83))</f>
        <v>0</v>
      </c>
      <c r="AB167" s="142">
        <f ca="1">IF($U167="","",SUMPRODUCT(--(Lineups!$AS$46:$AS$83=$U167),Lineups!$AW$46:$AW$83))</f>
        <v>25</v>
      </c>
      <c r="AC167" s="131">
        <f t="shared" ca="1" si="101"/>
        <v>29</v>
      </c>
      <c r="AE167" s="131">
        <f t="shared" ca="1" si="102"/>
        <v>29</v>
      </c>
      <c r="AH167" s="131">
        <f ca="1">IF($U167="","",SUMPRODUCT(--(Lineups!$AC$46:$AC$83=$U167),Lineups!$AW$46:$AW$83))</f>
        <v>4</v>
      </c>
      <c r="AJ167" s="131">
        <f t="shared" ca="1" si="103"/>
        <v>33</v>
      </c>
    </row>
    <row r="168" spans="1:37" x14ac:dyDescent="0.3">
      <c r="A168" s="16">
        <f t="shared" si="94"/>
        <v>15</v>
      </c>
      <c r="B168" s="16" t="str">
        <f t="shared" si="95"/>
        <v>83</v>
      </c>
      <c r="C168" s="16" t="str">
        <f t="shared" si="95"/>
        <v>Grit n Barite</v>
      </c>
      <c r="D168" s="16">
        <f ca="1">IF($B168="","",SUMPRODUCT(--(Lineups!G$46:G$83=$B168),--(Lineups!B$46:B$83=""),Lineups!$W$46:$W$83))</f>
        <v>4</v>
      </c>
      <c r="F168" s="142">
        <f ca="1">IF($B168="","",SUMPRODUCT(--(Lineups!G$46:G$83=$B168),--(Lineups!B$46:B$83="X"),Lineups!$W$46:$W$83))</f>
        <v>0</v>
      </c>
      <c r="G168" s="142">
        <f ca="1">IF($B168="","",SUMPRODUCT(--(Lineups!$K$46:$K$83=$B168),Lineups!$W$46:$W$83))</f>
        <v>29</v>
      </c>
      <c r="H168" s="142">
        <f ca="1">IF($B168="","",SUMPRODUCT(--(Lineups!$O$46:$O$83=$B168),Lineups!$W$46:$W$83))</f>
        <v>9</v>
      </c>
      <c r="I168" s="142">
        <f ca="1">IF($B168="","",SUMPRODUCT(--(Lineups!$S$46:$S$83=$B168),Lineups!$W$46:$W$83))</f>
        <v>20</v>
      </c>
      <c r="J168" s="16">
        <f t="shared" ca="1" si="96"/>
        <v>58</v>
      </c>
      <c r="L168" s="16">
        <f t="shared" ca="1" si="97"/>
        <v>62</v>
      </c>
      <c r="O168" s="16">
        <f ca="1">IF($B168="","",SUMPRODUCT(--(Lineups!$C$46:$C$83=$B168),Lineups!$W$46:$W$83))</f>
        <v>0</v>
      </c>
      <c r="Q168" s="16">
        <f t="shared" ca="1" si="98"/>
        <v>62</v>
      </c>
      <c r="T168" s="16">
        <f t="shared" si="99"/>
        <v>15</v>
      </c>
      <c r="U168" s="16" t="str">
        <f t="shared" si="100"/>
        <v>88*</v>
      </c>
      <c r="V168" s="16" t="str">
        <f t="shared" si="100"/>
        <v>Flux</v>
      </c>
      <c r="W168" s="16">
        <f ca="1">IF($U168="","",SUMPRODUCT(--(Lineups!$AG$46:$AG$83=$U168),--(Lineups!$AB$46:$AB$83=""),Lineups!$AW$46:$AW$83))</f>
        <v>0</v>
      </c>
      <c r="Y168" s="142">
        <f ca="1">IF($U168="","",SUMPRODUCT(--(Lineups!$AG$46:$AG$83=$U168),--(Lineups!$AB$46:$AB$83="X"),Lineups!$AW$46:$AW$83))</f>
        <v>0</v>
      </c>
      <c r="Z168" s="142">
        <f ca="1">IF($U168="","",SUMPRODUCT(--(Lineups!$AK$46:$AK$83=$U168),Lineups!$AW$46:$AW$83))</f>
        <v>0</v>
      </c>
      <c r="AA168" s="142">
        <f ca="1">IF($U168="","",SUMPRODUCT(--(Lineups!$AO$46:$AO$83=$U168),Lineups!$AW$46:$AW$83))</f>
        <v>0</v>
      </c>
      <c r="AB168" s="142">
        <f ca="1">IF($U168="","",SUMPRODUCT(--(Lineups!$AS$46:$AS$83=$U168),Lineups!$AW$46:$AW$83))</f>
        <v>0</v>
      </c>
      <c r="AC168" s="16">
        <f t="shared" ca="1" si="101"/>
        <v>0</v>
      </c>
      <c r="AE168" s="16">
        <f t="shared" ca="1" si="102"/>
        <v>0</v>
      </c>
      <c r="AH168" s="16">
        <f ca="1">IF($U168="","",SUMPRODUCT(--(Lineups!$AC$46:$AC$83=$U168),Lineups!$AW$46:$AW$83))</f>
        <v>0</v>
      </c>
      <c r="AJ168" s="16">
        <f t="shared" ca="1" si="103"/>
        <v>0</v>
      </c>
    </row>
    <row r="169" spans="1:37" x14ac:dyDescent="0.3">
      <c r="A169" s="131">
        <f t="shared" si="94"/>
        <v>16</v>
      </c>
      <c r="B169" s="131" t="str">
        <f t="shared" si="95"/>
        <v>84</v>
      </c>
      <c r="C169" s="131" t="str">
        <f t="shared" si="95"/>
        <v>Phoenix</v>
      </c>
      <c r="D169" s="131">
        <f ca="1">IF($B169="","",SUMPRODUCT(--(Lineups!G$46:G$83=$B169),--(Lineups!B$46:B$83=""),Lineups!$W$46:$W$83))</f>
        <v>59</v>
      </c>
      <c r="F169" s="142">
        <f ca="1">IF($B169="","",SUMPRODUCT(--(Lineups!G$46:G$83=$B169),--(Lineups!B$46:B$83="X"),Lineups!$W$46:$W$83))</f>
        <v>0</v>
      </c>
      <c r="G169" s="142">
        <f ca="1">IF($B169="","",SUMPRODUCT(--(Lineups!$K$46:$K$83=$B169),Lineups!$W$46:$W$83))</f>
        <v>8</v>
      </c>
      <c r="H169" s="142">
        <f ca="1">IF($B169="","",SUMPRODUCT(--(Lineups!$O$46:$O$83=$B169),Lineups!$W$46:$W$83))</f>
        <v>0</v>
      </c>
      <c r="I169" s="142">
        <f ca="1">IF($B169="","",SUMPRODUCT(--(Lineups!$S$46:$S$83=$B169),Lineups!$W$46:$W$83))</f>
        <v>0</v>
      </c>
      <c r="J169" s="131">
        <f t="shared" ca="1" si="96"/>
        <v>8</v>
      </c>
      <c r="L169" s="131">
        <f t="shared" ca="1" si="97"/>
        <v>67</v>
      </c>
      <c r="O169" s="131">
        <f ca="1">IF($B169="","",SUMPRODUCT(--(Lineups!$C$46:$C$83=$B169),Lineups!$W$46:$W$83))</f>
        <v>12</v>
      </c>
      <c r="Q169" s="131">
        <f t="shared" ca="1" si="98"/>
        <v>79</v>
      </c>
      <c r="T169" s="131">
        <f t="shared" si="99"/>
        <v>16</v>
      </c>
      <c r="U169" s="131" t="str">
        <f t="shared" si="100"/>
        <v>911</v>
      </c>
      <c r="V169" s="131" t="str">
        <f t="shared" si="100"/>
        <v>Annie Mergency</v>
      </c>
      <c r="W169" s="131">
        <f ca="1">IF($U169="","",SUMPRODUCT(--(Lineups!$AG$46:$AG$83=$U169),--(Lineups!$AB$46:$AB$83=""),Lineups!$AW$46:$AW$83))</f>
        <v>27</v>
      </c>
      <c r="Y169" s="142">
        <f ca="1">IF($U169="","",SUMPRODUCT(--(Lineups!$AG$46:$AG$83=$U169),--(Lineups!$AB$46:$AB$83="X"),Lineups!$AW$46:$AW$83))</f>
        <v>0</v>
      </c>
      <c r="Z169" s="142">
        <f ca="1">IF($U169="","",SUMPRODUCT(--(Lineups!$AK$46:$AK$83=$U169),Lineups!$AW$46:$AW$83))</f>
        <v>0</v>
      </c>
      <c r="AA169" s="142">
        <f ca="1">IF($U169="","",SUMPRODUCT(--(Lineups!$AO$46:$AO$83=$U169),Lineups!$AW$46:$AW$83))</f>
        <v>0</v>
      </c>
      <c r="AB169" s="142">
        <f ca="1">IF($U169="","",SUMPRODUCT(--(Lineups!$AS$46:$AS$83=$U169),Lineups!$AW$46:$AW$83))</f>
        <v>0</v>
      </c>
      <c r="AC169" s="131">
        <f t="shared" ca="1" si="101"/>
        <v>0</v>
      </c>
      <c r="AE169" s="131">
        <f t="shared" ca="1" si="102"/>
        <v>27</v>
      </c>
      <c r="AH169" s="131">
        <f ca="1">IF($U169="","",SUMPRODUCT(--(Lineups!$AC$46:$AC$83=$U169),Lineups!$AW$46:$AW$83))</f>
        <v>4</v>
      </c>
      <c r="AJ169" s="131">
        <f t="shared" ca="1" si="103"/>
        <v>31</v>
      </c>
    </row>
    <row r="170" spans="1:37" x14ac:dyDescent="0.3">
      <c r="A170" s="16">
        <f t="shared" si="94"/>
        <v>17</v>
      </c>
      <c r="B170" s="16" t="str">
        <f t="shared" si="95"/>
        <v>86</v>
      </c>
      <c r="C170" s="16" t="str">
        <f t="shared" si="95"/>
        <v>P.T.S.D.</v>
      </c>
      <c r="D170" s="16">
        <f ca="1">IF($B170="","",SUMPRODUCT(--(Lineups!G$46:G$83=$B170),--(Lineups!B$46:B$83=""),Lineups!$W$46:$W$83))</f>
        <v>0</v>
      </c>
      <c r="F170" s="142">
        <f ca="1">IF($B170="","",SUMPRODUCT(--(Lineups!G$46:G$83=$B170),--(Lineups!B$46:B$83="X"),Lineups!$W$46:$W$83))</f>
        <v>0</v>
      </c>
      <c r="G170" s="142">
        <f ca="1">IF($B170="","",SUMPRODUCT(--(Lineups!$K$46:$K$83=$B170),Lineups!$W$46:$W$83))</f>
        <v>21</v>
      </c>
      <c r="H170" s="142">
        <f ca="1">IF($B170="","",SUMPRODUCT(--(Lineups!$O$46:$O$83=$B170),Lineups!$W$46:$W$83))</f>
        <v>11</v>
      </c>
      <c r="I170" s="142">
        <f ca="1">IF($B170="","",SUMPRODUCT(--(Lineups!$S$46:$S$83=$B170),Lineups!$W$46:$W$83))</f>
        <v>0</v>
      </c>
      <c r="J170" s="16">
        <f t="shared" ca="1" si="96"/>
        <v>32</v>
      </c>
      <c r="L170" s="16">
        <f t="shared" ca="1" si="97"/>
        <v>32</v>
      </c>
      <c r="O170" s="16">
        <f ca="1">IF($B170="","",SUMPRODUCT(--(Lineups!$C$46:$C$83=$B170),Lineups!$W$46:$W$83))</f>
        <v>0</v>
      </c>
      <c r="Q170" s="16">
        <f t="shared" ca="1" si="98"/>
        <v>32</v>
      </c>
      <c r="T170" s="16">
        <f t="shared" si="99"/>
        <v>17</v>
      </c>
      <c r="U170" s="16" t="str">
        <f t="shared" si="100"/>
        <v>94</v>
      </c>
      <c r="V170" s="16" t="str">
        <f t="shared" si="100"/>
        <v>The Kraken</v>
      </c>
      <c r="W170" s="16">
        <f ca="1">IF($U170="","",SUMPRODUCT(--(Lineups!$AG$46:$AG$83=$U170),--(Lineups!$AB$46:$AB$83=""),Lineups!$AW$46:$AW$83))</f>
        <v>0</v>
      </c>
      <c r="Y170" s="142">
        <f ca="1">IF($U170="","",SUMPRODUCT(--(Lineups!$AG$46:$AG$83=$U170),--(Lineups!$AB$46:$AB$83="X"),Lineups!$AW$46:$AW$83))</f>
        <v>0</v>
      </c>
      <c r="Z170" s="142">
        <f ca="1">IF($U170="","",SUMPRODUCT(--(Lineups!$AK$46:$AK$83=$U170),Lineups!$AW$46:$AW$83))</f>
        <v>0</v>
      </c>
      <c r="AA170" s="142">
        <f ca="1">IF($U170="","",SUMPRODUCT(--(Lineups!$AO$46:$AO$83=$U170),Lineups!$AW$46:$AW$83))</f>
        <v>6</v>
      </c>
      <c r="AB170" s="142">
        <f ca="1">IF($U170="","",SUMPRODUCT(--(Lineups!$AS$46:$AS$83=$U170),Lineups!$AW$46:$AW$83))</f>
        <v>0</v>
      </c>
      <c r="AC170" s="16">
        <f t="shared" ca="1" si="101"/>
        <v>6</v>
      </c>
      <c r="AE170" s="16">
        <f t="shared" ca="1" si="102"/>
        <v>6</v>
      </c>
      <c r="AH170" s="16">
        <f ca="1">IF($U170="","",SUMPRODUCT(--(Lineups!$AC$46:$AC$83=$U170),Lineups!$AW$46:$AW$83))</f>
        <v>0</v>
      </c>
      <c r="AJ170" s="16">
        <f t="shared" ca="1" si="103"/>
        <v>6</v>
      </c>
    </row>
    <row r="171" spans="1:37" x14ac:dyDescent="0.3">
      <c r="A171" s="131">
        <f t="shared" si="94"/>
        <v>18</v>
      </c>
      <c r="B171" s="131" t="str">
        <f t="shared" si="95"/>
        <v/>
      </c>
      <c r="C171" s="131" t="str">
        <f t="shared" si="95"/>
        <v/>
      </c>
      <c r="D171" s="131" t="str">
        <f>IF($B171="","",SUMPRODUCT(--(Lineups!G$46:G$83=$B171),--(Lineups!B$46:B$83=""),Lineups!$W$46:$W$83))</f>
        <v/>
      </c>
      <c r="F171" s="142" t="str">
        <f>IF($B171="","",SUMPRODUCT(--(Lineups!G$46:G$83=$B171),--(Lineups!B$46:B$83="X"),Lineups!$W$46:$W$83))</f>
        <v/>
      </c>
      <c r="G171" s="142" t="str">
        <f>IF($B171="","",SUMPRODUCT(--(Lineups!$K$46:$K$83=$B171),Lineups!$W$46:$W$83))</f>
        <v/>
      </c>
      <c r="H171" s="142" t="str">
        <f>IF($B171="","",SUMPRODUCT(--(Lineups!$O$46:$O$83=$B171),Lineups!$W$46:$W$83))</f>
        <v/>
      </c>
      <c r="I171" s="142" t="str">
        <f>IF($B171="","",SUMPRODUCT(--(Lineups!$S$46:$S$83=$B171),Lineups!$W$46:$W$83))</f>
        <v/>
      </c>
      <c r="J171" s="131" t="str">
        <f t="shared" si="96"/>
        <v/>
      </c>
      <c r="L171" s="131" t="str">
        <f t="shared" si="97"/>
        <v/>
      </c>
      <c r="O171" s="131" t="str">
        <f>IF($B171="","",SUMPRODUCT(--(Lineups!$C$46:$C$83=$B171),Lineups!$W$46:$W$83))</f>
        <v/>
      </c>
      <c r="Q171" s="131" t="str">
        <f t="shared" si="98"/>
        <v/>
      </c>
      <c r="T171" s="131">
        <f t="shared" si="99"/>
        <v>18</v>
      </c>
      <c r="U171" s="131" t="str">
        <f t="shared" si="100"/>
        <v/>
      </c>
      <c r="V171" s="131" t="str">
        <f t="shared" si="100"/>
        <v/>
      </c>
      <c r="W171" s="131" t="str">
        <f>IF($U171="","",SUMPRODUCT(--(Lineups!$AG$46:$AG$83=$U171),--(Lineups!$AB$46:$AB$83=""),Lineups!$AW$46:$AW$83))</f>
        <v/>
      </c>
      <c r="Y171" s="142" t="str">
        <f>IF($U171="","",SUMPRODUCT(--(Lineups!$AG$46:$AG$83=$U171),--(Lineups!$AB$46:$AB$83="X"),Lineups!$AW$46:$AW$83))</f>
        <v/>
      </c>
      <c r="Z171" s="142" t="str">
        <f>IF($U171="","",SUMPRODUCT(--(Lineups!$AK$46:$AK$83=$U171),Lineups!$AW$46:$AW$83))</f>
        <v/>
      </c>
      <c r="AA171" s="142" t="str">
        <f>IF($U171="","",SUMPRODUCT(--(Lineups!$AO$46:$AO$83=$U171),Lineups!$AW$46:$AW$83))</f>
        <v/>
      </c>
      <c r="AB171" s="142" t="str">
        <f>IF($U171="","",SUMPRODUCT(--(Lineups!$AS$46:$AS$83=$U171),Lineups!$AW$46:$AW$83))</f>
        <v/>
      </c>
      <c r="AC171" s="131">
        <f t="shared" si="101"/>
        <v>0</v>
      </c>
      <c r="AE171" s="131" t="str">
        <f t="shared" si="102"/>
        <v/>
      </c>
      <c r="AH171" s="131" t="str">
        <f>IF($U171="","",SUMPRODUCT(--(Lineups!$AC$46:$AC$83=$U171),Lineups!$AW$46:$AW$83))</f>
        <v/>
      </c>
      <c r="AJ171" s="131" t="str">
        <f t="shared" si="103"/>
        <v/>
      </c>
    </row>
    <row r="172" spans="1:37" x14ac:dyDescent="0.3">
      <c r="A172" s="16">
        <f t="shared" si="94"/>
        <v>19</v>
      </c>
      <c r="B172" s="16" t="str">
        <f t="shared" si="95"/>
        <v/>
      </c>
      <c r="C172" s="16" t="str">
        <f t="shared" si="95"/>
        <v/>
      </c>
      <c r="D172" s="16" t="str">
        <f>IF($B172="","",SUMPRODUCT(--(Lineups!G$46:G$83=$B172),--(Lineups!B$46:B$83=""),Lineups!$W$46:$W$83))</f>
        <v/>
      </c>
      <c r="F172" s="142" t="str">
        <f>IF($B172="","",SUMPRODUCT(--(Lineups!G$46:G$83=$B172),--(Lineups!B$46:B$83="X"),Lineups!$W$46:$W$83))</f>
        <v/>
      </c>
      <c r="G172" s="142" t="str">
        <f>IF($B172="","",SUMPRODUCT(--(Lineups!$K$46:$K$83=$B172),Lineups!$W$46:$W$83))</f>
        <v/>
      </c>
      <c r="H172" s="142" t="str">
        <f>IF($B172="","",SUMPRODUCT(--(Lineups!$O$46:$O$83=$B172),Lineups!$W$46:$W$83))</f>
        <v/>
      </c>
      <c r="I172" s="142" t="str">
        <f>IF($B172="","",SUMPRODUCT(--(Lineups!$S$46:$S$83=$B172),Lineups!$W$46:$W$83))</f>
        <v/>
      </c>
      <c r="J172" s="16" t="str">
        <f t="shared" si="96"/>
        <v/>
      </c>
      <c r="L172" s="16" t="str">
        <f t="shared" si="97"/>
        <v/>
      </c>
      <c r="O172" s="16" t="str">
        <f>IF($B172="","",SUMPRODUCT(--(Lineups!$C$46:$C$83=$B172),Lineups!$W$46:$W$83))</f>
        <v/>
      </c>
      <c r="Q172" s="16" t="str">
        <f t="shared" si="98"/>
        <v/>
      </c>
      <c r="T172" s="16">
        <f t="shared" si="99"/>
        <v>19</v>
      </c>
      <c r="U172" s="16" t="str">
        <f t="shared" si="100"/>
        <v/>
      </c>
      <c r="V172" s="16" t="str">
        <f t="shared" si="100"/>
        <v/>
      </c>
      <c r="W172" s="16" t="str">
        <f>IF($U172="","",SUMPRODUCT(--(Lineups!$AG$46:$AG$83=$U172),--(Lineups!$AB$46:$AB$83=""),Lineups!$AW$46:$AW$83))</f>
        <v/>
      </c>
      <c r="Y172" s="142" t="str">
        <f>IF($U172="","",SUMPRODUCT(--(Lineups!$AG$46:$AG$83=$U172),--(Lineups!$AB$46:$AB$83="X"),Lineups!$AW$46:$AW$83))</f>
        <v/>
      </c>
      <c r="Z172" s="142" t="str">
        <f>IF($U172="","",SUMPRODUCT(--(Lineups!$AK$46:$AK$83=$U172),Lineups!$AW$46:$AW$83))</f>
        <v/>
      </c>
      <c r="AA172" s="142" t="str">
        <f>IF($U172="","",SUMPRODUCT(--(Lineups!$AO$46:$AO$83=$U172),Lineups!$AW$46:$AW$83))</f>
        <v/>
      </c>
      <c r="AB172" s="142" t="str">
        <f>IF($U172="","",SUMPRODUCT(--(Lineups!$AS$46:$AS$83=$U172),Lineups!$AW$46:$AW$83))</f>
        <v/>
      </c>
      <c r="AC172" s="16">
        <f t="shared" si="101"/>
        <v>0</v>
      </c>
      <c r="AE172" s="16" t="str">
        <f t="shared" si="102"/>
        <v/>
      </c>
      <c r="AH172" s="16" t="str">
        <f>IF($U172="","",SUMPRODUCT(--(Lineups!$AC$46:$AC$83=$U172),Lineups!$AW$46:$AW$83))</f>
        <v/>
      </c>
      <c r="AJ172" s="16" t="str">
        <f t="shared" si="103"/>
        <v/>
      </c>
    </row>
    <row r="173" spans="1:37" x14ac:dyDescent="0.3">
      <c r="A173" s="131">
        <f t="shared" si="94"/>
        <v>20</v>
      </c>
      <c r="B173" s="131" t="str">
        <f t="shared" si="95"/>
        <v/>
      </c>
      <c r="C173" s="131" t="str">
        <f t="shared" si="95"/>
        <v/>
      </c>
      <c r="D173" s="131" t="str">
        <f>IF($B173="","",SUMPRODUCT(--(Lineups!G$46:G$83=$B173),--(Lineups!B$46:B$83=""),Lineups!$W$46:$W$83))</f>
        <v/>
      </c>
      <c r="F173" s="142" t="str">
        <f>IF($B173="","",SUMPRODUCT(--(Lineups!G$46:G$83=$B173),--(Lineups!B$46:B$83="X"),Lineups!$W$46:$W$83))</f>
        <v/>
      </c>
      <c r="G173" s="142" t="str">
        <f>IF($B173="","",SUMPRODUCT(--(Lineups!$K$46:$K$83=$B173),Lineups!$W$46:$W$83))</f>
        <v/>
      </c>
      <c r="H173" s="142" t="str">
        <f>IF($B173="","",SUMPRODUCT(--(Lineups!$O$46:$O$83=$B173),Lineups!$W$46:$W$83))</f>
        <v/>
      </c>
      <c r="I173" s="142" t="str">
        <f>IF($B173="","",SUMPRODUCT(--(Lineups!$S$46:$S$83=$B173),Lineups!$W$46:$W$83))</f>
        <v/>
      </c>
      <c r="J173" s="131" t="str">
        <f t="shared" si="96"/>
        <v/>
      </c>
      <c r="L173" s="131" t="str">
        <f t="shared" si="97"/>
        <v/>
      </c>
      <c r="O173" s="131" t="str">
        <f>IF($B173="","",SUMPRODUCT(--(Lineups!$C$46:$C$83=$B173),Lineups!$W$46:$W$83))</f>
        <v/>
      </c>
      <c r="Q173" s="131" t="str">
        <f t="shared" si="98"/>
        <v/>
      </c>
      <c r="T173" s="131">
        <f t="shared" si="99"/>
        <v>20</v>
      </c>
      <c r="U173" s="131" t="str">
        <f t="shared" si="100"/>
        <v/>
      </c>
      <c r="V173" s="131" t="str">
        <f t="shared" si="100"/>
        <v/>
      </c>
      <c r="W173" s="131" t="str">
        <f>IF($U173="","",SUMPRODUCT(--(Lineups!$AG$46:$AG$83=$U173),--(Lineups!$AB$46:$AB$83=""),Lineups!$AW$46:$AW$83))</f>
        <v/>
      </c>
      <c r="Y173" s="142" t="str">
        <f>IF($U173="","",SUMPRODUCT(--(Lineups!$AG$46:$AG$83=$U173),--(Lineups!$AB$46:$AB$83="X"),Lineups!$AW$46:$AW$83))</f>
        <v/>
      </c>
      <c r="Z173" s="142" t="str">
        <f>IF($U173="","",SUMPRODUCT(--(Lineups!$AK$46:$AK$83=$U173),Lineups!$AW$46:$AW$83))</f>
        <v/>
      </c>
      <c r="AA173" s="142" t="str">
        <f>IF($U173="","",SUMPRODUCT(--(Lineups!$AO$46:$AO$83=$U173),Lineups!$AW$46:$AW$83))</f>
        <v/>
      </c>
      <c r="AB173" s="142" t="str">
        <f>IF($U173="","",SUMPRODUCT(--(Lineups!$AS$46:$AS$83=$U173),Lineups!$AW$46:$AW$83))</f>
        <v/>
      </c>
      <c r="AC173" s="131">
        <f t="shared" si="101"/>
        <v>0</v>
      </c>
      <c r="AE173" s="131" t="str">
        <f t="shared" si="102"/>
        <v/>
      </c>
      <c r="AH173" s="131" t="str">
        <f>IF($U173="","",SUMPRODUCT(--(Lineups!$AC$46:$AC$83=$U173),Lineups!$AW$46:$AW$83))</f>
        <v/>
      </c>
      <c r="AJ173" s="131" t="str">
        <f t="shared" si="103"/>
        <v/>
      </c>
    </row>
    <row r="175" spans="1:37" x14ac:dyDescent="0.3">
      <c r="A175" s="1200" t="s">
        <v>42</v>
      </c>
      <c r="B175" s="1200"/>
      <c r="C175" s="1200"/>
      <c r="D175" s="93"/>
      <c r="E175" s="93"/>
      <c r="F175" s="93"/>
      <c r="G175" s="93"/>
      <c r="H175" s="93"/>
      <c r="I175" s="93"/>
      <c r="J175" s="93"/>
      <c r="K175" s="93"/>
      <c r="L175" s="93"/>
      <c r="M175" s="93"/>
      <c r="N175" s="93"/>
      <c r="O175" s="93"/>
      <c r="P175" s="93"/>
      <c r="Q175" s="93"/>
      <c r="R175" s="93"/>
      <c r="T175" s="1200" t="s">
        <v>42</v>
      </c>
      <c r="U175" s="1200"/>
      <c r="V175" s="1200"/>
      <c r="W175" s="93"/>
      <c r="X175" s="93"/>
      <c r="Y175" s="93"/>
      <c r="Z175" s="93"/>
      <c r="AA175" s="93"/>
      <c r="AB175" s="93"/>
      <c r="AC175" s="93"/>
      <c r="AD175" s="93"/>
      <c r="AE175" s="93"/>
      <c r="AF175" s="93"/>
      <c r="AG175" s="93"/>
      <c r="AH175" s="93"/>
      <c r="AI175" s="93"/>
      <c r="AJ175" s="93"/>
      <c r="AK175" s="93"/>
    </row>
    <row r="176" spans="1:37" x14ac:dyDescent="0.3">
      <c r="A176" s="136">
        <v>0</v>
      </c>
      <c r="B176" s="136" t="s">
        <v>24</v>
      </c>
      <c r="C176" s="136" t="s">
        <v>25</v>
      </c>
      <c r="D176" s="136" t="s">
        <v>103</v>
      </c>
      <c r="E176" s="16"/>
      <c r="F176" s="141" t="s">
        <v>104</v>
      </c>
      <c r="G176" s="141" t="s">
        <v>104</v>
      </c>
      <c r="H176" s="141" t="s">
        <v>104</v>
      </c>
      <c r="I176" s="141" t="s">
        <v>104</v>
      </c>
      <c r="J176" s="136" t="s">
        <v>34</v>
      </c>
      <c r="K176" s="16"/>
      <c r="L176" s="136" t="s">
        <v>36</v>
      </c>
      <c r="M176" s="16"/>
      <c r="N176" s="138" t="s">
        <v>13</v>
      </c>
      <c r="O176" s="136" t="s">
        <v>105</v>
      </c>
      <c r="P176" s="16"/>
      <c r="Q176" s="136" t="s">
        <v>7</v>
      </c>
      <c r="R176" s="16"/>
      <c r="T176" s="136">
        <v>0</v>
      </c>
      <c r="U176" s="136" t="s">
        <v>24</v>
      </c>
      <c r="V176" s="136" t="s">
        <v>25</v>
      </c>
      <c r="W176" s="136" t="s">
        <v>103</v>
      </c>
      <c r="X176" s="16"/>
      <c r="Y176" s="141" t="s">
        <v>104</v>
      </c>
      <c r="Z176" s="141" t="s">
        <v>104</v>
      </c>
      <c r="AA176" s="141" t="s">
        <v>104</v>
      </c>
      <c r="AB176" s="141" t="s">
        <v>104</v>
      </c>
      <c r="AC176" s="136" t="s">
        <v>34</v>
      </c>
      <c r="AD176" s="16"/>
      <c r="AE176" s="136" t="s">
        <v>36</v>
      </c>
      <c r="AF176" s="16"/>
      <c r="AG176" s="138" t="s">
        <v>13</v>
      </c>
      <c r="AH176" s="136" t="s">
        <v>105</v>
      </c>
      <c r="AI176" s="16"/>
      <c r="AJ176" s="136" t="s">
        <v>7</v>
      </c>
      <c r="AK176" s="16"/>
    </row>
    <row r="177" spans="1:36" x14ac:dyDescent="0.3">
      <c r="A177" s="16">
        <f t="shared" ref="A177:A196" si="104">A176+1</f>
        <v>1</v>
      </c>
      <c r="B177" s="16" t="str">
        <f t="shared" ref="B177:C196" si="105">B108</f>
        <v>101</v>
      </c>
      <c r="C177" s="16" t="str">
        <f t="shared" si="105"/>
        <v>Jackie Treehorn</v>
      </c>
      <c r="D177" s="16">
        <f ca="1">IF($B177="","",SUMPRODUCT(--(Lineups!$G$46:$G$83=$B177),--(Lineups!$B$46:$B$83=""),Lineups!$AW$46:$AW$83)+SUMPRODUCT(--(Lineups!$A$47:$A$84="SP*"),--(Lineups!$G$46:$G$83=$B177),--(Lineups!$B$46:$B$83=""),Lineups!$AW$47:$AW$84))</f>
        <v>0</v>
      </c>
      <c r="F177" s="142">
        <f ca="1">IF($B177="","",SUMPRODUCT(--(Lineups!$G$46:$G$83=$B177),--(Lineups!$B$46:$B$83="X"),Lineups!$AW$46:$AW$83)+SUMPRODUCT(--(Lineups!$A$47:$A$84="SP*"),--(Lineups!$G$46:$G$83=$B177),--(Lineups!$B$46:$B$83="X"),Lineups!$AW$47:$AW$84))</f>
        <v>0</v>
      </c>
      <c r="G177" s="142">
        <f ca="1">IF($B177="","",SUMPRODUCT(--(Lineups!$K$46:$K$83=$B177),Lineups!$AW$46:$AW$83) + SUMPRODUCT(--(Lineups!$A$47:$A$84="SP*"),--(Lineups!$K$46:$K$83=$B177),Lineups!$AW$47:$AW$84))</f>
        <v>0</v>
      </c>
      <c r="H177" s="142">
        <f ca="1">IF($B177="","",SUMPRODUCT(--(Lineups!$O$46:$O$83=$B177),Lineups!$AW$46:$AW$83)+SUMPRODUCT(--(Lineups!$A$47:$A$84="SP*"),--(Lineups!$O$46:$O$83=$B177),Lineups!$AW$47:$AW$84))</f>
        <v>8</v>
      </c>
      <c r="I177" s="142">
        <f ca="1">IF($B177="","",SUMPRODUCT(--(Lineups!$S$46:$S$83=$B177),Lineups!$AW$46:$AW$83)+SUMPRODUCT(--(Lineups!$A$47:$A$84="SP*"),--(Lineups!$S$46:$S$83=$B177),Lineups!$AW$47:$AW$84))</f>
        <v>34</v>
      </c>
      <c r="J177" s="16">
        <f t="shared" ref="J177:J196" ca="1" si="106">IF(B177="","",SUM(F177:I177))</f>
        <v>42</v>
      </c>
      <c r="L177" s="16">
        <f t="shared" ref="L177:L196" ca="1" si="107">IF(B177="","",SUM(D177,J177))</f>
        <v>42</v>
      </c>
      <c r="O177" s="16">
        <f ca="1">IF($B177="","",SUMPRODUCT(--(Lineups!$C$46:$C$83=$B177),Lineups!$AW$46:$AW$83) + SUMPRODUCT(--(Lineups!$A$47:$A$84="SP*"),--(Lineups!$C$46:$C$83=$B177),Lineups!$AW$47:$AW$84))</f>
        <v>0</v>
      </c>
      <c r="Q177" s="16">
        <f t="shared" ref="Q177:Q196" ca="1" si="108">IF(B177="","",SUM(L177,O177))</f>
        <v>42</v>
      </c>
      <c r="T177" s="16">
        <f t="shared" ref="T177:T196" si="109">T176+1</f>
        <v>1</v>
      </c>
      <c r="U177" s="16" t="str">
        <f t="shared" ref="U177:V196" si="110">U108</f>
        <v>12</v>
      </c>
      <c r="V177" s="16" t="str">
        <f t="shared" si="110"/>
        <v>Zorra</v>
      </c>
      <c r="W177" s="16">
        <f ca="1">IF($U177="","",SUMPRODUCT(--(Lineups!$AG$46:$AG$83=$U177),--(Lineups!$AB$46:$AB$83=""),Lineups!$W$46:$W$83)+SUMPRODUCT(--(Lineups!$AA$47:$AA$84="SP*"),--(Lineups!$AG$46:$AG$83=$U177),--(Lineups!$AB$46:$AB$83=""),Lineups!$W$47:$W$84))</f>
        <v>20</v>
      </c>
      <c r="Y177" s="142">
        <f ca="1">IF($U177="","",SUMPRODUCT(--(Lineups!$AG$46:$AG$83=$U177),--(Lineups!$AB$46:$AB$83="X"),Lineups!$W$46:$W$83)+SUMPRODUCT(--(Lineups!$AA$47:$AA$84="SP*"),--(Lineups!$AG$46:$AG$83=$U177),--(Lineups!$AB$46:$AB$83="X"),Lineups!$W$47:$W$84))</f>
        <v>0</v>
      </c>
      <c r="Z177" s="142">
        <f ca="1">IF(U177="","",SUMPRODUCT(--(Lineups!$AK$46:$AK$83=$U177),Lineups!$W$46:$W$83)+SUMPRODUCT(--(Lineups!$AA$47:$AA$84="SP*"),--(Lineups!$AK$46:$AK$83=$U177),Lineups!$W$47:$W$84))</f>
        <v>0</v>
      </c>
      <c r="AA177" s="142">
        <f ca="1">IF(U177="","",SUMPRODUCT(--(Lineups!$AO$46:$AO$83=$U177),Lineups!$W$46:$W$83)+SUMPRODUCT(--(Lineups!$AA$47:$AA$84="SP*"),--(Lineups!$AO$46:$AO$83=$U177),Lineups!$W$47:$W$84))</f>
        <v>0</v>
      </c>
      <c r="AB177" s="142">
        <f ca="1">IF(U177="","",SUMPRODUCT(--(Lineups!$AS$46:$AS$83=$U177),Lineups!$W$46:$W$83)+SUMPRODUCT(--(Lineups!$AA$47:$AA$84="SP*"),--(Lineups!$AS$46:$AS$83=$U177),Lineups!$W$47:$W$84))</f>
        <v>0</v>
      </c>
      <c r="AC177" s="16">
        <f t="shared" ref="AC177:AC196" ca="1" si="111">SUM(Y177:AB177)</f>
        <v>0</v>
      </c>
      <c r="AE177" s="16">
        <f t="shared" ref="AE177:AE196" ca="1" si="112">IF(U177="","",SUM(W177,AC177))</f>
        <v>20</v>
      </c>
      <c r="AH177" s="16">
        <f ca="1">IF($U177="","",SUMPRODUCT(--(Lineups!$AC$46:$AC$83=$U177),Lineups!$W$46:$W$83) + SUMPRODUCT(--(Lineups!$AA$47:$AA$84="SP*"),--(Lineups!$AC$46:$AC$83=$U177),Lineups!$W$47:$W$84))</f>
        <v>33</v>
      </c>
      <c r="AJ177" s="16">
        <f t="shared" ref="AJ177:AJ196" ca="1" si="113">IF(U177="","",SUM(AE177,AH177))</f>
        <v>53</v>
      </c>
    </row>
    <row r="178" spans="1:36" x14ac:dyDescent="0.3">
      <c r="A178" s="131">
        <f t="shared" si="104"/>
        <v>2</v>
      </c>
      <c r="B178" s="131" t="str">
        <f t="shared" si="105"/>
        <v>123</v>
      </c>
      <c r="C178" s="131" t="str">
        <f t="shared" si="105"/>
        <v>Bacon 4 Mercy</v>
      </c>
      <c r="D178" s="131">
        <f ca="1">IF($B178="","",SUMPRODUCT(--(Lineups!$G$46:$G$83=$B178),--(Lineups!$B$46:$B$83=""),Lineups!$AW$46:$AW$83)+SUMPRODUCT(--(Lineups!$A$47:$A$84="SP*"),--(Lineups!$G$46:$G$83=$B178),--(Lineups!$B$46:$B$83=""),Lineups!$AW$47:$AW$84))</f>
        <v>0</v>
      </c>
      <c r="F178" s="142">
        <f ca="1">IF($B178="","",SUMPRODUCT(--(Lineups!$G$46:$G$83=$B178),--(Lineups!$B$46:$B$83="X"),Lineups!$AW$46:$AW$83)+SUMPRODUCT(--(Lineups!$A$47:$A$84="SP*"),--(Lineups!$G$46:$G$83=$B178),--(Lineups!$B$46:$B$83="X"),Lineups!$AW$47:$AW$84))</f>
        <v>0</v>
      </c>
      <c r="G178" s="142">
        <f ca="1">IF($B178="","",SUMPRODUCT(--(Lineups!$K$46:$K$83=$B178),Lineups!$AW$46:$AW$83) + SUMPRODUCT(--(Lineups!$A$47:$A$84="SP*"),--(Lineups!$K$46:$K$83=$B178),Lineups!$AW$47:$AW$84))</f>
        <v>0</v>
      </c>
      <c r="H178" s="142">
        <f ca="1">IF($B178="","",SUMPRODUCT(--(Lineups!$O$46:$O$83=$B178),Lineups!$AW$46:$AW$83)+SUMPRODUCT(--(Lineups!$A$47:$A$84="SP*"),--(Lineups!$O$46:$O$83=$B178),Lineups!$AW$47:$AW$84))</f>
        <v>0</v>
      </c>
      <c r="I178" s="142">
        <f ca="1">IF($B178="","",SUMPRODUCT(--(Lineups!$S$46:$S$83=$B178),Lineups!$AW$46:$AW$83)+SUMPRODUCT(--(Lineups!$A$47:$A$84="SP*"),--(Lineups!$S$46:$S$83=$B178),Lineups!$AW$47:$AW$84))</f>
        <v>0</v>
      </c>
      <c r="J178" s="131">
        <f t="shared" ca="1" si="106"/>
        <v>0</v>
      </c>
      <c r="L178" s="131">
        <f t="shared" ca="1" si="107"/>
        <v>0</v>
      </c>
      <c r="O178" s="131">
        <f ca="1">IF($B178="","",SUMPRODUCT(--(Lineups!$C$46:$C$83=$B178),Lineups!$AW$46:$AW$83) + SUMPRODUCT(--(Lineups!$A$47:$A$84="SP*"),--(Lineups!$C$46:$C$83=$B178),Lineups!$AW$47:$AW$84))</f>
        <v>17</v>
      </c>
      <c r="Q178" s="131">
        <f t="shared" ca="1" si="108"/>
        <v>17</v>
      </c>
      <c r="T178" s="131">
        <f t="shared" si="109"/>
        <v>2</v>
      </c>
      <c r="U178" s="131" t="str">
        <f t="shared" si="110"/>
        <v>16</v>
      </c>
      <c r="V178" s="131" t="str">
        <f t="shared" si="110"/>
        <v>Dodge n Burn</v>
      </c>
      <c r="W178" s="131">
        <f ca="1">IF($U178="","",SUMPRODUCT(--(Lineups!$AG$46:$AG$83=$U178),--(Lineups!$AB$46:$AB$83=""),Lineups!$W$46:$W$83)+SUMPRODUCT(--(Lineups!$AA$47:$AA$84="SP*"),--(Lineups!$AG$46:$AG$83=$U178),--(Lineups!$AB$46:$AB$83=""),Lineups!$W$47:$W$84))</f>
        <v>0</v>
      </c>
      <c r="Y178" s="142">
        <f ca="1">IF($U178="","",SUMPRODUCT(--(Lineups!$AG$46:$AG$83=$U178),--(Lineups!$AB$46:$AB$83="X"),Lineups!$W$46:$W$83)+SUMPRODUCT(--(Lineups!$AA$47:$AA$84="SP*"),--(Lineups!$AG$46:$AG$83=$U178),--(Lineups!$AB$46:$AB$83="X"),Lineups!$W$47:$W$84))</f>
        <v>0</v>
      </c>
      <c r="Z178" s="142">
        <f ca="1">IF(U178="","",SUMPRODUCT(--(Lineups!$AK$46:$AK$83=$U178),Lineups!$W$46:$W$83)+SUMPRODUCT(--(Lineups!$AA$47:$AA$84="SP*"),--(Lineups!$AK$46:$AK$83=$U178),Lineups!$W$47:$W$84))</f>
        <v>0</v>
      </c>
      <c r="AA178" s="142">
        <f ca="1">IF(U178="","",SUMPRODUCT(--(Lineups!$AO$46:$AO$83=$U178),Lineups!$W$46:$W$83)+SUMPRODUCT(--(Lineups!$AA$47:$AA$84="SP*"),--(Lineups!$AO$46:$AO$83=$U178),Lineups!$W$47:$W$84))</f>
        <v>6</v>
      </c>
      <c r="AB178" s="142">
        <f ca="1">IF(U178="","",SUMPRODUCT(--(Lineups!$AS$46:$AS$83=$U178),Lineups!$W$46:$W$83)+SUMPRODUCT(--(Lineups!$AA$47:$AA$84="SP*"),--(Lineups!$AS$46:$AS$83=$U178),Lineups!$W$47:$W$84))</f>
        <v>0</v>
      </c>
      <c r="AC178" s="131">
        <f t="shared" ca="1" si="111"/>
        <v>6</v>
      </c>
      <c r="AE178" s="131">
        <f t="shared" ca="1" si="112"/>
        <v>6</v>
      </c>
      <c r="AH178" s="131">
        <f ca="1">IF($U178="","",SUMPRODUCT(--(Lineups!$AC$46:$AC$83=$U178),Lineups!$W$46:$W$83) + SUMPRODUCT(--(Lineups!$AA$47:$AA$84="SP*"),--(Lineups!$AC$46:$AC$83=$U178),Lineups!$W$47:$W$84))</f>
        <v>0</v>
      </c>
      <c r="AJ178" s="131">
        <f t="shared" ca="1" si="113"/>
        <v>6</v>
      </c>
    </row>
    <row r="179" spans="1:36" x14ac:dyDescent="0.3">
      <c r="A179" s="16">
        <f t="shared" si="104"/>
        <v>3</v>
      </c>
      <c r="B179" s="16" t="str">
        <f t="shared" si="105"/>
        <v>1760</v>
      </c>
      <c r="C179" s="16" t="str">
        <f t="shared" si="105"/>
        <v>By O. Hazard</v>
      </c>
      <c r="D179" s="16">
        <f ca="1">IF($B179="","",SUMPRODUCT(--(Lineups!$G$46:$G$83=$B179),--(Lineups!$B$46:$B$83=""),Lineups!$AW$46:$AW$83)+SUMPRODUCT(--(Lineups!$A$47:$A$84="SP*"),--(Lineups!$G$46:$G$83=$B179),--(Lineups!$B$46:$B$83=""),Lineups!$AW$47:$AW$84))</f>
        <v>31</v>
      </c>
      <c r="F179" s="142">
        <f ca="1">IF($B179="","",SUMPRODUCT(--(Lineups!$G$46:$G$83=$B179),--(Lineups!$B$46:$B$83="X"),Lineups!$AW$46:$AW$83)+SUMPRODUCT(--(Lineups!$A$47:$A$84="SP*"),--(Lineups!$G$46:$G$83=$B179),--(Lineups!$B$46:$B$83="X"),Lineups!$AW$47:$AW$84))</f>
        <v>0</v>
      </c>
      <c r="G179" s="142">
        <f ca="1">IF($B179="","",SUMPRODUCT(--(Lineups!$K$46:$K$83=$B179),Lineups!$AW$46:$AW$83) + SUMPRODUCT(--(Lineups!$A$47:$A$84="SP*"),--(Lineups!$K$46:$K$83=$B179),Lineups!$AW$47:$AW$84))</f>
        <v>3</v>
      </c>
      <c r="H179" s="142">
        <f ca="1">IF($B179="","",SUMPRODUCT(--(Lineups!$O$46:$O$83=$B179),Lineups!$AW$46:$AW$83)+SUMPRODUCT(--(Lineups!$A$47:$A$84="SP*"),--(Lineups!$O$46:$O$83=$B179),Lineups!$AW$47:$AW$84))</f>
        <v>2</v>
      </c>
      <c r="I179" s="142">
        <f ca="1">IF($B179="","",SUMPRODUCT(--(Lineups!$S$46:$S$83=$B179),Lineups!$AW$46:$AW$83)+SUMPRODUCT(--(Lineups!$A$47:$A$84="SP*"),--(Lineups!$S$46:$S$83=$B179),Lineups!$AW$47:$AW$84))</f>
        <v>8</v>
      </c>
      <c r="J179" s="16">
        <f t="shared" ca="1" si="106"/>
        <v>13</v>
      </c>
      <c r="L179" s="16">
        <f t="shared" ca="1" si="107"/>
        <v>44</v>
      </c>
      <c r="O179" s="16">
        <f ca="1">IF($B179="","",SUMPRODUCT(--(Lineups!$C$46:$C$83=$B179),Lineups!$AW$46:$AW$83) + SUMPRODUCT(--(Lineups!$A$47:$A$84="SP*"),--(Lineups!$C$46:$C$83=$B179),Lineups!$AW$47:$AW$84))</f>
        <v>0</v>
      </c>
      <c r="Q179" s="16">
        <f t="shared" ca="1" si="108"/>
        <v>44</v>
      </c>
      <c r="T179" s="16">
        <f t="shared" si="109"/>
        <v>3</v>
      </c>
      <c r="U179" s="16" t="str">
        <f t="shared" si="110"/>
        <v>17</v>
      </c>
      <c r="V179" s="16" t="str">
        <f t="shared" si="110"/>
        <v>Yinzey Lohan</v>
      </c>
      <c r="W179" s="16">
        <f ca="1">IF($U179="","",SUMPRODUCT(--(Lineups!$AG$46:$AG$83=$U179),--(Lineups!$AB$46:$AB$83=""),Lineups!$W$46:$W$83)+SUMPRODUCT(--(Lineups!$AA$47:$AA$84="SP*"),--(Lineups!$AG$46:$AG$83=$U179),--(Lineups!$AB$46:$AB$83=""),Lineups!$W$47:$W$84))</f>
        <v>0</v>
      </c>
      <c r="Y179" s="142">
        <f ca="1">IF($U179="","",SUMPRODUCT(--(Lineups!$AG$46:$AG$83=$U179),--(Lineups!$AB$46:$AB$83="X"),Lineups!$W$46:$W$83)+SUMPRODUCT(--(Lineups!$AA$47:$AA$84="SP*"),--(Lineups!$AG$46:$AG$83=$U179),--(Lineups!$AB$46:$AB$83="X"),Lineups!$W$47:$W$84))</f>
        <v>0</v>
      </c>
      <c r="Z179" s="142">
        <f ca="1">IF(U179="","",SUMPRODUCT(--(Lineups!$AK$46:$AK$83=$U179),Lineups!$W$46:$W$83)+SUMPRODUCT(--(Lineups!$AA$47:$AA$84="SP*"),--(Lineups!$AK$46:$AK$83=$U179),Lineups!$W$47:$W$84))</f>
        <v>20</v>
      </c>
      <c r="AA179" s="142">
        <f ca="1">IF(U179="","",SUMPRODUCT(--(Lineups!$AO$46:$AO$83=$U179),Lineups!$W$46:$W$83)+SUMPRODUCT(--(Lineups!$AA$47:$AA$84="SP*"),--(Lineups!$AO$46:$AO$83=$U179),Lineups!$W$47:$W$84))</f>
        <v>0</v>
      </c>
      <c r="AB179" s="142">
        <f ca="1">IF(U179="","",SUMPRODUCT(--(Lineups!$AS$46:$AS$83=$U179),Lineups!$W$46:$W$83)+SUMPRODUCT(--(Lineups!$AA$47:$AA$84="SP*"),--(Lineups!$AS$46:$AS$83=$U179),Lineups!$W$47:$W$84))</f>
        <v>0</v>
      </c>
      <c r="AC179" s="16">
        <f t="shared" ca="1" si="111"/>
        <v>20</v>
      </c>
      <c r="AE179" s="16">
        <f t="shared" ca="1" si="112"/>
        <v>20</v>
      </c>
      <c r="AH179" s="16">
        <f ca="1">IF($U179="","",SUMPRODUCT(--(Lineups!$AC$46:$AC$83=$U179),Lineups!$W$46:$W$83) + SUMPRODUCT(--(Lineups!$AA$47:$AA$84="SP*"),--(Lineups!$AC$46:$AC$83=$U179),Lineups!$W$47:$W$84))</f>
        <v>0</v>
      </c>
      <c r="AJ179" s="16">
        <f t="shared" ca="1" si="113"/>
        <v>20</v>
      </c>
    </row>
    <row r="180" spans="1:36" x14ac:dyDescent="0.3">
      <c r="A180" s="131">
        <f t="shared" si="104"/>
        <v>4</v>
      </c>
      <c r="B180" s="131" t="str">
        <f t="shared" si="105"/>
        <v>202</v>
      </c>
      <c r="C180" s="131" t="str">
        <f t="shared" si="105"/>
        <v>Thai-GRRR</v>
      </c>
      <c r="D180" s="131">
        <f ca="1">IF($B180="","",SUMPRODUCT(--(Lineups!$G$46:$G$83=$B180),--(Lineups!$B$46:$B$83=""),Lineups!$AW$46:$AW$83)+SUMPRODUCT(--(Lineups!$A$47:$A$84="SP*"),--(Lineups!$G$46:$G$83=$B180),--(Lineups!$B$46:$B$83=""),Lineups!$AW$47:$AW$84))</f>
        <v>0</v>
      </c>
      <c r="F180" s="142">
        <f ca="1">IF($B180="","",SUMPRODUCT(--(Lineups!$G$46:$G$83=$B180),--(Lineups!$B$46:$B$83="X"),Lineups!$AW$46:$AW$83)+SUMPRODUCT(--(Lineups!$A$47:$A$84="SP*"),--(Lineups!$G$46:$G$83=$B180),--(Lineups!$B$46:$B$83="X"),Lineups!$AW$47:$AW$84))</f>
        <v>0</v>
      </c>
      <c r="G180" s="142">
        <f ca="1">IF($B180="","",SUMPRODUCT(--(Lineups!$K$46:$K$83=$B180),Lineups!$AW$46:$AW$83) + SUMPRODUCT(--(Lineups!$A$47:$A$84="SP*"),--(Lineups!$K$46:$K$83=$B180),Lineups!$AW$47:$AW$84))</f>
        <v>0</v>
      </c>
      <c r="H180" s="142">
        <f ca="1">IF($B180="","",SUMPRODUCT(--(Lineups!$O$46:$O$83=$B180),Lineups!$AW$46:$AW$83)+SUMPRODUCT(--(Lineups!$A$47:$A$84="SP*"),--(Lineups!$O$46:$O$83=$B180),Lineups!$AW$47:$AW$84))</f>
        <v>0</v>
      </c>
      <c r="I180" s="142">
        <f ca="1">IF($B180="","",SUMPRODUCT(--(Lineups!$S$46:$S$83=$B180),Lineups!$AW$46:$AW$83)+SUMPRODUCT(--(Lineups!$A$47:$A$84="SP*"),--(Lineups!$S$46:$S$83=$B180),Lineups!$AW$47:$AW$84))</f>
        <v>0</v>
      </c>
      <c r="J180" s="131">
        <f t="shared" ca="1" si="106"/>
        <v>0</v>
      </c>
      <c r="L180" s="131">
        <f t="shared" ca="1" si="107"/>
        <v>0</v>
      </c>
      <c r="O180" s="131">
        <f ca="1">IF($B180="","",SUMPRODUCT(--(Lineups!$C$46:$C$83=$B180),Lineups!$AW$46:$AW$83) + SUMPRODUCT(--(Lineups!$A$47:$A$84="SP*"),--(Lineups!$C$46:$C$83=$B180),Lineups!$AW$47:$AW$84))</f>
        <v>12</v>
      </c>
      <c r="Q180" s="131">
        <f t="shared" ca="1" si="108"/>
        <v>12</v>
      </c>
      <c r="T180" s="131">
        <f t="shared" si="109"/>
        <v>4</v>
      </c>
      <c r="U180" s="131" t="str">
        <f t="shared" si="110"/>
        <v>2</v>
      </c>
      <c r="V180" s="131" t="str">
        <f t="shared" si="110"/>
        <v>Stark Raven</v>
      </c>
      <c r="W180" s="131">
        <f ca="1">IF($U180="","",SUMPRODUCT(--(Lineups!$AG$46:$AG$83=$U180),--(Lineups!$AB$46:$AB$83=""),Lineups!$W$46:$W$83)+SUMPRODUCT(--(Lineups!$AA$47:$AA$84="SP*"),--(Lineups!$AG$46:$AG$83=$U180),--(Lineups!$AB$46:$AB$83=""),Lineups!$W$47:$W$84))</f>
        <v>0</v>
      </c>
      <c r="Y180" s="142">
        <f ca="1">IF($U180="","",SUMPRODUCT(--(Lineups!$AG$46:$AG$83=$U180),--(Lineups!$AB$46:$AB$83="X"),Lineups!$W$46:$W$83)+SUMPRODUCT(--(Lineups!$AA$47:$AA$84="SP*"),--(Lineups!$AG$46:$AG$83=$U180),--(Lineups!$AB$46:$AB$83="X"),Lineups!$W$47:$W$84))</f>
        <v>0</v>
      </c>
      <c r="Z180" s="142">
        <f ca="1">IF(U180="","",SUMPRODUCT(--(Lineups!$AK$46:$AK$83=$U180),Lineups!$W$46:$W$83)+SUMPRODUCT(--(Lineups!$AA$47:$AA$84="SP*"),--(Lineups!$AK$46:$AK$83=$U180),Lineups!$W$47:$W$84))</f>
        <v>28</v>
      </c>
      <c r="AA180" s="142">
        <f ca="1">IF(U180="","",SUMPRODUCT(--(Lineups!$AO$46:$AO$83=$U180),Lineups!$W$46:$W$83)+SUMPRODUCT(--(Lineups!$AA$47:$AA$84="SP*"),--(Lineups!$AO$46:$AO$83=$U180),Lineups!$W$47:$W$84))</f>
        <v>0</v>
      </c>
      <c r="AB180" s="142">
        <f ca="1">IF(U180="","",SUMPRODUCT(--(Lineups!$AS$46:$AS$83=$U180),Lineups!$W$46:$W$83)+SUMPRODUCT(--(Lineups!$AA$47:$AA$84="SP*"),--(Lineups!$AS$46:$AS$83=$U180),Lineups!$W$47:$W$84))</f>
        <v>0</v>
      </c>
      <c r="AC180" s="131">
        <f t="shared" ca="1" si="111"/>
        <v>28</v>
      </c>
      <c r="AE180" s="131">
        <f t="shared" ca="1" si="112"/>
        <v>28</v>
      </c>
      <c r="AH180" s="131">
        <f ca="1">IF($U180="","",SUMPRODUCT(--(Lineups!$AC$46:$AC$83=$U180),Lineups!$W$46:$W$83) + SUMPRODUCT(--(Lineups!$AA$47:$AA$84="SP*"),--(Lineups!$AC$46:$AC$83=$U180),Lineups!$W$47:$W$84))</f>
        <v>0</v>
      </c>
      <c r="AJ180" s="131">
        <f t="shared" ca="1" si="113"/>
        <v>28</v>
      </c>
    </row>
    <row r="181" spans="1:36" x14ac:dyDescent="0.3">
      <c r="A181" s="16">
        <f t="shared" si="104"/>
        <v>5</v>
      </c>
      <c r="B181" s="16" t="str">
        <f t="shared" si="105"/>
        <v>22</v>
      </c>
      <c r="C181" s="16" t="str">
        <f t="shared" si="105"/>
        <v>Jen Hex</v>
      </c>
      <c r="D181" s="16">
        <f ca="1">IF($B181="","",SUMPRODUCT(--(Lineups!$G$46:$G$83=$B181),--(Lineups!$B$46:$B$83=""),Lineups!$AW$46:$AW$83)+SUMPRODUCT(--(Lineups!$A$47:$A$84="SP*"),--(Lineups!$G$46:$G$83=$B181),--(Lineups!$B$46:$B$83=""),Lineups!$AW$47:$AW$84))</f>
        <v>0</v>
      </c>
      <c r="F181" s="142">
        <f ca="1">IF($B181="","",SUMPRODUCT(--(Lineups!$G$46:$G$83=$B181),--(Lineups!$B$46:$B$83="X"),Lineups!$AW$46:$AW$83)+SUMPRODUCT(--(Lineups!$A$47:$A$84="SP*"),--(Lineups!$G$46:$G$83=$B181),--(Lineups!$B$46:$B$83="X"),Lineups!$AW$47:$AW$84))</f>
        <v>0</v>
      </c>
      <c r="G181" s="142">
        <f ca="1">IF($B181="","",SUMPRODUCT(--(Lineups!$K$46:$K$83=$B181),Lineups!$AW$46:$AW$83) + SUMPRODUCT(--(Lineups!$A$47:$A$84="SP*"),--(Lineups!$K$46:$K$83=$B181),Lineups!$AW$47:$AW$84))</f>
        <v>0</v>
      </c>
      <c r="H181" s="142">
        <f ca="1">IF($B181="","",SUMPRODUCT(--(Lineups!$O$46:$O$83=$B181),Lineups!$AW$46:$AW$83)+SUMPRODUCT(--(Lineups!$A$47:$A$84="SP*"),--(Lineups!$O$46:$O$83=$B181),Lineups!$AW$47:$AW$84))</f>
        <v>0</v>
      </c>
      <c r="I181" s="142">
        <f ca="1">IF($B181="","",SUMPRODUCT(--(Lineups!$S$46:$S$83=$B181),Lineups!$AW$46:$AW$83)+SUMPRODUCT(--(Lineups!$A$47:$A$84="SP*"),--(Lineups!$S$46:$S$83=$B181),Lineups!$AW$47:$AW$84))</f>
        <v>0</v>
      </c>
      <c r="J181" s="16">
        <f t="shared" ca="1" si="106"/>
        <v>0</v>
      </c>
      <c r="L181" s="16">
        <f t="shared" ca="1" si="107"/>
        <v>0</v>
      </c>
      <c r="O181" s="16">
        <f ca="1">IF($B181="","",SUMPRODUCT(--(Lineups!$C$46:$C$83=$B181),Lineups!$AW$46:$AW$83) + SUMPRODUCT(--(Lineups!$A$47:$A$84="SP*"),--(Lineups!$C$46:$C$83=$B181),Lineups!$AW$47:$AW$84))</f>
        <v>0</v>
      </c>
      <c r="Q181" s="16">
        <f t="shared" ca="1" si="108"/>
        <v>0</v>
      </c>
      <c r="T181" s="16">
        <f t="shared" si="109"/>
        <v>5</v>
      </c>
      <c r="U181" s="16" t="str">
        <f t="shared" si="110"/>
        <v>219</v>
      </c>
      <c r="V181" s="16" t="str">
        <f t="shared" si="110"/>
        <v>Dakota Slamming</v>
      </c>
      <c r="W181" s="16">
        <f ca="1">IF($U181="","",SUMPRODUCT(--(Lineups!$AG$46:$AG$83=$U181),--(Lineups!$AB$46:$AB$83=""),Lineups!$W$46:$W$83)+SUMPRODUCT(--(Lineups!$AA$47:$AA$84="SP*"),--(Lineups!$AG$46:$AG$83=$U181),--(Lineups!$AB$46:$AB$83=""),Lineups!$W$47:$W$84))</f>
        <v>37</v>
      </c>
      <c r="Y181" s="142">
        <f ca="1">IF($U181="","",SUMPRODUCT(--(Lineups!$AG$46:$AG$83=$U181),--(Lineups!$AB$46:$AB$83="X"),Lineups!$W$46:$W$83)+SUMPRODUCT(--(Lineups!$AA$47:$AA$84="SP*"),--(Lineups!$AG$46:$AG$83=$U181),--(Lineups!$AB$46:$AB$83="X"),Lineups!$W$47:$W$84))</f>
        <v>0</v>
      </c>
      <c r="Z181" s="142">
        <f ca="1">IF(U181="","",SUMPRODUCT(--(Lineups!$AK$46:$AK$83=$U181),Lineups!$W$46:$W$83)+SUMPRODUCT(--(Lineups!$AA$47:$AA$84="SP*"),--(Lineups!$AK$46:$AK$83=$U181),Lineups!$W$47:$W$84))</f>
        <v>0</v>
      </c>
      <c r="AA181" s="142">
        <f ca="1">IF(U181="","",SUMPRODUCT(--(Lineups!$AO$46:$AO$83=$U181),Lineups!$W$46:$W$83)+SUMPRODUCT(--(Lineups!$AA$47:$AA$84="SP*"),--(Lineups!$AO$46:$AO$83=$U181),Lineups!$W$47:$W$84))</f>
        <v>20</v>
      </c>
      <c r="AB181" s="142">
        <f ca="1">IF(U181="","",SUMPRODUCT(--(Lineups!$AS$46:$AS$83=$U181),Lineups!$W$46:$W$83)+SUMPRODUCT(--(Lineups!$AA$47:$AA$84="SP*"),--(Lineups!$AS$46:$AS$83=$U181),Lineups!$W$47:$W$84))</f>
        <v>12</v>
      </c>
      <c r="AC181" s="16">
        <f t="shared" ca="1" si="111"/>
        <v>32</v>
      </c>
      <c r="AE181" s="16">
        <f t="shared" ca="1" si="112"/>
        <v>69</v>
      </c>
      <c r="AH181" s="16">
        <f ca="1">IF($U181="","",SUMPRODUCT(--(Lineups!$AC$46:$AC$83=$U181),Lineups!$W$46:$W$83) + SUMPRODUCT(--(Lineups!$AA$47:$AA$84="SP*"),--(Lineups!$AC$46:$AC$83=$U181),Lineups!$W$47:$W$84))</f>
        <v>0</v>
      </c>
      <c r="AJ181" s="16">
        <f t="shared" ca="1" si="113"/>
        <v>69</v>
      </c>
    </row>
    <row r="182" spans="1:36" x14ac:dyDescent="0.3">
      <c r="A182" s="131">
        <f t="shared" si="104"/>
        <v>6</v>
      </c>
      <c r="B182" s="131" t="str">
        <f t="shared" si="105"/>
        <v>221*</v>
      </c>
      <c r="C182" s="131" t="str">
        <f t="shared" si="105"/>
        <v>Kili Pepa</v>
      </c>
      <c r="D182" s="131">
        <f ca="1">IF($B182="","",SUMPRODUCT(--(Lineups!$G$46:$G$83=$B182),--(Lineups!$B$46:$B$83=""),Lineups!$AW$46:$AW$83)+SUMPRODUCT(--(Lineups!$A$47:$A$84="SP*"),--(Lineups!$G$46:$G$83=$B182),--(Lineups!$B$46:$B$83=""),Lineups!$AW$47:$AW$84))</f>
        <v>0</v>
      </c>
      <c r="F182" s="142">
        <f ca="1">IF($B182="","",SUMPRODUCT(--(Lineups!$G$46:$G$83=$B182),--(Lineups!$B$46:$B$83="X"),Lineups!$AW$46:$AW$83)+SUMPRODUCT(--(Lineups!$A$47:$A$84="SP*"),--(Lineups!$G$46:$G$83=$B182),--(Lineups!$B$46:$B$83="X"),Lineups!$AW$47:$AW$84))</f>
        <v>0</v>
      </c>
      <c r="G182" s="142">
        <f ca="1">IF($B182="","",SUMPRODUCT(--(Lineups!$K$46:$K$83=$B182),Lineups!$AW$46:$AW$83) + SUMPRODUCT(--(Lineups!$A$47:$A$84="SP*"),--(Lineups!$K$46:$K$83=$B182),Lineups!$AW$47:$AW$84))</f>
        <v>0</v>
      </c>
      <c r="H182" s="142">
        <f ca="1">IF($B182="","",SUMPRODUCT(--(Lineups!$O$46:$O$83=$B182),Lineups!$AW$46:$AW$83)+SUMPRODUCT(--(Lineups!$A$47:$A$84="SP*"),--(Lineups!$O$46:$O$83=$B182),Lineups!$AW$47:$AW$84))</f>
        <v>0</v>
      </c>
      <c r="I182" s="142">
        <f ca="1">IF($B182="","",SUMPRODUCT(--(Lineups!$S$46:$S$83=$B182),Lineups!$AW$46:$AW$83)+SUMPRODUCT(--(Lineups!$A$47:$A$84="SP*"),--(Lineups!$S$46:$S$83=$B182),Lineups!$AW$47:$AW$84))</f>
        <v>0</v>
      </c>
      <c r="J182" s="131">
        <f t="shared" ca="1" si="106"/>
        <v>0</v>
      </c>
      <c r="L182" s="131">
        <f t="shared" ca="1" si="107"/>
        <v>0</v>
      </c>
      <c r="O182" s="131">
        <f ca="1">IF($B182="","",SUMPRODUCT(--(Lineups!$C$46:$C$83=$B182),Lineups!$AW$46:$AW$83) + SUMPRODUCT(--(Lineups!$A$47:$A$84="SP*"),--(Lineups!$C$46:$C$83=$B182),Lineups!$AW$47:$AW$84))</f>
        <v>0</v>
      </c>
      <c r="Q182" s="131">
        <f t="shared" ca="1" si="108"/>
        <v>0</v>
      </c>
      <c r="T182" s="131">
        <f t="shared" si="109"/>
        <v>6</v>
      </c>
      <c r="U182" s="131" t="str">
        <f t="shared" si="110"/>
        <v>22</v>
      </c>
      <c r="V182" s="131" t="str">
        <f t="shared" si="110"/>
        <v>Dammit Jammit</v>
      </c>
      <c r="W182" s="131">
        <f ca="1">IF($U182="","",SUMPRODUCT(--(Lineups!$AG$46:$AG$83=$U182),--(Lineups!$AB$46:$AB$83=""),Lineups!$W$46:$W$83)+SUMPRODUCT(--(Lineups!$AA$47:$AA$84="SP*"),--(Lineups!$AG$46:$AG$83=$U182),--(Lineups!$AB$46:$AB$83=""),Lineups!$W$47:$W$84))</f>
        <v>8</v>
      </c>
      <c r="Y182" s="142">
        <f ca="1">IF($U182="","",SUMPRODUCT(--(Lineups!$AG$46:$AG$83=$U182),--(Lineups!$AB$46:$AB$83="X"),Lineups!$W$46:$W$83)+SUMPRODUCT(--(Lineups!$AA$47:$AA$84="SP*"),--(Lineups!$AG$46:$AG$83=$U182),--(Lineups!$AB$46:$AB$83="X"),Lineups!$W$47:$W$84))</f>
        <v>0</v>
      </c>
      <c r="Z182" s="142">
        <f ca="1">IF(U182="","",SUMPRODUCT(--(Lineups!$AK$46:$AK$83=$U182),Lineups!$W$46:$W$83)+SUMPRODUCT(--(Lineups!$AA$47:$AA$84="SP*"),--(Lineups!$AK$46:$AK$83=$U182),Lineups!$W$47:$W$84))</f>
        <v>0</v>
      </c>
      <c r="AA182" s="142">
        <f ca="1">IF(U182="","",SUMPRODUCT(--(Lineups!$AO$46:$AO$83=$U182),Lineups!$W$46:$W$83)+SUMPRODUCT(--(Lineups!$AA$47:$AA$84="SP*"),--(Lineups!$AO$46:$AO$83=$U182),Lineups!$W$47:$W$84))</f>
        <v>9</v>
      </c>
      <c r="AB182" s="142">
        <f ca="1">IF(U182="","",SUMPRODUCT(--(Lineups!$AS$46:$AS$83=$U182),Lineups!$W$46:$W$83)+SUMPRODUCT(--(Lineups!$AA$47:$AA$84="SP*"),--(Lineups!$AS$46:$AS$83=$U182),Lineups!$W$47:$W$84))</f>
        <v>5</v>
      </c>
      <c r="AC182" s="131">
        <f t="shared" ca="1" si="111"/>
        <v>14</v>
      </c>
      <c r="AE182" s="131">
        <f t="shared" ca="1" si="112"/>
        <v>22</v>
      </c>
      <c r="AH182" s="131">
        <f ca="1">IF($U182="","",SUMPRODUCT(--(Lineups!$AC$46:$AC$83=$U182),Lineups!$W$46:$W$83) + SUMPRODUCT(--(Lineups!$AA$47:$AA$84="SP*"),--(Lineups!$AC$46:$AC$83=$U182),Lineups!$W$47:$W$84))</f>
        <v>0</v>
      </c>
      <c r="AJ182" s="131">
        <f t="shared" ca="1" si="113"/>
        <v>22</v>
      </c>
    </row>
    <row r="183" spans="1:36" x14ac:dyDescent="0.3">
      <c r="A183" s="16">
        <f t="shared" si="104"/>
        <v>7</v>
      </c>
      <c r="B183" s="16" t="str">
        <f t="shared" si="105"/>
        <v>229</v>
      </c>
      <c r="C183" s="16" t="str">
        <f t="shared" si="105"/>
        <v>Sparky</v>
      </c>
      <c r="D183" s="16">
        <f ca="1">IF($B183="","",SUMPRODUCT(--(Lineups!$G$46:$G$83=$B183),--(Lineups!$B$46:$B$83=""),Lineups!$AW$46:$AW$83)+SUMPRODUCT(--(Lineups!$A$47:$A$84="SP*"),--(Lineups!$G$46:$G$83=$B183),--(Lineups!$B$46:$B$83=""),Lineups!$AW$47:$AW$84))</f>
        <v>0</v>
      </c>
      <c r="F183" s="142">
        <f ca="1">IF($B183="","",SUMPRODUCT(--(Lineups!$G$46:$G$83=$B183),--(Lineups!$B$46:$B$83="X"),Lineups!$AW$46:$AW$83)+SUMPRODUCT(--(Lineups!$A$47:$A$84="SP*"),--(Lineups!$G$46:$G$83=$B183),--(Lineups!$B$46:$B$83="X"),Lineups!$AW$47:$AW$84))</f>
        <v>0</v>
      </c>
      <c r="G183" s="142">
        <f ca="1">IF($B183="","",SUMPRODUCT(--(Lineups!$K$46:$K$83=$B183),Lineups!$AW$46:$AW$83) + SUMPRODUCT(--(Lineups!$A$47:$A$84="SP*"),--(Lineups!$K$46:$K$83=$B183),Lineups!$AW$47:$AW$84))</f>
        <v>8</v>
      </c>
      <c r="H183" s="142">
        <f ca="1">IF($B183="","",SUMPRODUCT(--(Lineups!$O$46:$O$83=$B183),Lineups!$AW$46:$AW$83)+SUMPRODUCT(--(Lineups!$A$47:$A$84="SP*"),--(Lineups!$O$46:$O$83=$B183),Lineups!$AW$47:$AW$84))</f>
        <v>4</v>
      </c>
      <c r="I183" s="142">
        <f ca="1">IF($B183="","",SUMPRODUCT(--(Lineups!$S$46:$S$83=$B183),Lineups!$AW$46:$AW$83)+SUMPRODUCT(--(Lineups!$A$47:$A$84="SP*"),--(Lineups!$S$46:$S$83=$B183),Lineups!$AW$47:$AW$84))</f>
        <v>0</v>
      </c>
      <c r="J183" s="16">
        <f t="shared" ca="1" si="106"/>
        <v>12</v>
      </c>
      <c r="L183" s="16">
        <f t="shared" ca="1" si="107"/>
        <v>12</v>
      </c>
      <c r="O183" s="16">
        <f ca="1">IF($B183="","",SUMPRODUCT(--(Lineups!$C$46:$C$83=$B183),Lineups!$AW$46:$AW$83) + SUMPRODUCT(--(Lineups!$A$47:$A$84="SP*"),--(Lineups!$C$46:$C$83=$B183),Lineups!$AW$47:$AW$84))</f>
        <v>0</v>
      </c>
      <c r="Q183" s="16">
        <f t="shared" ca="1" si="108"/>
        <v>12</v>
      </c>
      <c r="T183" s="16">
        <f t="shared" si="109"/>
        <v>7</v>
      </c>
      <c r="U183" s="16" t="str">
        <f t="shared" si="110"/>
        <v>223</v>
      </c>
      <c r="V183" s="16" t="str">
        <f t="shared" si="110"/>
        <v>Frida Killah</v>
      </c>
      <c r="W183" s="16">
        <f ca="1">IF($U183="","",SUMPRODUCT(--(Lineups!$AG$46:$AG$83=$U183),--(Lineups!$AB$46:$AB$83=""),Lineups!$W$46:$W$83)+SUMPRODUCT(--(Lineups!$AA$47:$AA$84="SP*"),--(Lineups!$AG$46:$AG$83=$U183),--(Lineups!$AB$46:$AB$83=""),Lineups!$W$47:$W$84))</f>
        <v>0</v>
      </c>
      <c r="Y183" s="142">
        <f ca="1">IF($U183="","",SUMPRODUCT(--(Lineups!$AG$46:$AG$83=$U183),--(Lineups!$AB$46:$AB$83="X"),Lineups!$W$46:$W$83)+SUMPRODUCT(--(Lineups!$AA$47:$AA$84="SP*"),--(Lineups!$AG$46:$AG$83=$U183),--(Lineups!$AB$46:$AB$83="X"),Lineups!$W$47:$W$84))</f>
        <v>0</v>
      </c>
      <c r="Z183" s="142">
        <f ca="1">IF(U183="","",SUMPRODUCT(--(Lineups!$AK$46:$AK$83=$U183),Lineups!$W$46:$W$83)+SUMPRODUCT(--(Lineups!$AA$47:$AA$84="SP*"),--(Lineups!$AK$46:$AK$83=$U183),Lineups!$W$47:$W$84))</f>
        <v>0</v>
      </c>
      <c r="AA183" s="142">
        <f ca="1">IF(U183="","",SUMPRODUCT(--(Lineups!$AO$46:$AO$83=$U183),Lineups!$W$46:$W$83)+SUMPRODUCT(--(Lineups!$AA$47:$AA$84="SP*"),--(Lineups!$AO$46:$AO$83=$U183),Lineups!$W$47:$W$84))</f>
        <v>0</v>
      </c>
      <c r="AB183" s="142">
        <f ca="1">IF(U183="","",SUMPRODUCT(--(Lineups!$AS$46:$AS$83=$U183),Lineups!$W$46:$W$83)+SUMPRODUCT(--(Lineups!$AA$47:$AA$84="SP*"),--(Lineups!$AS$46:$AS$83=$U183),Lineups!$W$47:$W$84))</f>
        <v>0</v>
      </c>
      <c r="AC183" s="16">
        <f t="shared" ca="1" si="111"/>
        <v>0</v>
      </c>
      <c r="AE183" s="16">
        <f t="shared" ca="1" si="112"/>
        <v>0</v>
      </c>
      <c r="AH183" s="16">
        <f ca="1">IF($U183="","",SUMPRODUCT(--(Lineups!$AC$46:$AC$83=$U183),Lineups!$W$46:$W$83) + SUMPRODUCT(--(Lineups!$AA$47:$AA$84="SP*"),--(Lineups!$AC$46:$AC$83=$U183),Lineups!$W$47:$W$84))</f>
        <v>0</v>
      </c>
      <c r="AJ183" s="16">
        <f t="shared" ca="1" si="113"/>
        <v>0</v>
      </c>
    </row>
    <row r="184" spans="1:36" x14ac:dyDescent="0.3">
      <c r="A184" s="131">
        <f t="shared" si="104"/>
        <v>8</v>
      </c>
      <c r="B184" s="131" t="str">
        <f t="shared" si="105"/>
        <v>237</v>
      </c>
      <c r="C184" s="131" t="str">
        <f t="shared" si="105"/>
        <v>RedRum</v>
      </c>
      <c r="D184" s="131">
        <f ca="1">IF($B184="","",SUMPRODUCT(--(Lineups!$G$46:$G$83=$B184),--(Lineups!$B$46:$B$83=""),Lineups!$AW$46:$AW$83)+SUMPRODUCT(--(Lineups!$A$47:$A$84="SP*"),--(Lineups!$G$46:$G$83=$B184),--(Lineups!$B$46:$B$83=""),Lineups!$AW$47:$AW$84))</f>
        <v>0</v>
      </c>
      <c r="F184" s="142">
        <f ca="1">IF($B184="","",SUMPRODUCT(--(Lineups!$G$46:$G$83=$B184),--(Lineups!$B$46:$B$83="X"),Lineups!$AW$46:$AW$83)+SUMPRODUCT(--(Lineups!$A$47:$A$84="SP*"),--(Lineups!$G$46:$G$83=$B184),--(Lineups!$B$46:$B$83="X"),Lineups!$AW$47:$AW$84))</f>
        <v>0</v>
      </c>
      <c r="G184" s="142">
        <f ca="1">IF($B184="","",SUMPRODUCT(--(Lineups!$K$46:$K$83=$B184),Lineups!$AW$46:$AW$83) + SUMPRODUCT(--(Lineups!$A$47:$A$84="SP*"),--(Lineups!$K$46:$K$83=$B184),Lineups!$AW$47:$AW$84))</f>
        <v>4</v>
      </c>
      <c r="H184" s="142">
        <f ca="1">IF($B184="","",SUMPRODUCT(--(Lineups!$O$46:$O$83=$B184),Lineups!$AW$46:$AW$83)+SUMPRODUCT(--(Lineups!$A$47:$A$84="SP*"),--(Lineups!$O$46:$O$83=$B184),Lineups!$AW$47:$AW$84))</f>
        <v>23</v>
      </c>
      <c r="I184" s="142">
        <f ca="1">IF($B184="","",SUMPRODUCT(--(Lineups!$S$46:$S$83=$B184),Lineups!$AW$46:$AW$83)+SUMPRODUCT(--(Lineups!$A$47:$A$84="SP*"),--(Lineups!$S$46:$S$83=$B184),Lineups!$AW$47:$AW$84))</f>
        <v>8</v>
      </c>
      <c r="J184" s="131">
        <f t="shared" ca="1" si="106"/>
        <v>35</v>
      </c>
      <c r="L184" s="131">
        <f t="shared" ca="1" si="107"/>
        <v>35</v>
      </c>
      <c r="O184" s="131">
        <f ca="1">IF($B184="","",SUMPRODUCT(--(Lineups!$C$46:$C$83=$B184),Lineups!$AW$46:$AW$83) + SUMPRODUCT(--(Lineups!$A$47:$A$84="SP*"),--(Lineups!$C$46:$C$83=$B184),Lineups!$AW$47:$AW$84))</f>
        <v>0</v>
      </c>
      <c r="Q184" s="131">
        <f t="shared" ca="1" si="108"/>
        <v>35</v>
      </c>
      <c r="T184" s="131">
        <f t="shared" si="109"/>
        <v>8</v>
      </c>
      <c r="U184" s="131" t="str">
        <f t="shared" si="110"/>
        <v>23</v>
      </c>
      <c r="V184" s="131" t="str">
        <f t="shared" si="110"/>
        <v>Towanda Woman</v>
      </c>
      <c r="W184" s="131">
        <f ca="1">IF($U184="","",SUMPRODUCT(--(Lineups!$AG$46:$AG$83=$U184),--(Lineups!$AB$46:$AB$83=""),Lineups!$W$46:$W$83)+SUMPRODUCT(--(Lineups!$AA$47:$AA$84="SP*"),--(Lineups!$AG$46:$AG$83=$U184),--(Lineups!$AB$46:$AB$83=""),Lineups!$W$47:$W$84))</f>
        <v>0</v>
      </c>
      <c r="Y184" s="142">
        <f ca="1">IF($U184="","",SUMPRODUCT(--(Lineups!$AG$46:$AG$83=$U184),--(Lineups!$AB$46:$AB$83="X"),Lineups!$W$46:$W$83)+SUMPRODUCT(--(Lineups!$AA$47:$AA$84="SP*"),--(Lineups!$AG$46:$AG$83=$U184),--(Lineups!$AB$46:$AB$83="X"),Lineups!$W$47:$W$84))</f>
        <v>0</v>
      </c>
      <c r="Z184" s="142">
        <f ca="1">IF(U184="","",SUMPRODUCT(--(Lineups!$AK$46:$AK$83=$U184),Lineups!$W$46:$W$83)+SUMPRODUCT(--(Lineups!$AA$47:$AA$84="SP*"),--(Lineups!$AK$46:$AK$83=$U184),Lineups!$W$47:$W$84))</f>
        <v>0</v>
      </c>
      <c r="AA184" s="142">
        <f ca="1">IF(U184="","",SUMPRODUCT(--(Lineups!$AO$46:$AO$83=$U184),Lineups!$W$46:$W$83)+SUMPRODUCT(--(Lineups!$AA$47:$AA$84="SP*"),--(Lineups!$AO$46:$AO$83=$U184),Lineups!$W$47:$W$84))</f>
        <v>0</v>
      </c>
      <c r="AB184" s="142">
        <f ca="1">IF(U184="","",SUMPRODUCT(--(Lineups!$AS$46:$AS$83=$U184),Lineups!$W$46:$W$83)+SUMPRODUCT(--(Lineups!$AA$47:$AA$84="SP*"),--(Lineups!$AS$46:$AS$83=$U184),Lineups!$W$47:$W$84))</f>
        <v>0</v>
      </c>
      <c r="AC184" s="131">
        <f t="shared" ca="1" si="111"/>
        <v>0</v>
      </c>
      <c r="AE184" s="131">
        <f t="shared" ca="1" si="112"/>
        <v>0</v>
      </c>
      <c r="AH184" s="131">
        <f ca="1">IF($U184="","",SUMPRODUCT(--(Lineups!$AC$46:$AC$83=$U184),Lineups!$W$46:$W$83) + SUMPRODUCT(--(Lineups!$AA$47:$AA$84="SP*"),--(Lineups!$AC$46:$AC$83=$U184),Lineups!$W$47:$W$84))</f>
        <v>26</v>
      </c>
      <c r="AJ184" s="131">
        <f t="shared" ca="1" si="113"/>
        <v>26</v>
      </c>
    </row>
    <row r="185" spans="1:36" x14ac:dyDescent="0.3">
      <c r="A185" s="16">
        <f t="shared" si="104"/>
        <v>9</v>
      </c>
      <c r="B185" s="16" t="str">
        <f t="shared" si="105"/>
        <v>282*</v>
      </c>
      <c r="C185" s="16" t="str">
        <f t="shared" si="105"/>
        <v>Dash Ketchum</v>
      </c>
      <c r="D185" s="16">
        <f ca="1">IF($B185="","",SUMPRODUCT(--(Lineups!$G$46:$G$83=$B185),--(Lineups!$B$46:$B$83=""),Lineups!$AW$46:$AW$83)+SUMPRODUCT(--(Lineups!$A$47:$A$84="SP*"),--(Lineups!$G$46:$G$83=$B185),--(Lineups!$B$46:$B$83=""),Lineups!$AW$47:$AW$84))</f>
        <v>0</v>
      </c>
      <c r="F185" s="142">
        <f ca="1">IF($B185="","",SUMPRODUCT(--(Lineups!$G$46:$G$83=$B185),--(Lineups!$B$46:$B$83="X"),Lineups!$AW$46:$AW$83)+SUMPRODUCT(--(Lineups!$A$47:$A$84="SP*"),--(Lineups!$G$46:$G$83=$B185),--(Lineups!$B$46:$B$83="X"),Lineups!$AW$47:$AW$84))</f>
        <v>0</v>
      </c>
      <c r="G185" s="142">
        <f ca="1">IF($B185="","",SUMPRODUCT(--(Lineups!$K$46:$K$83=$B185),Lineups!$AW$46:$AW$83) + SUMPRODUCT(--(Lineups!$A$47:$A$84="SP*"),--(Lineups!$K$46:$K$83=$B185),Lineups!$AW$47:$AW$84))</f>
        <v>0</v>
      </c>
      <c r="H185" s="142">
        <f ca="1">IF($B185="","",SUMPRODUCT(--(Lineups!$O$46:$O$83=$B185),Lineups!$AW$46:$AW$83)+SUMPRODUCT(--(Lineups!$A$47:$A$84="SP*"),--(Lineups!$O$46:$O$83=$B185),Lineups!$AW$47:$AW$84))</f>
        <v>0</v>
      </c>
      <c r="I185" s="142">
        <f ca="1">IF($B185="","",SUMPRODUCT(--(Lineups!$S$46:$S$83=$B185),Lineups!$AW$46:$AW$83)+SUMPRODUCT(--(Lineups!$A$47:$A$84="SP*"),--(Lineups!$S$46:$S$83=$B185),Lineups!$AW$47:$AW$84))</f>
        <v>0</v>
      </c>
      <c r="J185" s="16">
        <f t="shared" ca="1" si="106"/>
        <v>0</v>
      </c>
      <c r="L185" s="16">
        <f t="shared" ca="1" si="107"/>
        <v>0</v>
      </c>
      <c r="O185" s="16">
        <f ca="1">IF($B185="","",SUMPRODUCT(--(Lineups!$C$46:$C$83=$B185),Lineups!$AW$46:$AW$83) + SUMPRODUCT(--(Lineups!$A$47:$A$84="SP*"),--(Lineups!$C$46:$C$83=$B185),Lineups!$AW$47:$AW$84))</f>
        <v>0</v>
      </c>
      <c r="Q185" s="16">
        <f t="shared" ca="1" si="108"/>
        <v>0</v>
      </c>
      <c r="T185" s="16">
        <f t="shared" si="109"/>
        <v>9</v>
      </c>
      <c r="U185" s="16" t="str">
        <f t="shared" si="110"/>
        <v>25</v>
      </c>
      <c r="V185" s="16" t="str">
        <f t="shared" si="110"/>
        <v>Ally McKill</v>
      </c>
      <c r="W185" s="16">
        <f ca="1">IF($U185="","",SUMPRODUCT(--(Lineups!$AG$46:$AG$83=$U185),--(Lineups!$AB$46:$AB$83=""),Lineups!$W$46:$W$83)+SUMPRODUCT(--(Lineups!$AA$47:$AA$84="SP*"),--(Lineups!$AG$46:$AG$83=$U185),--(Lineups!$AB$46:$AB$83=""),Lineups!$W$47:$W$84))</f>
        <v>0</v>
      </c>
      <c r="Y185" s="142">
        <f ca="1">IF($U185="","",SUMPRODUCT(--(Lineups!$AG$46:$AG$83=$U185),--(Lineups!$AB$46:$AB$83="X"),Lineups!$W$46:$W$83)+SUMPRODUCT(--(Lineups!$AA$47:$AA$84="SP*"),--(Lineups!$AG$46:$AG$83=$U185),--(Lineups!$AB$46:$AB$83="X"),Lineups!$W$47:$W$84))</f>
        <v>0</v>
      </c>
      <c r="Z185" s="142">
        <f ca="1">IF(U185="","",SUMPRODUCT(--(Lineups!$AK$46:$AK$83=$U185),Lineups!$W$46:$W$83)+SUMPRODUCT(--(Lineups!$AA$47:$AA$84="SP*"),--(Lineups!$AK$46:$AK$83=$U185),Lineups!$W$47:$W$84))</f>
        <v>49</v>
      </c>
      <c r="AA185" s="142">
        <f ca="1">IF(U185="","",SUMPRODUCT(--(Lineups!$AO$46:$AO$83=$U185),Lineups!$W$46:$W$83)+SUMPRODUCT(--(Lineups!$AA$47:$AA$84="SP*"),--(Lineups!$AO$46:$AO$83=$U185),Lineups!$W$47:$W$84))</f>
        <v>20</v>
      </c>
      <c r="AB185" s="142">
        <f ca="1">IF(U185="","",SUMPRODUCT(--(Lineups!$AS$46:$AS$83=$U185),Lineups!$W$46:$W$83)+SUMPRODUCT(--(Lineups!$AA$47:$AA$84="SP*"),--(Lineups!$AS$46:$AS$83=$U185),Lineups!$W$47:$W$84))</f>
        <v>0</v>
      </c>
      <c r="AC185" s="16">
        <f t="shared" ca="1" si="111"/>
        <v>69</v>
      </c>
      <c r="AE185" s="16">
        <f t="shared" ca="1" si="112"/>
        <v>69</v>
      </c>
      <c r="AH185" s="16">
        <f ca="1">IF($U185="","",SUMPRODUCT(--(Lineups!$AC$46:$AC$83=$U185),Lineups!$W$46:$W$83) + SUMPRODUCT(--(Lineups!$AA$47:$AA$84="SP*"),--(Lineups!$AC$46:$AC$83=$U185),Lineups!$W$47:$W$84))</f>
        <v>0</v>
      </c>
      <c r="AJ185" s="16">
        <f t="shared" ca="1" si="113"/>
        <v>69</v>
      </c>
    </row>
    <row r="186" spans="1:36" x14ac:dyDescent="0.3">
      <c r="A186" s="131">
        <f t="shared" si="104"/>
        <v>10</v>
      </c>
      <c r="B186" s="131" t="str">
        <f t="shared" si="105"/>
        <v>337</v>
      </c>
      <c r="C186" s="131" t="str">
        <f t="shared" si="105"/>
        <v>Susan Sure Ram Dem</v>
      </c>
      <c r="D186" s="131">
        <f ca="1">IF($B186="","",SUMPRODUCT(--(Lineups!$G$46:$G$83=$B186),--(Lineups!$B$46:$B$83=""),Lineups!$AW$46:$AW$83)+SUMPRODUCT(--(Lineups!$A$47:$A$84="SP*"),--(Lineups!$G$46:$G$83=$B186),--(Lineups!$B$46:$B$83=""),Lineups!$AW$47:$AW$84))</f>
        <v>0</v>
      </c>
      <c r="F186" s="142">
        <f ca="1">IF($B186="","",SUMPRODUCT(--(Lineups!$G$46:$G$83=$B186),--(Lineups!$B$46:$B$83="X"),Lineups!$AW$46:$AW$83)+SUMPRODUCT(--(Lineups!$A$47:$A$84="SP*"),--(Lineups!$G$46:$G$83=$B186),--(Lineups!$B$46:$B$83="X"),Lineups!$AW$47:$AW$84))</f>
        <v>0</v>
      </c>
      <c r="G186" s="142">
        <f ca="1">IF($B186="","",SUMPRODUCT(--(Lineups!$K$46:$K$83=$B186),Lineups!$AW$46:$AW$83) + SUMPRODUCT(--(Lineups!$A$47:$A$84="SP*"),--(Lineups!$K$46:$K$83=$B186),Lineups!$AW$47:$AW$84))</f>
        <v>7</v>
      </c>
      <c r="H186" s="142">
        <f ca="1">IF($B186="","",SUMPRODUCT(--(Lineups!$O$46:$O$83=$B186),Lineups!$AW$46:$AW$83)+SUMPRODUCT(--(Lineups!$A$47:$A$84="SP*"),--(Lineups!$O$46:$O$83=$B186),Lineups!$AW$47:$AW$84))</f>
        <v>0</v>
      </c>
      <c r="I186" s="142">
        <f ca="1">IF($B186="","",SUMPRODUCT(--(Lineups!$S$46:$S$83=$B186),Lineups!$AW$46:$AW$83)+SUMPRODUCT(--(Lineups!$A$47:$A$84="SP*"),--(Lineups!$S$46:$S$83=$B186),Lineups!$AW$47:$AW$84))</f>
        <v>2</v>
      </c>
      <c r="J186" s="131">
        <f t="shared" ca="1" si="106"/>
        <v>9</v>
      </c>
      <c r="L186" s="131">
        <f t="shared" ca="1" si="107"/>
        <v>9</v>
      </c>
      <c r="O186" s="131">
        <f ca="1">IF($B186="","",SUMPRODUCT(--(Lineups!$C$46:$C$83=$B186),Lineups!$AW$46:$AW$83) + SUMPRODUCT(--(Lineups!$A$47:$A$84="SP*"),--(Lineups!$C$46:$C$83=$B186),Lineups!$AW$47:$AW$84))</f>
        <v>0</v>
      </c>
      <c r="Q186" s="131">
        <f t="shared" ca="1" si="108"/>
        <v>9</v>
      </c>
      <c r="T186" s="131">
        <f t="shared" si="109"/>
        <v>10</v>
      </c>
      <c r="U186" s="131" t="str">
        <f t="shared" si="110"/>
        <v>26</v>
      </c>
      <c r="V186" s="131" t="str">
        <f t="shared" si="110"/>
        <v>Strange</v>
      </c>
      <c r="W186" s="131">
        <f ca="1">IF($U186="","",SUMPRODUCT(--(Lineups!$AG$46:$AG$83=$U186),--(Lineups!$AB$46:$AB$83=""),Lineups!$W$46:$W$83)+SUMPRODUCT(--(Lineups!$AA$47:$AA$84="SP*"),--(Lineups!$AG$46:$AG$83=$U186),--(Lineups!$AB$46:$AB$83=""),Lineups!$W$47:$W$84))</f>
        <v>0</v>
      </c>
      <c r="Y186" s="142">
        <f ca="1">IF($U186="","",SUMPRODUCT(--(Lineups!$AG$46:$AG$83=$U186),--(Lineups!$AB$46:$AB$83="X"),Lineups!$W$46:$W$83)+SUMPRODUCT(--(Lineups!$AA$47:$AA$84="SP*"),--(Lineups!$AG$46:$AG$83=$U186),--(Lineups!$AB$46:$AB$83="X"),Lineups!$W$47:$W$84))</f>
        <v>0</v>
      </c>
      <c r="Z186" s="142">
        <f ca="1">IF(U186="","",SUMPRODUCT(--(Lineups!$AK$46:$AK$83=$U186),Lineups!$W$46:$W$83)+SUMPRODUCT(--(Lineups!$AA$47:$AA$84="SP*"),--(Lineups!$AK$46:$AK$83=$U186),Lineups!$W$47:$W$84))</f>
        <v>0</v>
      </c>
      <c r="AA186" s="142">
        <f ca="1">IF(U186="","",SUMPRODUCT(--(Lineups!$AO$46:$AO$83=$U186),Lineups!$W$46:$W$83)+SUMPRODUCT(--(Lineups!$AA$47:$AA$84="SP*"),--(Lineups!$AO$46:$AO$83=$U186),Lineups!$W$47:$W$84))</f>
        <v>29</v>
      </c>
      <c r="AB186" s="142">
        <f ca="1">IF(U186="","",SUMPRODUCT(--(Lineups!$AS$46:$AS$83=$U186),Lineups!$W$46:$W$83)+SUMPRODUCT(--(Lineups!$AA$47:$AA$84="SP*"),--(Lineups!$AS$46:$AS$83=$U186),Lineups!$W$47:$W$84))</f>
        <v>40</v>
      </c>
      <c r="AC186" s="131">
        <f t="shared" ca="1" si="111"/>
        <v>69</v>
      </c>
      <c r="AE186" s="131">
        <f t="shared" ca="1" si="112"/>
        <v>69</v>
      </c>
      <c r="AH186" s="131">
        <f ca="1">IF($U186="","",SUMPRODUCT(--(Lineups!$AC$46:$AC$83=$U186),Lineups!$W$46:$W$83) + SUMPRODUCT(--(Lineups!$AA$47:$AA$84="SP*"),--(Lineups!$AC$46:$AC$83=$U186),Lineups!$W$47:$W$84))</f>
        <v>0</v>
      </c>
      <c r="AJ186" s="131">
        <f t="shared" ca="1" si="113"/>
        <v>69</v>
      </c>
    </row>
    <row r="187" spans="1:36" x14ac:dyDescent="0.3">
      <c r="A187" s="16">
        <f t="shared" si="104"/>
        <v>11</v>
      </c>
      <c r="B187" s="16" t="str">
        <f t="shared" si="105"/>
        <v>352</v>
      </c>
      <c r="C187" s="16" t="str">
        <f t="shared" si="105"/>
        <v>Olive Havoc</v>
      </c>
      <c r="D187" s="16">
        <f ca="1">IF($B187="","",SUMPRODUCT(--(Lineups!$G$46:$G$83=$B187),--(Lineups!$B$46:$B$83=""),Lineups!$AW$46:$AW$83)+SUMPRODUCT(--(Lineups!$A$47:$A$84="SP*"),--(Lineups!$G$46:$G$83=$B187),--(Lineups!$B$46:$B$83=""),Lineups!$AW$47:$AW$84))</f>
        <v>0</v>
      </c>
      <c r="F187" s="142">
        <f ca="1">IF($B187="","",SUMPRODUCT(--(Lineups!$G$46:$G$83=$B187),--(Lineups!$B$46:$B$83="X"),Lineups!$AW$46:$AW$83)+SUMPRODUCT(--(Lineups!$A$47:$A$84="SP*"),--(Lineups!$G$46:$G$83=$B187),--(Lineups!$B$46:$B$83="X"),Lineups!$AW$47:$AW$84))</f>
        <v>0</v>
      </c>
      <c r="G187" s="142">
        <f ca="1">IF($B187="","",SUMPRODUCT(--(Lineups!$K$46:$K$83=$B187),Lineups!$AW$46:$AW$83) + SUMPRODUCT(--(Lineups!$A$47:$A$84="SP*"),--(Lineups!$K$46:$K$83=$B187),Lineups!$AW$47:$AW$84))</f>
        <v>0</v>
      </c>
      <c r="H187" s="142">
        <f ca="1">IF($B187="","",SUMPRODUCT(--(Lineups!$O$46:$O$83=$B187),Lineups!$AW$46:$AW$83)+SUMPRODUCT(--(Lineups!$A$47:$A$84="SP*"),--(Lineups!$O$46:$O$83=$B187),Lineups!$AW$47:$AW$84))</f>
        <v>0</v>
      </c>
      <c r="I187" s="142">
        <f ca="1">IF($B187="","",SUMPRODUCT(--(Lineups!$S$46:$S$83=$B187),Lineups!$AW$46:$AW$83)+SUMPRODUCT(--(Lineups!$A$47:$A$84="SP*"),--(Lineups!$S$46:$S$83=$B187),Lineups!$AW$47:$AW$84))</f>
        <v>0</v>
      </c>
      <c r="J187" s="16">
        <f t="shared" ca="1" si="106"/>
        <v>0</v>
      </c>
      <c r="L187" s="16">
        <f t="shared" ca="1" si="107"/>
        <v>0</v>
      </c>
      <c r="O187" s="16">
        <f ca="1">IF($B187="","",SUMPRODUCT(--(Lineups!$C$46:$C$83=$B187),Lineups!$AW$46:$AW$83) + SUMPRODUCT(--(Lineups!$A$47:$A$84="SP*"),--(Lineups!$C$46:$C$83=$B187),Lineups!$AW$47:$AW$84))</f>
        <v>23</v>
      </c>
      <c r="Q187" s="16">
        <f t="shared" ca="1" si="108"/>
        <v>23</v>
      </c>
      <c r="T187" s="16">
        <f t="shared" si="109"/>
        <v>11</v>
      </c>
      <c r="U187" s="16" t="str">
        <f t="shared" si="110"/>
        <v>49</v>
      </c>
      <c r="V187" s="16" t="str">
        <f t="shared" si="110"/>
        <v>Gnarly Manson</v>
      </c>
      <c r="W187" s="16">
        <f ca="1">IF($U187="","",SUMPRODUCT(--(Lineups!$AG$46:$AG$83=$U187),--(Lineups!$AB$46:$AB$83=""),Lineups!$W$46:$W$83)+SUMPRODUCT(--(Lineups!$AA$47:$AA$84="SP*"),--(Lineups!$AG$46:$AG$83=$U187),--(Lineups!$AB$46:$AB$83=""),Lineups!$W$47:$W$84))</f>
        <v>0</v>
      </c>
      <c r="Y187" s="142">
        <f ca="1">IF($U187="","",SUMPRODUCT(--(Lineups!$AG$46:$AG$83=$U187),--(Lineups!$AB$46:$AB$83="X"),Lineups!$W$46:$W$83)+SUMPRODUCT(--(Lineups!$AA$47:$AA$84="SP*"),--(Lineups!$AG$46:$AG$83=$U187),--(Lineups!$AB$46:$AB$83="X"),Lineups!$W$47:$W$84))</f>
        <v>0</v>
      </c>
      <c r="Z187" s="142">
        <f ca="1">IF(U187="","",SUMPRODUCT(--(Lineups!$AK$46:$AK$83=$U187),Lineups!$W$46:$W$83)+SUMPRODUCT(--(Lineups!$AA$47:$AA$84="SP*"),--(Lineups!$AK$46:$AK$83=$U187),Lineups!$W$47:$W$84))</f>
        <v>0</v>
      </c>
      <c r="AA187" s="142">
        <f ca="1">IF(U187="","",SUMPRODUCT(--(Lineups!$AO$46:$AO$83=$U187),Lineups!$W$46:$W$83)+SUMPRODUCT(--(Lineups!$AA$47:$AA$84="SP*"),--(Lineups!$AO$46:$AO$83=$U187),Lineups!$W$47:$W$84))</f>
        <v>0</v>
      </c>
      <c r="AB187" s="142">
        <f ca="1">IF(U187="","",SUMPRODUCT(--(Lineups!$AS$46:$AS$83=$U187),Lineups!$W$46:$W$83)+SUMPRODUCT(--(Lineups!$AA$47:$AA$84="SP*"),--(Lineups!$AS$46:$AS$83=$U187),Lineups!$W$47:$W$84))</f>
        <v>0</v>
      </c>
      <c r="AC187" s="16">
        <f t="shared" ca="1" si="111"/>
        <v>0</v>
      </c>
      <c r="AE187" s="16">
        <f t="shared" ca="1" si="112"/>
        <v>0</v>
      </c>
      <c r="AH187" s="16">
        <f ca="1">IF($U187="","",SUMPRODUCT(--(Lineups!$AC$46:$AC$83=$U187),Lineups!$W$46:$W$83) + SUMPRODUCT(--(Lineups!$AA$47:$AA$84="SP*"),--(Lineups!$AC$46:$AC$83=$U187),Lineups!$W$47:$W$84))</f>
        <v>38</v>
      </c>
      <c r="AJ187" s="16">
        <f t="shared" ca="1" si="113"/>
        <v>38</v>
      </c>
    </row>
    <row r="188" spans="1:36" x14ac:dyDescent="0.3">
      <c r="A188" s="131">
        <f t="shared" si="104"/>
        <v>12</v>
      </c>
      <c r="B188" s="131" t="str">
        <f t="shared" si="105"/>
        <v>36</v>
      </c>
      <c r="C188" s="131" t="str">
        <f t="shared" si="105"/>
        <v>Meanie</v>
      </c>
      <c r="D188" s="131">
        <f ca="1">IF($B188="","",SUMPRODUCT(--(Lineups!$G$46:$G$83=$B188),--(Lineups!$B$46:$B$83=""),Lineups!$AW$46:$AW$83)+SUMPRODUCT(--(Lineups!$A$47:$A$84="SP*"),--(Lineups!$G$46:$G$83=$B188),--(Lineups!$B$46:$B$83=""),Lineups!$AW$47:$AW$84))</f>
        <v>0</v>
      </c>
      <c r="F188" s="142">
        <f ca="1">IF($B188="","",SUMPRODUCT(--(Lineups!$G$46:$G$83=$B188),--(Lineups!$B$46:$B$83="X"),Lineups!$AW$46:$AW$83)+SUMPRODUCT(--(Lineups!$A$47:$A$84="SP*"),--(Lineups!$G$46:$G$83=$B188),--(Lineups!$B$46:$B$83="X"),Lineups!$AW$47:$AW$84))</f>
        <v>0</v>
      </c>
      <c r="G188" s="142">
        <f ca="1">IF($B188="","",SUMPRODUCT(--(Lineups!$K$46:$K$83=$B188),Lineups!$AW$46:$AW$83) + SUMPRODUCT(--(Lineups!$A$47:$A$84="SP*"),--(Lineups!$K$46:$K$83=$B188),Lineups!$AW$47:$AW$84))</f>
        <v>12</v>
      </c>
      <c r="H188" s="142">
        <f ca="1">IF($B188="","",SUMPRODUCT(--(Lineups!$O$46:$O$83=$B188),Lineups!$AW$46:$AW$83)+SUMPRODUCT(--(Lineups!$A$47:$A$84="SP*"),--(Lineups!$O$46:$O$83=$B188),Lineups!$AW$47:$AW$84))</f>
        <v>0</v>
      </c>
      <c r="I188" s="142">
        <f ca="1">IF($B188="","",SUMPRODUCT(--(Lineups!$S$46:$S$83=$B188),Lineups!$AW$46:$AW$83)+SUMPRODUCT(--(Lineups!$A$47:$A$84="SP*"),--(Lineups!$S$46:$S$83=$B188),Lineups!$AW$47:$AW$84))</f>
        <v>0</v>
      </c>
      <c r="J188" s="131">
        <f t="shared" ca="1" si="106"/>
        <v>12</v>
      </c>
      <c r="L188" s="131">
        <f t="shared" ca="1" si="107"/>
        <v>12</v>
      </c>
      <c r="O188" s="131">
        <f ca="1">IF($B188="","",SUMPRODUCT(--(Lineups!$C$46:$C$83=$B188),Lineups!$AW$46:$AW$83) + SUMPRODUCT(--(Lineups!$A$47:$A$84="SP*"),--(Lineups!$C$46:$C$83=$B188),Lineups!$AW$47:$AW$84))</f>
        <v>0</v>
      </c>
      <c r="Q188" s="131">
        <f t="shared" ca="1" si="108"/>
        <v>12</v>
      </c>
      <c r="T188" s="131">
        <f t="shared" si="109"/>
        <v>12</v>
      </c>
      <c r="U188" s="131" t="str">
        <f t="shared" si="110"/>
        <v>78</v>
      </c>
      <c r="V188" s="131" t="str">
        <f t="shared" si="110"/>
        <v>Debbie Scary</v>
      </c>
      <c r="W188" s="131">
        <f ca="1">IF($U188="","",SUMPRODUCT(--(Lineups!$AG$46:$AG$83=$U188),--(Lineups!$AB$46:$AB$83=""),Lineups!$W$46:$W$83)+SUMPRODUCT(--(Lineups!$AA$47:$AA$84="SP*"),--(Lineups!$AG$46:$AG$83=$U188),--(Lineups!$AB$46:$AB$83=""),Lineups!$W$47:$W$84))</f>
        <v>0</v>
      </c>
      <c r="Y188" s="142">
        <f ca="1">IF($U188="","",SUMPRODUCT(--(Lineups!$AG$46:$AG$83=$U188),--(Lineups!$AB$46:$AB$83="X"),Lineups!$W$46:$W$83)+SUMPRODUCT(--(Lineups!$AA$47:$AA$84="SP*"),--(Lineups!$AG$46:$AG$83=$U188),--(Lineups!$AB$46:$AB$83="X"),Lineups!$W$47:$W$84))</f>
        <v>0</v>
      </c>
      <c r="Z188" s="142">
        <f ca="1">IF(U188="","",SUMPRODUCT(--(Lineups!$AK$46:$AK$83=$U188),Lineups!$W$46:$W$83)+SUMPRODUCT(--(Lineups!$AA$47:$AA$84="SP*"),--(Lineups!$AK$46:$AK$83=$U188),Lineups!$W$47:$W$84))</f>
        <v>0</v>
      </c>
      <c r="AA188" s="142">
        <f ca="1">IF(U188="","",SUMPRODUCT(--(Lineups!$AO$46:$AO$83=$U188),Lineups!$W$46:$W$83)+SUMPRODUCT(--(Lineups!$AA$47:$AA$84="SP*"),--(Lineups!$AO$46:$AO$83=$U188),Lineups!$W$47:$W$84))</f>
        <v>0</v>
      </c>
      <c r="AB188" s="142">
        <f ca="1">IF(U188="","",SUMPRODUCT(--(Lineups!$AS$46:$AS$83=$U188),Lineups!$W$46:$W$83)+SUMPRODUCT(--(Lineups!$AA$47:$AA$84="SP*"),--(Lineups!$AS$46:$AS$83=$U188),Lineups!$W$47:$W$84))</f>
        <v>17</v>
      </c>
      <c r="AC188" s="131">
        <f t="shared" ca="1" si="111"/>
        <v>17</v>
      </c>
      <c r="AE188" s="131">
        <f t="shared" ca="1" si="112"/>
        <v>17</v>
      </c>
      <c r="AH188" s="131">
        <f ca="1">IF($U188="","",SUMPRODUCT(--(Lineups!$AC$46:$AC$83=$U188),Lineups!$W$46:$W$83) + SUMPRODUCT(--(Lineups!$AA$47:$AA$84="SP*"),--(Lineups!$AC$46:$AC$83=$U188),Lineups!$W$47:$W$84))</f>
        <v>0</v>
      </c>
      <c r="AJ188" s="131">
        <f t="shared" ca="1" si="113"/>
        <v>17</v>
      </c>
    </row>
    <row r="189" spans="1:36" x14ac:dyDescent="0.3">
      <c r="A189" s="16">
        <f t="shared" si="104"/>
        <v>13</v>
      </c>
      <c r="B189" s="16" t="str">
        <f t="shared" si="105"/>
        <v>64</v>
      </c>
      <c r="C189" s="16" t="str">
        <f t="shared" si="105"/>
        <v>Cruzella</v>
      </c>
      <c r="D189" s="16">
        <f ca="1">IF($B189="","",SUMPRODUCT(--(Lineups!$G$46:$G$83=$B189),--(Lineups!$B$46:$B$83=""),Lineups!$AW$46:$AW$83)+SUMPRODUCT(--(Lineups!$A$47:$A$84="SP*"),--(Lineups!$G$46:$G$83=$B189),--(Lineups!$B$46:$B$83=""),Lineups!$AW$47:$AW$84))</f>
        <v>0</v>
      </c>
      <c r="F189" s="142">
        <f ca="1">IF($B189="","",SUMPRODUCT(--(Lineups!$G$46:$G$83=$B189),--(Lineups!$B$46:$B$83="X"),Lineups!$AW$46:$AW$83)+SUMPRODUCT(--(Lineups!$A$47:$A$84="SP*"),--(Lineups!$G$46:$G$83=$B189),--(Lineups!$B$46:$B$83="X"),Lineups!$AW$47:$AW$84))</f>
        <v>0</v>
      </c>
      <c r="G189" s="142">
        <f ca="1">IF($B189="","",SUMPRODUCT(--(Lineups!$K$46:$K$83=$B189),Lineups!$AW$46:$AW$83) + SUMPRODUCT(--(Lineups!$A$47:$A$84="SP*"),--(Lineups!$K$46:$K$83=$B189),Lineups!$AW$47:$AW$84))</f>
        <v>0</v>
      </c>
      <c r="H189" s="142">
        <f ca="1">IF($B189="","",SUMPRODUCT(--(Lineups!$O$46:$O$83=$B189),Lineups!$AW$46:$AW$83)+SUMPRODUCT(--(Lineups!$A$47:$A$84="SP*"),--(Lineups!$O$46:$O$83=$B189),Lineups!$AW$47:$AW$84))</f>
        <v>0</v>
      </c>
      <c r="I189" s="142">
        <f ca="1">IF($B189="","",SUMPRODUCT(--(Lineups!$S$46:$S$83=$B189),Lineups!$AW$46:$AW$83)+SUMPRODUCT(--(Lineups!$A$47:$A$84="SP*"),--(Lineups!$S$46:$S$83=$B189),Lineups!$AW$47:$AW$84))</f>
        <v>0</v>
      </c>
      <c r="J189" s="16">
        <f t="shared" ca="1" si="106"/>
        <v>0</v>
      </c>
      <c r="L189" s="16">
        <f t="shared" ca="1" si="107"/>
        <v>0</v>
      </c>
      <c r="O189" s="16">
        <f ca="1">IF($B189="","",SUMPRODUCT(--(Lineups!$C$46:$C$83=$B189),Lineups!$AW$46:$AW$83) + SUMPRODUCT(--(Lineups!$A$47:$A$84="SP*"),--(Lineups!$C$46:$C$83=$B189),Lineups!$AW$47:$AW$84))</f>
        <v>0</v>
      </c>
      <c r="Q189" s="16">
        <f t="shared" ca="1" si="108"/>
        <v>0</v>
      </c>
      <c r="T189" s="16">
        <f t="shared" si="109"/>
        <v>13</v>
      </c>
      <c r="U189" s="16" t="str">
        <f t="shared" si="110"/>
        <v>8*</v>
      </c>
      <c r="V189" s="16" t="str">
        <f t="shared" si="110"/>
        <v>Venus Thigh Trap</v>
      </c>
      <c r="W189" s="16">
        <f ca="1">IF($U189="","",SUMPRODUCT(--(Lineups!$AG$46:$AG$83=$U189),--(Lineups!$AB$46:$AB$83=""),Lineups!$W$46:$W$83)+SUMPRODUCT(--(Lineups!$AA$47:$AA$84="SP*"),--(Lineups!$AG$46:$AG$83=$U189),--(Lineups!$AB$46:$AB$83=""),Lineups!$W$47:$W$84))</f>
        <v>0</v>
      </c>
      <c r="Y189" s="142">
        <f ca="1">IF($U189="","",SUMPRODUCT(--(Lineups!$AG$46:$AG$83=$U189),--(Lineups!$AB$46:$AB$83="X"),Lineups!$W$46:$W$83)+SUMPRODUCT(--(Lineups!$AA$47:$AA$84="SP*"),--(Lineups!$AG$46:$AG$83=$U189),--(Lineups!$AB$46:$AB$83="X"),Lineups!$W$47:$W$84))</f>
        <v>0</v>
      </c>
      <c r="Z189" s="142">
        <f ca="1">IF(U189="","",SUMPRODUCT(--(Lineups!$AK$46:$AK$83=$U189),Lineups!$W$46:$W$83)+SUMPRODUCT(--(Lineups!$AA$47:$AA$84="SP*"),--(Lineups!$AK$46:$AK$83=$U189),Lineups!$W$47:$W$84))</f>
        <v>0</v>
      </c>
      <c r="AA189" s="142">
        <f ca="1">IF(U189="","",SUMPRODUCT(--(Lineups!$AO$46:$AO$83=$U189),Lineups!$W$46:$W$83)+SUMPRODUCT(--(Lineups!$AA$47:$AA$84="SP*"),--(Lineups!$AO$46:$AO$83=$U189),Lineups!$W$47:$W$84))</f>
        <v>0</v>
      </c>
      <c r="AB189" s="142">
        <f ca="1">IF(U189="","",SUMPRODUCT(--(Lineups!$AS$46:$AS$83=$U189),Lineups!$W$46:$W$83)+SUMPRODUCT(--(Lineups!$AA$47:$AA$84="SP*"),--(Lineups!$AS$46:$AS$83=$U189),Lineups!$W$47:$W$84))</f>
        <v>0</v>
      </c>
      <c r="AC189" s="16">
        <f t="shared" ca="1" si="111"/>
        <v>0</v>
      </c>
      <c r="AE189" s="16">
        <f t="shared" ca="1" si="112"/>
        <v>0</v>
      </c>
      <c r="AH189" s="16">
        <f ca="1">IF($U189="","",SUMPRODUCT(--(Lineups!$AC$46:$AC$83=$U189),Lineups!$W$46:$W$83) + SUMPRODUCT(--(Lineups!$AA$47:$AA$84="SP*"),--(Lineups!$AC$46:$AC$83=$U189),Lineups!$W$47:$W$84))</f>
        <v>0</v>
      </c>
      <c r="AJ189" s="16">
        <f t="shared" ca="1" si="113"/>
        <v>0</v>
      </c>
    </row>
    <row r="190" spans="1:36" x14ac:dyDescent="0.3">
      <c r="A190" s="131">
        <f t="shared" si="104"/>
        <v>14</v>
      </c>
      <c r="B190" s="131" t="str">
        <f t="shared" si="105"/>
        <v>825</v>
      </c>
      <c r="C190" s="131" t="str">
        <f t="shared" si="105"/>
        <v>Rot-N 2 the Cor-E</v>
      </c>
      <c r="D190" s="131">
        <f ca="1">IF($B190="","",SUMPRODUCT(--(Lineups!$G$46:$G$83=$B190),--(Lineups!$B$46:$B$83=""),Lineups!$AW$46:$AW$83)+SUMPRODUCT(--(Lineups!$A$47:$A$84="SP*"),--(Lineups!$G$46:$G$83=$B190),--(Lineups!$B$46:$B$83=""),Lineups!$AW$47:$AW$84))</f>
        <v>2</v>
      </c>
      <c r="F190" s="142">
        <f ca="1">IF($B190="","",SUMPRODUCT(--(Lineups!$G$46:$G$83=$B190),--(Lineups!$B$46:$B$83="X"),Lineups!$AW$46:$AW$83)+SUMPRODUCT(--(Lineups!$A$47:$A$84="SP*"),--(Lineups!$G$46:$G$83=$B190),--(Lineups!$B$46:$B$83="X"),Lineups!$AW$47:$AW$84))</f>
        <v>0</v>
      </c>
      <c r="G190" s="142">
        <f ca="1">IF($B190="","",SUMPRODUCT(--(Lineups!$K$46:$K$83=$B190),Lineups!$AW$46:$AW$83) + SUMPRODUCT(--(Lineups!$A$47:$A$84="SP*"),--(Lineups!$K$46:$K$83=$B190),Lineups!$AW$47:$AW$84))</f>
        <v>0</v>
      </c>
      <c r="H190" s="142">
        <f ca="1">IF($B190="","",SUMPRODUCT(--(Lineups!$O$46:$O$83=$B190),Lineups!$AW$46:$AW$83)+SUMPRODUCT(--(Lineups!$A$47:$A$84="SP*"),--(Lineups!$O$46:$O$83=$B190),Lineups!$AW$47:$AW$84))</f>
        <v>0</v>
      </c>
      <c r="I190" s="142">
        <f ca="1">IF($B190="","",SUMPRODUCT(--(Lineups!$S$46:$S$83=$B190),Lineups!$AW$46:$AW$83)+SUMPRODUCT(--(Lineups!$A$47:$A$84="SP*"),--(Lineups!$S$46:$S$83=$B190),Lineups!$AW$47:$AW$84))</f>
        <v>0</v>
      </c>
      <c r="J190" s="131">
        <f t="shared" ca="1" si="106"/>
        <v>0</v>
      </c>
      <c r="L190" s="131">
        <f t="shared" ca="1" si="107"/>
        <v>2</v>
      </c>
      <c r="O190" s="131">
        <f ca="1">IF($B190="","",SUMPRODUCT(--(Lineups!$C$46:$C$83=$B190),Lineups!$AW$46:$AW$83) + SUMPRODUCT(--(Lineups!$A$47:$A$84="SP*"),--(Lineups!$C$46:$C$83=$B190),Lineups!$AW$47:$AW$84))</f>
        <v>0</v>
      </c>
      <c r="Q190" s="131">
        <f t="shared" ca="1" si="108"/>
        <v>2</v>
      </c>
      <c r="T190" s="131">
        <f t="shared" si="109"/>
        <v>14</v>
      </c>
      <c r="U190" s="131" t="str">
        <f t="shared" si="110"/>
        <v>800</v>
      </c>
      <c r="V190" s="131" t="str">
        <f t="shared" si="110"/>
        <v>Terminate Her</v>
      </c>
      <c r="W190" s="131">
        <f ca="1">IF($U190="","",SUMPRODUCT(--(Lineups!$AG$46:$AG$83=$U190),--(Lineups!$AB$46:$AB$83=""),Lineups!$W$46:$W$83)+SUMPRODUCT(--(Lineups!$AA$47:$AA$84="SP*"),--(Lineups!$AG$46:$AG$83=$U190),--(Lineups!$AB$46:$AB$83=""),Lineups!$W$47:$W$84))</f>
        <v>11</v>
      </c>
      <c r="Y190" s="142">
        <f ca="1">IF($U190="","",SUMPRODUCT(--(Lineups!$AG$46:$AG$83=$U190),--(Lineups!$AB$46:$AB$83="X"),Lineups!$W$46:$W$83)+SUMPRODUCT(--(Lineups!$AA$47:$AA$84="SP*"),--(Lineups!$AG$46:$AG$83=$U190),--(Lineups!$AB$46:$AB$83="X"),Lineups!$W$47:$W$84))</f>
        <v>0</v>
      </c>
      <c r="Z190" s="142">
        <f ca="1">IF(U190="","",SUMPRODUCT(--(Lineups!$AK$46:$AK$83=$U190),Lineups!$W$46:$W$83)+SUMPRODUCT(--(Lineups!$AA$47:$AA$84="SP*"),--(Lineups!$AK$46:$AK$83=$U190),Lineups!$W$47:$W$84))</f>
        <v>0</v>
      </c>
      <c r="AA190" s="142">
        <f ca="1">IF(U190="","",SUMPRODUCT(--(Lineups!$AO$46:$AO$83=$U190),Lineups!$W$46:$W$83)+SUMPRODUCT(--(Lineups!$AA$47:$AA$84="SP*"),--(Lineups!$AO$46:$AO$83=$U190),Lineups!$W$47:$W$84))</f>
        <v>0</v>
      </c>
      <c r="AB190" s="142">
        <f ca="1">IF(U190="","",SUMPRODUCT(--(Lineups!$AS$46:$AS$83=$U190),Lineups!$W$46:$W$83)+SUMPRODUCT(--(Lineups!$AA$47:$AA$84="SP*"),--(Lineups!$AS$46:$AS$83=$U190),Lineups!$W$47:$W$84))</f>
        <v>17</v>
      </c>
      <c r="AC190" s="131">
        <f t="shared" ca="1" si="111"/>
        <v>17</v>
      </c>
      <c r="AE190" s="131">
        <f t="shared" ca="1" si="112"/>
        <v>28</v>
      </c>
      <c r="AH190" s="131">
        <f ca="1">IF($U190="","",SUMPRODUCT(--(Lineups!$AC$46:$AC$83=$U190),Lineups!$W$46:$W$83) + SUMPRODUCT(--(Lineups!$AA$47:$AA$84="SP*"),--(Lineups!$AC$46:$AC$83=$U190),Lineups!$W$47:$W$84))</f>
        <v>0</v>
      </c>
      <c r="AJ190" s="131">
        <f t="shared" ca="1" si="113"/>
        <v>28</v>
      </c>
    </row>
    <row r="191" spans="1:36" x14ac:dyDescent="0.3">
      <c r="A191" s="16">
        <f t="shared" si="104"/>
        <v>15</v>
      </c>
      <c r="B191" s="16" t="str">
        <f t="shared" si="105"/>
        <v>83</v>
      </c>
      <c r="C191" s="16" t="str">
        <f t="shared" si="105"/>
        <v>Grit n Barite</v>
      </c>
      <c r="D191" s="16">
        <f ca="1">IF($B191="","",SUMPRODUCT(--(Lineups!$G$46:$G$83=$B191),--(Lineups!$B$46:$B$83=""),Lineups!$AW$46:$AW$83)+SUMPRODUCT(--(Lineups!$A$47:$A$84="SP*"),--(Lineups!$G$46:$G$83=$B191),--(Lineups!$B$46:$B$83=""),Lineups!$AW$47:$AW$84))</f>
        <v>0</v>
      </c>
      <c r="F191" s="142">
        <f ca="1">IF($B191="","",SUMPRODUCT(--(Lineups!$G$46:$G$83=$B191),--(Lineups!$B$46:$B$83="X"),Lineups!$AW$46:$AW$83)+SUMPRODUCT(--(Lineups!$A$47:$A$84="SP*"),--(Lineups!$G$46:$G$83=$B191),--(Lineups!$B$46:$B$83="X"),Lineups!$AW$47:$AW$84))</f>
        <v>0</v>
      </c>
      <c r="G191" s="142">
        <f ca="1">IF($B191="","",SUMPRODUCT(--(Lineups!$K$46:$K$83=$B191),Lineups!$AW$46:$AW$83) + SUMPRODUCT(--(Lineups!$A$47:$A$84="SP*"),--(Lineups!$K$46:$K$83=$B191),Lineups!$AW$47:$AW$84))</f>
        <v>4</v>
      </c>
      <c r="H191" s="142">
        <f ca="1">IF($B191="","",SUMPRODUCT(--(Lineups!$O$46:$O$83=$B191),Lineups!$AW$46:$AW$83)+SUMPRODUCT(--(Lineups!$A$47:$A$84="SP*"),--(Lineups!$O$46:$O$83=$B191),Lineups!$AW$47:$AW$84))</f>
        <v>12</v>
      </c>
      <c r="I191" s="142">
        <f ca="1">IF($B191="","",SUMPRODUCT(--(Lineups!$S$46:$S$83=$B191),Lineups!$AW$46:$AW$83)+SUMPRODUCT(--(Lineups!$A$47:$A$84="SP*"),--(Lineups!$S$46:$S$83=$B191),Lineups!$AW$47:$AW$84))</f>
        <v>8</v>
      </c>
      <c r="J191" s="16">
        <f t="shared" ca="1" si="106"/>
        <v>24</v>
      </c>
      <c r="L191" s="16">
        <f t="shared" ca="1" si="107"/>
        <v>24</v>
      </c>
      <c r="O191" s="16">
        <f ca="1">IF($B191="","",SUMPRODUCT(--(Lineups!$C$46:$C$83=$B191),Lineups!$AW$46:$AW$83) + SUMPRODUCT(--(Lineups!$A$47:$A$84="SP*"),--(Lineups!$C$46:$C$83=$B191),Lineups!$AW$47:$AW$84))</f>
        <v>0</v>
      </c>
      <c r="Q191" s="16">
        <f t="shared" ca="1" si="108"/>
        <v>24</v>
      </c>
      <c r="T191" s="16">
        <f t="shared" si="109"/>
        <v>15</v>
      </c>
      <c r="U191" s="16" t="str">
        <f t="shared" si="110"/>
        <v>88*</v>
      </c>
      <c r="V191" s="16" t="str">
        <f t="shared" si="110"/>
        <v>Flux</v>
      </c>
      <c r="W191" s="16">
        <f ca="1">IF($U191="","",SUMPRODUCT(--(Lineups!$AG$46:$AG$83=$U191),--(Lineups!$AB$46:$AB$83=""),Lineups!$W$46:$W$83)+SUMPRODUCT(--(Lineups!$AA$47:$AA$84="SP*"),--(Lineups!$AG$46:$AG$83=$U191),--(Lineups!$AB$46:$AB$83=""),Lineups!$W$47:$W$84))</f>
        <v>0</v>
      </c>
      <c r="Y191" s="142">
        <f ca="1">IF($U191="","",SUMPRODUCT(--(Lineups!$AG$46:$AG$83=$U191),--(Lineups!$AB$46:$AB$83="X"),Lineups!$W$46:$W$83)+SUMPRODUCT(--(Lineups!$AA$47:$AA$84="SP*"),--(Lineups!$AG$46:$AG$83=$U191),--(Lineups!$AB$46:$AB$83="X"),Lineups!$W$47:$W$84))</f>
        <v>0</v>
      </c>
      <c r="Z191" s="142">
        <f ca="1">IF(U191="","",SUMPRODUCT(--(Lineups!$AK$46:$AK$83=$U191),Lineups!$W$46:$W$83)+SUMPRODUCT(--(Lineups!$AA$47:$AA$84="SP*"),--(Lineups!$AK$46:$AK$83=$U191),Lineups!$W$47:$W$84))</f>
        <v>0</v>
      </c>
      <c r="AA191" s="142">
        <f ca="1">IF(U191="","",SUMPRODUCT(--(Lineups!$AO$46:$AO$83=$U191),Lineups!$W$46:$W$83)+SUMPRODUCT(--(Lineups!$AA$47:$AA$84="SP*"),--(Lineups!$AO$46:$AO$83=$U191),Lineups!$W$47:$W$84))</f>
        <v>0</v>
      </c>
      <c r="AB191" s="142">
        <f ca="1">IF(U191="","",SUMPRODUCT(--(Lineups!$AS$46:$AS$83=$U191),Lineups!$W$46:$W$83)+SUMPRODUCT(--(Lineups!$AA$47:$AA$84="SP*"),--(Lineups!$AS$46:$AS$83=$U191),Lineups!$W$47:$W$84))</f>
        <v>0</v>
      </c>
      <c r="AC191" s="16">
        <f t="shared" ca="1" si="111"/>
        <v>0</v>
      </c>
      <c r="AE191" s="16">
        <f t="shared" ca="1" si="112"/>
        <v>0</v>
      </c>
      <c r="AH191" s="16">
        <f ca="1">IF($U191="","",SUMPRODUCT(--(Lineups!$AC$46:$AC$83=$U191),Lineups!$W$46:$W$83) + SUMPRODUCT(--(Lineups!$AA$47:$AA$84="SP*"),--(Lineups!$AC$46:$AC$83=$U191),Lineups!$W$47:$W$84))</f>
        <v>0</v>
      </c>
      <c r="AJ191" s="16">
        <f t="shared" ca="1" si="113"/>
        <v>0</v>
      </c>
    </row>
    <row r="192" spans="1:36" x14ac:dyDescent="0.3">
      <c r="A192" s="131">
        <f t="shared" si="104"/>
        <v>16</v>
      </c>
      <c r="B192" s="131" t="str">
        <f t="shared" si="105"/>
        <v>84</v>
      </c>
      <c r="C192" s="131" t="str">
        <f t="shared" si="105"/>
        <v>Phoenix</v>
      </c>
      <c r="D192" s="131">
        <f ca="1">IF($B192="","",SUMPRODUCT(--(Lineups!$G$46:$G$83=$B192),--(Lineups!$B$46:$B$83=""),Lineups!$AW$46:$AW$83)+SUMPRODUCT(--(Lineups!$A$47:$A$84="SP*"),--(Lineups!$G$46:$G$83=$B192),--(Lineups!$B$46:$B$83=""),Lineups!$AW$47:$AW$84))</f>
        <v>27</v>
      </c>
      <c r="F192" s="142">
        <f ca="1">IF($B192="","",SUMPRODUCT(--(Lineups!$G$46:$G$83=$B192),--(Lineups!$B$46:$B$83="X"),Lineups!$AW$46:$AW$83)+SUMPRODUCT(--(Lineups!$A$47:$A$84="SP*"),--(Lineups!$G$46:$G$83=$B192),--(Lineups!$B$46:$B$83="X"),Lineups!$AW$47:$AW$84))</f>
        <v>0</v>
      </c>
      <c r="G192" s="142">
        <f ca="1">IF($B192="","",SUMPRODUCT(--(Lineups!$K$46:$K$83=$B192),Lineups!$AW$46:$AW$83) + SUMPRODUCT(--(Lineups!$A$47:$A$84="SP*"),--(Lineups!$K$46:$K$83=$B192),Lineups!$AW$47:$AW$84))</f>
        <v>0</v>
      </c>
      <c r="H192" s="142">
        <f ca="1">IF($B192="","",SUMPRODUCT(--(Lineups!$O$46:$O$83=$B192),Lineups!$AW$46:$AW$83)+SUMPRODUCT(--(Lineups!$A$47:$A$84="SP*"),--(Lineups!$O$46:$O$83=$B192),Lineups!$AW$47:$AW$84))</f>
        <v>0</v>
      </c>
      <c r="I192" s="142">
        <f ca="1">IF($B192="","",SUMPRODUCT(--(Lineups!$S$46:$S$83=$B192),Lineups!$AW$46:$AW$83)+SUMPRODUCT(--(Lineups!$A$47:$A$84="SP*"),--(Lineups!$S$46:$S$83=$B192),Lineups!$AW$47:$AW$84))</f>
        <v>0</v>
      </c>
      <c r="J192" s="131">
        <f t="shared" ca="1" si="106"/>
        <v>0</v>
      </c>
      <c r="L192" s="131">
        <f t="shared" ca="1" si="107"/>
        <v>27</v>
      </c>
      <c r="O192" s="131">
        <f ca="1">IF($B192="","",SUMPRODUCT(--(Lineups!$C$46:$C$83=$B192),Lineups!$AW$46:$AW$83) + SUMPRODUCT(--(Lineups!$A$47:$A$84="SP*"),--(Lineups!$C$46:$C$83=$B192),Lineups!$AW$47:$AW$84))</f>
        <v>8</v>
      </c>
      <c r="Q192" s="131">
        <f t="shared" ca="1" si="108"/>
        <v>35</v>
      </c>
      <c r="T192" s="131">
        <f t="shared" si="109"/>
        <v>16</v>
      </c>
      <c r="U192" s="131" t="str">
        <f t="shared" si="110"/>
        <v>911</v>
      </c>
      <c r="V192" s="131" t="str">
        <f t="shared" si="110"/>
        <v>Annie Mergency</v>
      </c>
      <c r="W192" s="131">
        <f ca="1">IF($U192="","",SUMPRODUCT(--(Lineups!$AG$46:$AG$83=$U192),--(Lineups!$AB$46:$AB$83=""),Lineups!$W$46:$W$83)+SUMPRODUCT(--(Lineups!$AA$47:$AA$84="SP*"),--(Lineups!$AG$46:$AG$83=$U192),--(Lineups!$AB$46:$AB$83=""),Lineups!$W$47:$W$84))</f>
        <v>21</v>
      </c>
      <c r="Y192" s="142">
        <f ca="1">IF($U192="","",SUMPRODUCT(--(Lineups!$AG$46:$AG$83=$U192),--(Lineups!$AB$46:$AB$83="X"),Lineups!$W$46:$W$83)+SUMPRODUCT(--(Lineups!$AA$47:$AA$84="SP*"),--(Lineups!$AG$46:$AG$83=$U192),--(Lineups!$AB$46:$AB$83="X"),Lineups!$W$47:$W$84))</f>
        <v>0</v>
      </c>
      <c r="Z192" s="142">
        <f ca="1">IF(U192="","",SUMPRODUCT(--(Lineups!$AK$46:$AK$83=$U192),Lineups!$W$46:$W$83)+SUMPRODUCT(--(Lineups!$AA$47:$AA$84="SP*"),--(Lineups!$AK$46:$AK$83=$U192),Lineups!$W$47:$W$84))</f>
        <v>0</v>
      </c>
      <c r="AA192" s="142">
        <f ca="1">IF(U192="","",SUMPRODUCT(--(Lineups!$AO$46:$AO$83=$U192),Lineups!$W$46:$W$83)+SUMPRODUCT(--(Lineups!$AA$47:$AA$84="SP*"),--(Lineups!$AO$46:$AO$83=$U192),Lineups!$W$47:$W$84))</f>
        <v>8</v>
      </c>
      <c r="AB192" s="142">
        <f ca="1">IF(U192="","",SUMPRODUCT(--(Lineups!$AS$46:$AS$83=$U192),Lineups!$W$46:$W$83)+SUMPRODUCT(--(Lineups!$AA$47:$AA$84="SP*"),--(Lineups!$AS$46:$AS$83=$U192),Lineups!$W$47:$W$84))</f>
        <v>6</v>
      </c>
      <c r="AC192" s="131">
        <f t="shared" ca="1" si="111"/>
        <v>14</v>
      </c>
      <c r="AE192" s="131">
        <f t="shared" ca="1" si="112"/>
        <v>35</v>
      </c>
      <c r="AH192" s="131">
        <f ca="1">IF($U192="","",SUMPRODUCT(--(Lineups!$AC$46:$AC$83=$U192),Lineups!$W$46:$W$83) + SUMPRODUCT(--(Lineups!$AA$47:$AA$84="SP*"),--(Lineups!$AC$46:$AC$83=$U192),Lineups!$W$47:$W$84))</f>
        <v>0</v>
      </c>
      <c r="AJ192" s="131">
        <f t="shared" ca="1" si="113"/>
        <v>35</v>
      </c>
    </row>
    <row r="193" spans="1:36" x14ac:dyDescent="0.3">
      <c r="A193" s="16">
        <f t="shared" si="104"/>
        <v>17</v>
      </c>
      <c r="B193" s="16" t="str">
        <f t="shared" si="105"/>
        <v>86</v>
      </c>
      <c r="C193" s="16" t="str">
        <f t="shared" si="105"/>
        <v>P.T.S.D.</v>
      </c>
      <c r="D193" s="16">
        <f ca="1">IF($B193="","",SUMPRODUCT(--(Lineups!$G$46:$G$83=$B193),--(Lineups!$B$46:$B$83=""),Lineups!$AW$46:$AW$83)+SUMPRODUCT(--(Lineups!$A$47:$A$84="SP*"),--(Lineups!$G$46:$G$83=$B193),--(Lineups!$B$46:$B$83=""),Lineups!$AW$47:$AW$84))</f>
        <v>0</v>
      </c>
      <c r="F193" s="142">
        <f ca="1">IF($B193="","",SUMPRODUCT(--(Lineups!$G$46:$G$83=$B193),--(Lineups!$B$46:$B$83="X"),Lineups!$AW$46:$AW$83)+SUMPRODUCT(--(Lineups!$A$47:$A$84="SP*"),--(Lineups!$G$46:$G$83=$B193),--(Lineups!$B$46:$B$83="X"),Lineups!$AW$47:$AW$84))</f>
        <v>0</v>
      </c>
      <c r="G193" s="142">
        <f ca="1">IF($B193="","",SUMPRODUCT(--(Lineups!$K$46:$K$83=$B193),Lineups!$AW$46:$AW$83) + SUMPRODUCT(--(Lineups!$A$47:$A$84="SP*"),--(Lineups!$K$46:$K$83=$B193),Lineups!$AW$47:$AW$84))</f>
        <v>22</v>
      </c>
      <c r="H193" s="142">
        <f ca="1">IF($B193="","",SUMPRODUCT(--(Lineups!$O$46:$O$83=$B193),Lineups!$AW$46:$AW$83)+SUMPRODUCT(--(Lineups!$A$47:$A$84="SP*"),--(Lineups!$O$46:$O$83=$B193),Lineups!$AW$47:$AW$84))</f>
        <v>11</v>
      </c>
      <c r="I193" s="142">
        <f ca="1">IF($B193="","",SUMPRODUCT(--(Lineups!$S$46:$S$83=$B193),Lineups!$AW$46:$AW$83)+SUMPRODUCT(--(Lineups!$A$47:$A$84="SP*"),--(Lineups!$S$46:$S$83=$B193),Lineups!$AW$47:$AW$84))</f>
        <v>0</v>
      </c>
      <c r="J193" s="16">
        <f t="shared" ca="1" si="106"/>
        <v>33</v>
      </c>
      <c r="L193" s="16">
        <f t="shared" ca="1" si="107"/>
        <v>33</v>
      </c>
      <c r="O193" s="16">
        <f ca="1">IF($B193="","",SUMPRODUCT(--(Lineups!$C$46:$C$83=$B193),Lineups!$AW$46:$AW$83) + SUMPRODUCT(--(Lineups!$A$47:$A$84="SP*"),--(Lineups!$C$46:$C$83=$B193),Lineups!$AW$47:$AW$84))</f>
        <v>0</v>
      </c>
      <c r="Q193" s="16">
        <f t="shared" ca="1" si="108"/>
        <v>33</v>
      </c>
      <c r="T193" s="16">
        <f t="shared" si="109"/>
        <v>17</v>
      </c>
      <c r="U193" s="16" t="str">
        <f t="shared" si="110"/>
        <v>94</v>
      </c>
      <c r="V193" s="16" t="str">
        <f t="shared" si="110"/>
        <v>The Kraken</v>
      </c>
      <c r="W193" s="16">
        <f ca="1">IF($U193="","",SUMPRODUCT(--(Lineups!$AG$46:$AG$83=$U193),--(Lineups!$AB$46:$AB$83=""),Lineups!$W$46:$W$83)+SUMPRODUCT(--(Lineups!$AA$47:$AA$84="SP*"),--(Lineups!$AG$46:$AG$83=$U193),--(Lineups!$AB$46:$AB$83=""),Lineups!$W$47:$W$84))</f>
        <v>0</v>
      </c>
      <c r="Y193" s="142">
        <f ca="1">IF($U193="","",SUMPRODUCT(--(Lineups!$AG$46:$AG$83=$U193),--(Lineups!$AB$46:$AB$83="X"),Lineups!$W$46:$W$83)+SUMPRODUCT(--(Lineups!$AA$47:$AA$84="SP*"),--(Lineups!$AG$46:$AG$83=$U193),--(Lineups!$AB$46:$AB$83="X"),Lineups!$W$47:$W$84))</f>
        <v>0</v>
      </c>
      <c r="Z193" s="142">
        <f ca="1">IF(U193="","",SUMPRODUCT(--(Lineups!$AK$46:$AK$83=$U193),Lineups!$W$46:$W$83)+SUMPRODUCT(--(Lineups!$AA$47:$AA$84="SP*"),--(Lineups!$AK$46:$AK$83=$U193),Lineups!$W$47:$W$84))</f>
        <v>0</v>
      </c>
      <c r="AA193" s="142">
        <f ca="1">IF(U193="","",SUMPRODUCT(--(Lineups!$AO$46:$AO$83=$U193),Lineups!$W$46:$W$83)+SUMPRODUCT(--(Lineups!$AA$47:$AA$84="SP*"),--(Lineups!$AO$46:$AO$83=$U193),Lineups!$W$47:$W$84))</f>
        <v>5</v>
      </c>
      <c r="AB193" s="142">
        <f ca="1">IF(U193="","",SUMPRODUCT(--(Lineups!$AS$46:$AS$83=$U193),Lineups!$W$46:$W$83)+SUMPRODUCT(--(Lineups!$AA$47:$AA$84="SP*"),--(Lineups!$AS$46:$AS$83=$U193),Lineups!$W$47:$W$84))</f>
        <v>0</v>
      </c>
      <c r="AC193" s="16">
        <f t="shared" ca="1" si="111"/>
        <v>5</v>
      </c>
      <c r="AE193" s="16">
        <f t="shared" ca="1" si="112"/>
        <v>5</v>
      </c>
      <c r="AH193" s="16">
        <f ca="1">IF($U193="","",SUMPRODUCT(--(Lineups!$AC$46:$AC$83=$U193),Lineups!$W$46:$W$83) + SUMPRODUCT(--(Lineups!$AA$47:$AA$84="SP*"),--(Lineups!$AC$46:$AC$83=$U193),Lineups!$W$47:$W$84))</f>
        <v>0</v>
      </c>
      <c r="AJ193" s="16">
        <f t="shared" ca="1" si="113"/>
        <v>5</v>
      </c>
    </row>
    <row r="194" spans="1:36" x14ac:dyDescent="0.3">
      <c r="A194" s="131">
        <f t="shared" si="104"/>
        <v>18</v>
      </c>
      <c r="B194" s="131" t="str">
        <f t="shared" si="105"/>
        <v/>
      </c>
      <c r="C194" s="131" t="str">
        <f t="shared" si="105"/>
        <v/>
      </c>
      <c r="D194" s="131" t="str">
        <f>IF($B194="","",SUMPRODUCT(--(Lineups!$G$46:$G$83=$B194),--(Lineups!$B$46:$B$83=""),Lineups!$AW$46:$AW$83)+SUMPRODUCT(--(Lineups!$A$47:$A$84="SP*"),--(Lineups!$G$46:$G$83=$B194),--(Lineups!$B$46:$B$83=""),Lineups!$AW$47:$AW$84))</f>
        <v/>
      </c>
      <c r="F194" s="142" t="str">
        <f>IF($B194="","",SUMPRODUCT(--(Lineups!$G$46:$G$83=$B194),--(Lineups!$B$46:$B$83="X"),Lineups!$AW$46:$AW$83)+SUMPRODUCT(--(Lineups!$A$47:$A$84="SP*"),--(Lineups!$G$46:$G$83=$B194),--(Lineups!$B$46:$B$83="X"),Lineups!$AW$47:$AW$84))</f>
        <v/>
      </c>
      <c r="G194" s="142" t="str">
        <f>IF($B194="","",SUMPRODUCT(--(Lineups!$K$46:$K$83=$B194),Lineups!$AW$46:$AW$83) + SUMPRODUCT(--(Lineups!$A$47:$A$84="SP*"),--(Lineups!$K$46:$K$83=$B194),Lineups!$AW$47:$AW$84))</f>
        <v/>
      </c>
      <c r="H194" s="142" t="str">
        <f>IF($B194="","",SUMPRODUCT(--(Lineups!$O$46:$O$83=$B194),Lineups!$AW$46:$AW$83)+SUMPRODUCT(--(Lineups!$A$47:$A$84="SP*"),--(Lineups!$O$46:$O$83=$B194),Lineups!$AW$47:$AW$84))</f>
        <v/>
      </c>
      <c r="I194" s="142" t="str">
        <f>IF($B194="","",SUMPRODUCT(--(Lineups!$S$46:$S$83=$B194),Lineups!$AW$46:$AW$83)+SUMPRODUCT(--(Lineups!$A$47:$A$84="SP*"),--(Lineups!$S$46:$S$83=$B194),Lineups!$AW$47:$AW$84))</f>
        <v/>
      </c>
      <c r="J194" s="131" t="str">
        <f t="shared" si="106"/>
        <v/>
      </c>
      <c r="L194" s="131" t="str">
        <f t="shared" si="107"/>
        <v/>
      </c>
      <c r="O194" s="131" t="str">
        <f>IF($B194="","",SUMPRODUCT(--(Lineups!$C$46:$C$83=$B194),Lineups!$AW$46:$AW$83) + SUMPRODUCT(--(Lineups!$A$47:$A$84="SP*"),--(Lineups!$C$46:$C$83=$B194),Lineups!$AW$47:$AW$84))</f>
        <v/>
      </c>
      <c r="Q194" s="131" t="str">
        <f t="shared" si="108"/>
        <v/>
      </c>
      <c r="T194" s="131">
        <f t="shared" si="109"/>
        <v>18</v>
      </c>
      <c r="U194" s="131" t="str">
        <f t="shared" si="110"/>
        <v/>
      </c>
      <c r="V194" s="131" t="str">
        <f t="shared" si="110"/>
        <v/>
      </c>
      <c r="W194" s="131" t="str">
        <f>IF($U194="","",SUMPRODUCT(--(Lineups!$AG$46:$AG$83=$U194),--(Lineups!$AB$46:$AB$83=""),Lineups!$W$46:$W$83)+SUMPRODUCT(--(Lineups!$AA$47:$AA$84="SP*"),--(Lineups!$AG$46:$AG$83=$U194),--(Lineups!$AB$46:$AB$83=""),Lineups!$W$47:$W$84))</f>
        <v/>
      </c>
      <c r="Y194" s="142" t="str">
        <f>IF($U194="","",SUMPRODUCT(--(Lineups!$AG$46:$AG$83=$U194),--(Lineups!$AB$46:$AB$83="X"),Lineups!$W$46:$W$83)+SUMPRODUCT(--(Lineups!$AA$47:$AA$84="SP*"),--(Lineups!$AG$46:$AG$83=$U194),--(Lineups!$AB$46:$AB$83="X"),Lineups!$W$47:$W$84))</f>
        <v/>
      </c>
      <c r="Z194" s="142" t="str">
        <f>IF(U194="","",SUMPRODUCT(--(Lineups!$AK$46:$AK$83=$U194),Lineups!$W$46:$W$83)+SUMPRODUCT(--(Lineups!$AA$47:$AA$84="SP*"),--(Lineups!$AK$46:$AK$83=$U194),Lineups!$W$47:$W$84))</f>
        <v/>
      </c>
      <c r="AA194" s="142" t="str">
        <f>IF(U194="","",SUMPRODUCT(--(Lineups!$AO$46:$AO$83=$U194),Lineups!$W$46:$W$83)+SUMPRODUCT(--(Lineups!$AA$47:$AA$84="SP*"),--(Lineups!$AO$46:$AO$83=$U194),Lineups!$W$47:$W$84))</f>
        <v/>
      </c>
      <c r="AB194" s="142" t="str">
        <f>IF(U194="","",SUMPRODUCT(--(Lineups!$AS$46:$AS$83=$U194),Lineups!$W$46:$W$83)+SUMPRODUCT(--(Lineups!$AA$47:$AA$84="SP*"),--(Lineups!$AS$46:$AS$83=$U194),Lineups!$W$47:$W$84))</f>
        <v/>
      </c>
      <c r="AC194" s="131">
        <f t="shared" si="111"/>
        <v>0</v>
      </c>
      <c r="AE194" s="131" t="str">
        <f t="shared" si="112"/>
        <v/>
      </c>
      <c r="AH194" s="131" t="str">
        <f>IF($U194="","",SUMPRODUCT(--(Lineups!$AC$46:$AC$83=$U194),Lineups!$W$46:$W$83) + SUMPRODUCT(--(Lineups!$AA$47:$AA$84="SP*"),--(Lineups!$AC$46:$AC$83=$U194),Lineups!$W$47:$W$84))</f>
        <v/>
      </c>
      <c r="AJ194" s="131" t="str">
        <f t="shared" si="113"/>
        <v/>
      </c>
    </row>
    <row r="195" spans="1:36" x14ac:dyDescent="0.3">
      <c r="A195" s="16">
        <f t="shared" si="104"/>
        <v>19</v>
      </c>
      <c r="B195" s="16" t="str">
        <f t="shared" si="105"/>
        <v/>
      </c>
      <c r="C195" s="16" t="str">
        <f t="shared" si="105"/>
        <v/>
      </c>
      <c r="D195" s="16" t="str">
        <f>IF($B195="","",SUMPRODUCT(--(Lineups!$G$46:$G$83=$B195),--(Lineups!$B$46:$B$83=""),Lineups!$AW$46:$AW$83)+SUMPRODUCT(--(Lineups!$A$47:$A$84="SP*"),--(Lineups!$G$46:$G$83=$B195),--(Lineups!$B$46:$B$83=""),Lineups!$AW$47:$AW$84))</f>
        <v/>
      </c>
      <c r="F195" s="142" t="str">
        <f>IF($B195="","",SUMPRODUCT(--(Lineups!$G$46:$G$83=$B195),--(Lineups!$B$46:$B$83="X"),Lineups!$AW$46:$AW$83)+SUMPRODUCT(--(Lineups!$A$47:$A$84="SP*"),--(Lineups!$G$46:$G$83=$B195),--(Lineups!$B$46:$B$83="X"),Lineups!$AW$47:$AW$84))</f>
        <v/>
      </c>
      <c r="G195" s="142" t="str">
        <f>IF($B195="","",SUMPRODUCT(--(Lineups!$K$46:$K$83=$B195),Lineups!$AW$46:$AW$83) + SUMPRODUCT(--(Lineups!$A$47:$A$84="SP*"),--(Lineups!$K$46:$K$83=$B195),Lineups!$AW$47:$AW$84))</f>
        <v/>
      </c>
      <c r="H195" s="142" t="str">
        <f>IF($B195="","",SUMPRODUCT(--(Lineups!$O$46:$O$83=$B195),Lineups!$AW$46:$AW$83)+SUMPRODUCT(--(Lineups!$A$47:$A$84="SP*"),--(Lineups!$O$46:$O$83=$B195),Lineups!$AW$47:$AW$84))</f>
        <v/>
      </c>
      <c r="I195" s="142" t="str">
        <f>IF($B195="","",SUMPRODUCT(--(Lineups!$S$46:$S$83=$B195),Lineups!$AW$46:$AW$83)+SUMPRODUCT(--(Lineups!$A$47:$A$84="SP*"),--(Lineups!$S$46:$S$83=$B195),Lineups!$AW$47:$AW$84))</f>
        <v/>
      </c>
      <c r="J195" s="16" t="str">
        <f t="shared" si="106"/>
        <v/>
      </c>
      <c r="L195" s="16" t="str">
        <f t="shared" si="107"/>
        <v/>
      </c>
      <c r="O195" s="16" t="str">
        <f>IF($B195="","",SUMPRODUCT(--(Lineups!$C$46:$C$83=$B195),Lineups!$AW$46:$AW$83) + SUMPRODUCT(--(Lineups!$A$47:$A$84="SP*"),--(Lineups!$C$46:$C$83=$B195),Lineups!$AW$47:$AW$84))</f>
        <v/>
      </c>
      <c r="Q195" s="16" t="str">
        <f t="shared" si="108"/>
        <v/>
      </c>
      <c r="T195" s="16">
        <f t="shared" si="109"/>
        <v>19</v>
      </c>
      <c r="U195" s="16" t="str">
        <f t="shared" si="110"/>
        <v/>
      </c>
      <c r="V195" s="16" t="str">
        <f t="shared" si="110"/>
        <v/>
      </c>
      <c r="W195" s="16" t="str">
        <f>IF($U195="","",SUMPRODUCT(--(Lineups!$AG$46:$AG$83=$U195),--(Lineups!$AB$46:$AB$83=""),Lineups!$W$46:$W$83)+SUMPRODUCT(--(Lineups!$AA$47:$AA$84="SP*"),--(Lineups!$AG$46:$AG$83=$U195),--(Lineups!$AB$46:$AB$83=""),Lineups!$W$47:$W$84))</f>
        <v/>
      </c>
      <c r="Y195" s="142" t="str">
        <f>IF($U195="","",SUMPRODUCT(--(Lineups!$AG$46:$AG$83=$U195),--(Lineups!$AB$46:$AB$83="X"),Lineups!$W$46:$W$83)+SUMPRODUCT(--(Lineups!$AA$47:$AA$84="SP*"),--(Lineups!$AG$46:$AG$83=$U195),--(Lineups!$AB$46:$AB$83="X"),Lineups!$W$47:$W$84))</f>
        <v/>
      </c>
      <c r="Z195" s="142" t="str">
        <f>IF(U195="","",SUMPRODUCT(--(Lineups!$AK$46:$AK$83=$U195),Lineups!$W$46:$W$83)+SUMPRODUCT(--(Lineups!$AA$47:$AA$84="SP*"),--(Lineups!$AK$46:$AK$83=$U195),Lineups!$W$47:$W$84))</f>
        <v/>
      </c>
      <c r="AA195" s="142" t="str">
        <f>IF(U195="","",SUMPRODUCT(--(Lineups!$AO$46:$AO$83=$U195),Lineups!$W$46:$W$83)+SUMPRODUCT(--(Lineups!$AA$47:$AA$84="SP*"),--(Lineups!$AO$46:$AO$83=$U195),Lineups!$W$47:$W$84))</f>
        <v/>
      </c>
      <c r="AB195" s="142" t="str">
        <f>IF(U195="","",SUMPRODUCT(--(Lineups!$AS$46:$AS$83=$U195),Lineups!$W$46:$W$83)+SUMPRODUCT(--(Lineups!$AA$47:$AA$84="SP*"),--(Lineups!$AS$46:$AS$83=$U195),Lineups!$W$47:$W$84))</f>
        <v/>
      </c>
      <c r="AC195" s="16">
        <f t="shared" si="111"/>
        <v>0</v>
      </c>
      <c r="AE195" s="16" t="str">
        <f t="shared" si="112"/>
        <v/>
      </c>
      <c r="AH195" s="16" t="str">
        <f>IF($U195="","",SUMPRODUCT(--(Lineups!$AC$46:$AC$83=$U195),Lineups!$W$46:$W$83) + SUMPRODUCT(--(Lineups!$AA$47:$AA$84="SP*"),--(Lineups!$AC$46:$AC$83=$U195),Lineups!$W$47:$W$84))</f>
        <v/>
      </c>
      <c r="AJ195" s="16" t="str">
        <f t="shared" si="113"/>
        <v/>
      </c>
    </row>
    <row r="196" spans="1:36" x14ac:dyDescent="0.3">
      <c r="A196" s="131">
        <f t="shared" si="104"/>
        <v>20</v>
      </c>
      <c r="B196" s="131" t="str">
        <f t="shared" si="105"/>
        <v/>
      </c>
      <c r="C196" s="131" t="str">
        <f t="shared" si="105"/>
        <v/>
      </c>
      <c r="D196" s="131" t="str">
        <f>IF($B196="","",SUMPRODUCT(--(Lineups!$G$46:$G$83=$B196),--(Lineups!$B$46:$B$83=""),Lineups!$AW$46:$AW$83)+SUMPRODUCT(--(Lineups!$A$47:$A$84="SP*"),--(Lineups!$G$46:$G$83=$B196),--(Lineups!$B$46:$B$83=""),Lineups!$AW$47:$AW$84))</f>
        <v/>
      </c>
      <c r="F196" s="142" t="str">
        <f>IF($B196="","",SUMPRODUCT(--(Lineups!$G$46:$G$83=$B196),--(Lineups!$B$46:$B$83="X"),Lineups!$AW$46:$AW$83)+SUMPRODUCT(--(Lineups!$A$47:$A$84="SP*"),--(Lineups!$G$46:$G$83=$B196),--(Lineups!$B$46:$B$83="X"),Lineups!$AW$47:$AW$84))</f>
        <v/>
      </c>
      <c r="G196" s="142" t="str">
        <f>IF($B196="","",SUMPRODUCT(--(Lineups!$K$46:$K$83=$B196),Lineups!$AW$46:$AW$83) + SUMPRODUCT(--(Lineups!$A$47:$A$84="SP*"),--(Lineups!$K$46:$K$83=$B196),Lineups!$AW$47:$AW$84))</f>
        <v/>
      </c>
      <c r="H196" s="142" t="str">
        <f>IF($B196="","",SUMPRODUCT(--(Lineups!$O$46:$O$83=$B196),Lineups!$AW$46:$AW$83)+SUMPRODUCT(--(Lineups!$A$47:$A$84="SP*"),--(Lineups!$O$46:$O$83=$B196),Lineups!$AW$47:$AW$84))</f>
        <v/>
      </c>
      <c r="I196" s="142" t="str">
        <f>IF($B196="","",SUMPRODUCT(--(Lineups!$S$46:$S$83=$B196),Lineups!$AW$46:$AW$83)+SUMPRODUCT(--(Lineups!$A$47:$A$84="SP*"),--(Lineups!$S$46:$S$83=$B196),Lineups!$AW$47:$AW$84))</f>
        <v/>
      </c>
      <c r="J196" s="131" t="str">
        <f t="shared" si="106"/>
        <v/>
      </c>
      <c r="L196" s="131" t="str">
        <f t="shared" si="107"/>
        <v/>
      </c>
      <c r="O196" s="131" t="str">
        <f>IF($B196="","",SUMPRODUCT(--(Lineups!$C$46:$C$83=$B196),Lineups!$AW$46:$AW$83) + SUMPRODUCT(--(Lineups!$A$47:$A$84="SP*"),--(Lineups!$C$46:$C$83=$B196),Lineups!$AW$47:$AW$84))</f>
        <v/>
      </c>
      <c r="Q196" s="131" t="str">
        <f t="shared" si="108"/>
        <v/>
      </c>
      <c r="T196" s="131">
        <f t="shared" si="109"/>
        <v>20</v>
      </c>
      <c r="U196" s="131" t="str">
        <f t="shared" si="110"/>
        <v/>
      </c>
      <c r="V196" s="131" t="str">
        <f t="shared" si="110"/>
        <v/>
      </c>
      <c r="W196" s="131" t="str">
        <f>IF($U196="","",SUMPRODUCT(--(Lineups!$AG$46:$AG$83=$U196),--(Lineups!$AB$46:$AB$83=""),Lineups!$W$46:$W$83)+SUMPRODUCT(--(Lineups!$AA$47:$AA$84="SP*"),--(Lineups!$AG$46:$AG$83=$U196),--(Lineups!$AB$46:$AB$83=""),Lineups!$W$47:$W$84))</f>
        <v/>
      </c>
      <c r="Y196" s="142" t="str">
        <f>IF($U196="","",SUMPRODUCT(--(Lineups!$AG$46:$AG$83=$U196),--(Lineups!$AB$46:$AB$83="X"),Lineups!$W$46:$W$83)+SUMPRODUCT(--(Lineups!$AA$47:$AA$84="SP*"),--(Lineups!$AG$46:$AG$83=$U196),--(Lineups!$AB$46:$AB$83="X"),Lineups!$W$47:$W$84))</f>
        <v/>
      </c>
      <c r="Z196" s="142" t="str">
        <f>IF(U196="","",SUMPRODUCT(--(Lineups!$AK$46:$AK$83=$U196),Lineups!$W$46:$W$83)+SUMPRODUCT(--(Lineups!$AA$47:$AA$84="SP*"),--(Lineups!$AK$46:$AK$83=$U196),Lineups!$W$47:$W$84))</f>
        <v/>
      </c>
      <c r="AA196" s="142" t="str">
        <f>IF(U196="","",SUMPRODUCT(--(Lineups!$AO$46:$AO$83=$U196),Lineups!$W$46:$W$83)+SUMPRODUCT(--(Lineups!$AA$47:$AA$84="SP*"),--(Lineups!$AO$46:$AO$83=$U196),Lineups!$W$47:$W$84))</f>
        <v/>
      </c>
      <c r="AB196" s="142" t="str">
        <f>IF(U196="","",SUMPRODUCT(--(Lineups!$AS$46:$AS$83=$U196),Lineups!$W$46:$W$83)+SUMPRODUCT(--(Lineups!$AA$47:$AA$84="SP*"),--(Lineups!$AS$46:$AS$83=$U196),Lineups!$W$47:$W$84))</f>
        <v/>
      </c>
      <c r="AC196" s="131">
        <f t="shared" si="111"/>
        <v>0</v>
      </c>
      <c r="AE196" s="131" t="str">
        <f t="shared" si="112"/>
        <v/>
      </c>
      <c r="AH196" s="131" t="str">
        <f>IF($U196="","",SUMPRODUCT(--(Lineups!$AC$46:$AC$83=$U196),Lineups!$W$46:$W$83) + SUMPRODUCT(--(Lineups!$AA$47:$AA$84="SP*"),--(Lineups!$AC$46:$AC$83=$U196),Lineups!$W$47:$W$84))</f>
        <v/>
      </c>
      <c r="AJ196" s="131"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8"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heetViews>
  <sheetFormatPr defaultColWidth="8.77734375" defaultRowHeight="13.8" x14ac:dyDescent="0.3"/>
  <cols>
    <col min="1" max="1" width="5.6640625" style="64" customWidth="1"/>
    <col min="2" max="2" width="11.44140625" style="64" customWidth="1"/>
    <col min="3" max="3" width="20.6640625" style="64" customWidth="1"/>
    <col min="4" max="4" width="5.6640625" style="381" customWidth="1"/>
    <col min="5" max="20" width="3.6640625" style="381" customWidth="1"/>
    <col min="21" max="22" width="5.6640625" style="381" customWidth="1"/>
    <col min="23" max="35" width="3.6640625" style="381" customWidth="1"/>
    <col min="36" max="36" width="6.6640625" style="381" customWidth="1"/>
    <col min="37" max="37" width="11.44140625" style="381" customWidth="1"/>
    <col min="38" max="50" width="3.6640625" style="381" customWidth="1"/>
    <col min="51" max="51" width="3.44140625" style="64" bestFit="1" customWidth="1"/>
    <col min="52" max="55" width="11.44140625" style="64" customWidth="1"/>
    <col min="56" max="67" width="3.6640625" style="64" customWidth="1"/>
    <col min="68" max="68" width="6.6640625" style="64" customWidth="1"/>
    <col min="69" max="84" width="3.6640625" style="64" customWidth="1"/>
    <col min="85" max="85" width="6.6640625" style="64" customWidth="1"/>
    <col min="86" max="86" width="11.44140625" style="64" customWidth="1"/>
    <col min="87" max="90" width="3.6640625" style="64" customWidth="1"/>
    <col min="91" max="266" width="11.44140625" style="64" customWidth="1"/>
    <col min="267" max="16384" width="8.77734375" style="64"/>
  </cols>
  <sheetData>
    <row r="1" spans="1:36" s="64" customFormat="1" ht="12.75" customHeight="1" x14ac:dyDescent="0.3">
      <c r="D1" s="381"/>
      <c r="E1" s="458" t="s">
        <v>310</v>
      </c>
      <c r="F1" s="459"/>
      <c r="G1" s="460"/>
      <c r="H1" s="460"/>
      <c r="I1" s="460"/>
      <c r="J1" s="383"/>
      <c r="K1" s="383"/>
      <c r="L1" s="383"/>
      <c r="M1" s="383"/>
      <c r="N1" s="383"/>
      <c r="O1" s="383"/>
      <c r="P1" s="383"/>
      <c r="Q1" s="383"/>
      <c r="R1" s="383"/>
      <c r="S1" s="383"/>
      <c r="T1" s="383"/>
      <c r="U1" s="383"/>
      <c r="V1" s="1207" t="s">
        <v>257</v>
      </c>
      <c r="W1" s="1208" t="s">
        <v>170</v>
      </c>
      <c r="X1" s="1208"/>
      <c r="Y1" s="1208"/>
      <c r="Z1" s="1208"/>
      <c r="AA1" s="1208"/>
      <c r="AB1" s="1208"/>
      <c r="AC1" s="1208"/>
      <c r="AD1" s="1208"/>
      <c r="AE1" s="1208"/>
      <c r="AF1" s="1208"/>
      <c r="AG1" s="1208"/>
      <c r="AH1" s="1208"/>
      <c r="AI1" s="1208"/>
      <c r="AJ1" s="1208"/>
    </row>
    <row r="2" spans="1:36" s="381" customFormat="1" ht="12.75" customHeight="1" thickBot="1" x14ac:dyDescent="0.35">
      <c r="A2" s="384" t="s">
        <v>6</v>
      </c>
      <c r="B2" s="384" t="s">
        <v>24</v>
      </c>
      <c r="C2" s="384" t="s">
        <v>25</v>
      </c>
      <c r="D2" s="384"/>
      <c r="E2" s="384" t="s">
        <v>128</v>
      </c>
      <c r="F2" s="384" t="s">
        <v>119</v>
      </c>
      <c r="G2" s="384" t="s">
        <v>111</v>
      </c>
      <c r="H2" s="384" t="s">
        <v>122</v>
      </c>
      <c r="I2" s="384" t="s">
        <v>116</v>
      </c>
      <c r="J2" s="384" t="s">
        <v>117</v>
      </c>
      <c r="K2" s="384" t="s">
        <v>113</v>
      </c>
      <c r="L2" s="384" t="s">
        <v>124</v>
      </c>
      <c r="M2" s="384" t="s">
        <v>115</v>
      </c>
      <c r="N2" s="384" t="s">
        <v>430</v>
      </c>
      <c r="O2" s="384" t="s">
        <v>125</v>
      </c>
      <c r="P2" s="384" t="s">
        <v>114</v>
      </c>
      <c r="Q2" s="384" t="s">
        <v>127</v>
      </c>
      <c r="R2" s="384" t="s">
        <v>121</v>
      </c>
      <c r="S2" s="384"/>
      <c r="T2" s="384"/>
      <c r="U2" s="385" t="s">
        <v>7</v>
      </c>
      <c r="V2" s="1207"/>
      <c r="W2" s="386" t="s">
        <v>277</v>
      </c>
      <c r="X2" s="386" t="s">
        <v>128</v>
      </c>
      <c r="Y2" s="386" t="s">
        <v>119</v>
      </c>
      <c r="Z2" s="386" t="s">
        <v>111</v>
      </c>
      <c r="AA2" s="386" t="s">
        <v>122</v>
      </c>
      <c r="AB2" s="386" t="s">
        <v>116</v>
      </c>
      <c r="AC2" s="386" t="s">
        <v>117</v>
      </c>
      <c r="AD2" s="386" t="s">
        <v>113</v>
      </c>
      <c r="AE2" s="386" t="s">
        <v>124</v>
      </c>
      <c r="AF2" s="386" t="s">
        <v>115</v>
      </c>
      <c r="AG2" s="386" t="s">
        <v>430</v>
      </c>
      <c r="AH2" s="386" t="s">
        <v>125</v>
      </c>
      <c r="AI2" s="386" t="s">
        <v>127</v>
      </c>
      <c r="AJ2" s="386"/>
    </row>
    <row r="3" spans="1:36" s="64" customFormat="1" x14ac:dyDescent="0.3">
      <c r="A3" s="1204">
        <v>1</v>
      </c>
      <c r="B3" s="1205" t="str">
        <f>IF(IGRF!B14="","",IGRF!B14)</f>
        <v>101</v>
      </c>
      <c r="C3" s="1206" t="str">
        <f>IF(IGRF!C14="","",IGRF!C14)</f>
        <v>Jackie Treehorn</v>
      </c>
      <c r="D3" s="381" t="s">
        <v>5</v>
      </c>
      <c r="E3" s="381">
        <f>IF($B3="","",COUNTIF(Penalties!$B4:$J4,E$2))</f>
        <v>0</v>
      </c>
      <c r="F3" s="381">
        <f>IF($B3="","",COUNTIF(Penalties!$B4:$J4,F$2))</f>
        <v>0</v>
      </c>
      <c r="G3" s="381">
        <f>IF($B3="","",COUNTIF(Penalties!$B4:$J4,G$2))</f>
        <v>0</v>
      </c>
      <c r="H3" s="381">
        <f>IF($B3="","",COUNTIF(Penalties!$B4:$J4,H$2))</f>
        <v>0</v>
      </c>
      <c r="I3" s="381">
        <f>IF($B3="","",COUNTIF(Penalties!$B4:$J4,I$2))</f>
        <v>0</v>
      </c>
      <c r="J3" s="381">
        <f>IF($B3="","",COUNTIF(Penalties!$B4:$J4,J$2))</f>
        <v>1</v>
      </c>
      <c r="K3" s="381">
        <f>IF($B3="","",COUNTIF(Penalties!$B4:$J4,K$2))</f>
        <v>0</v>
      </c>
      <c r="L3" s="381">
        <f>IF($B3="","",COUNTIF(Penalties!$B4:$J4,L$2))</f>
        <v>0</v>
      </c>
      <c r="M3" s="381">
        <f>IF($B3="","",COUNTIF(Penalties!$B4:$J4,M$2))</f>
        <v>0</v>
      </c>
      <c r="N3" s="381">
        <f>IF($B3="","",COUNTIF(Penalties!$B4:$J4,N$2))</f>
        <v>0</v>
      </c>
      <c r="O3" s="381">
        <f>IF($B3="","",COUNTIF(Penalties!$B4:$J4,O$2))</f>
        <v>0</v>
      </c>
      <c r="P3" s="381">
        <f>IF($B3="","",COUNTIF(Penalties!$B4:$J4,P$2))</f>
        <v>0</v>
      </c>
      <c r="Q3" s="381">
        <f>IF($B3="","",COUNTIF(Penalties!$B4:$J4,Q$2))</f>
        <v>0</v>
      </c>
      <c r="R3" s="381">
        <f>IF($B3="","",COUNTIF(Penalties!$B4:$J4,R$2))</f>
        <v>0</v>
      </c>
      <c r="S3" s="381"/>
      <c r="T3" s="381"/>
      <c r="U3" s="387">
        <f>IF(B3="","",SUM(E3:T3))</f>
        <v>1</v>
      </c>
      <c r="V3" s="388">
        <f>IF(B3="","",SUM(E3:T3)*0.5)</f>
        <v>0.5</v>
      </c>
      <c r="W3" s="389" t="str">
        <f>IF($B3="","",IF(Penalties!$K4=W$2,1,""))</f>
        <v/>
      </c>
      <c r="X3" s="389" t="str">
        <f>IF($B3="","",IF(Penalties!$K4=X$2,1,""))</f>
        <v/>
      </c>
      <c r="Y3" s="389" t="str">
        <f>IF($B3="","",IF(Penalties!$K4=Y$2,1,""))</f>
        <v/>
      </c>
      <c r="Z3" s="389" t="str">
        <f>IF($B3="","",IF(Penalties!$K4=Z$2,1,""))</f>
        <v/>
      </c>
      <c r="AA3" s="389" t="str">
        <f>IF($B3="","",IF(Penalties!$K4=AA$2,1,""))</f>
        <v/>
      </c>
      <c r="AB3" s="389" t="str">
        <f>IF($B3="","",IF(Penalties!$K4=AB$2,1,""))</f>
        <v/>
      </c>
      <c r="AC3" s="389" t="str">
        <f>IF($B3="","",IF(Penalties!$K4=AC$2,1,""))</f>
        <v/>
      </c>
      <c r="AD3" s="389" t="str">
        <f>IF($B3="","",IF(Penalties!$K4=AD$2,1,""))</f>
        <v/>
      </c>
      <c r="AE3" s="389" t="str">
        <f>IF($B3="","",IF(Penalties!$K4=AE$2,1,""))</f>
        <v/>
      </c>
      <c r="AF3" s="389" t="str">
        <f>IF($B3="","",IF(Penalties!$K4=AF$2,1,""))</f>
        <v/>
      </c>
      <c r="AG3" s="389" t="str">
        <f>IF($B3="","",IF(Penalties!$K4=AG$2,1,""))</f>
        <v/>
      </c>
      <c r="AH3" s="389" t="str">
        <f>IF($B3="","",IF(Penalties!$K4=AH$2,1,""))</f>
        <v/>
      </c>
      <c r="AI3" s="389" t="str">
        <f>IF($B3="","",IF(Penalties!$K4=AI$2,1,""))</f>
        <v/>
      </c>
      <c r="AJ3" s="390"/>
    </row>
    <row r="4" spans="1:36" s="64" customFormat="1" x14ac:dyDescent="0.3">
      <c r="A4" s="1204"/>
      <c r="B4" s="1205"/>
      <c r="C4" s="1206"/>
      <c r="D4" s="381" t="s">
        <v>21</v>
      </c>
      <c r="E4" s="381">
        <f>IF($B3="","",COUNTIF(Penalties!$AD4:$AL4,E$2))</f>
        <v>0</v>
      </c>
      <c r="F4" s="381">
        <f>IF($B3="","",COUNTIF(Penalties!$AD4:$AL4,F$2))</f>
        <v>0</v>
      </c>
      <c r="G4" s="381">
        <f>IF($B3="","",COUNTIF(Penalties!$AD4:$AL4,G$2))</f>
        <v>0</v>
      </c>
      <c r="H4" s="381">
        <f>IF($B3="","",COUNTIF(Penalties!$AD4:$AL4,H$2))</f>
        <v>0</v>
      </c>
      <c r="I4" s="381">
        <f>IF($B3="","",COUNTIF(Penalties!$AD4:$AL4,I$2))</f>
        <v>0</v>
      </c>
      <c r="J4" s="381">
        <f>IF($B3="","",COUNTIF(Penalties!$AD4:$AL4,J$2))</f>
        <v>1</v>
      </c>
      <c r="K4" s="381">
        <f>IF($B3="","",COUNTIF(Penalties!$AD4:$AL4,K$2))</f>
        <v>0</v>
      </c>
      <c r="L4" s="381">
        <f>IF($B3="","",COUNTIF(Penalties!$AD4:$AL4,L$2))</f>
        <v>0</v>
      </c>
      <c r="M4" s="381">
        <f>IF($B3="","",COUNTIF(Penalties!$AD4:$AL4,M$2))</f>
        <v>1</v>
      </c>
      <c r="N4" s="381">
        <f>IF($B3="","",COUNTIF(Penalties!$AD4:$AL4,N$2))</f>
        <v>2</v>
      </c>
      <c r="O4" s="381">
        <f>IF($B3="","",COUNTIF(Penalties!$AD4:$AL4,O$2))</f>
        <v>0</v>
      </c>
      <c r="P4" s="381">
        <f>IF($B3="","",COUNTIF(Penalties!$AD4:$AL4,P$2))</f>
        <v>0</v>
      </c>
      <c r="Q4" s="381">
        <f>IF($B3="","",COUNTIF(Penalties!$AD4:$AL4,Q$2))</f>
        <v>0</v>
      </c>
      <c r="R4" s="381">
        <f>IF($B3="","",COUNTIF(Penalties!$AD4:$AL4,R$2))</f>
        <v>0</v>
      </c>
      <c r="S4" s="381"/>
      <c r="T4" s="381"/>
      <c r="U4" s="387">
        <f>IF(B3="","",SUM(E4:T4))</f>
        <v>4</v>
      </c>
      <c r="V4" s="388">
        <f>IF(B3="","",SUM(E4:T4)*0.5)</f>
        <v>2</v>
      </c>
      <c r="W4" s="389" t="str">
        <f>IF($B3="","",IF(Penalties!$AM4=W$2,1,""))</f>
        <v/>
      </c>
      <c r="X4" s="389" t="str">
        <f>IF($B3="","",IF(Penalties!$AM4=X$2,1,""))</f>
        <v/>
      </c>
      <c r="Y4" s="389" t="str">
        <f>IF($B3="","",IF(Penalties!$AM4=Y$2,1,""))</f>
        <v/>
      </c>
      <c r="Z4" s="389" t="str">
        <f>IF($B3="","",IF(Penalties!$AM4=Z$2,1,""))</f>
        <v/>
      </c>
      <c r="AA4" s="389" t="str">
        <f>IF($B3="","",IF(Penalties!$AM4=AA$2,1,""))</f>
        <v/>
      </c>
      <c r="AB4" s="389" t="str">
        <f>IF($B3="","",IF(Penalties!$AM4=AB$2,1,""))</f>
        <v/>
      </c>
      <c r="AC4" s="389" t="str">
        <f>IF($B3="","",IF(Penalties!$AM4=AC$2,1,""))</f>
        <v/>
      </c>
      <c r="AD4" s="389" t="str">
        <f>IF($B3="","",IF(Penalties!$AM4=AD$2,1,""))</f>
        <v/>
      </c>
      <c r="AE4" s="389" t="str">
        <f>IF($B3="","",IF(Penalties!$AM4=AE$2,1,""))</f>
        <v/>
      </c>
      <c r="AF4" s="389" t="str">
        <f>IF($B3="","",IF(Penalties!$AM4=AF$2,1,""))</f>
        <v/>
      </c>
      <c r="AG4" s="389" t="str">
        <f>IF($B3="","",IF(Penalties!$AM4=AG$2,1,""))</f>
        <v/>
      </c>
      <c r="AH4" s="389" t="str">
        <f>IF($B3="","",IF(Penalties!$AM4=AH$2,1,""))</f>
        <v/>
      </c>
      <c r="AI4" s="389" t="str">
        <f>IF($B3="","",IF(Penalties!$AM4=AI$2,1,""))</f>
        <v/>
      </c>
      <c r="AJ4" s="391" t="str">
        <f>IF(SUM(X3:AI4)=0, "", IF(SUM(X3:AI3)=1, LOOKUP(1, X3:AI3, $X$2:$AI$2), LOOKUP(1, X4:AI4, $X$2:$AI$2)))</f>
        <v/>
      </c>
    </row>
    <row r="5" spans="1:36" s="64" customFormat="1" x14ac:dyDescent="0.3">
      <c r="A5" s="1201">
        <f>A3+1</f>
        <v>2</v>
      </c>
      <c r="B5" s="1202" t="str">
        <f>IF(IGRF!B15="","",IGRF!B15)</f>
        <v>123</v>
      </c>
      <c r="C5" s="1203" t="str">
        <f>IF(IGRF!C15="","",IGRF!C15)</f>
        <v>Bacon 4 Mercy</v>
      </c>
      <c r="D5" s="382" t="s">
        <v>5</v>
      </c>
      <c r="E5" s="382">
        <f>IF($B5="","",COUNTIF(Penalties!$B6:$J6,E$2))</f>
        <v>0</v>
      </c>
      <c r="F5" s="382">
        <f>IF($B5="","",COUNTIF(Penalties!$B6:$J6,F$2))</f>
        <v>0</v>
      </c>
      <c r="G5" s="382">
        <f>IF($B5="","",COUNTIF(Penalties!$B6:$J6,G$2))</f>
        <v>0</v>
      </c>
      <c r="H5" s="382">
        <f>IF($B5="","",COUNTIF(Penalties!$B6:$J6,H$2))</f>
        <v>0</v>
      </c>
      <c r="I5" s="382">
        <f>IF($B5="","",COUNTIF(Penalties!$B6:$J6,I$2))</f>
        <v>0</v>
      </c>
      <c r="J5" s="382">
        <f>IF($B5="","",COUNTIF(Penalties!$B6:$J6,J$2))</f>
        <v>0</v>
      </c>
      <c r="K5" s="382">
        <f>IF($B5="","",COUNTIF(Penalties!$B6:$J6,K$2))</f>
        <v>0</v>
      </c>
      <c r="L5" s="382">
        <f>IF($B5="","",COUNTIF(Penalties!$B6:$J6,L$2))</f>
        <v>0</v>
      </c>
      <c r="M5" s="382">
        <f>IF($B5="","",COUNTIF(Penalties!$B6:$J6,M$2))</f>
        <v>0</v>
      </c>
      <c r="N5" s="382">
        <f>IF($B5="","",COUNTIF(Penalties!$B6:$J6,N$2))</f>
        <v>0</v>
      </c>
      <c r="O5" s="382">
        <f>IF($B5="","",COUNTIF(Penalties!$B6:$J6,O$2))</f>
        <v>0</v>
      </c>
      <c r="P5" s="382">
        <f>IF($B5="","",COUNTIF(Penalties!$B6:$J6,P$2))</f>
        <v>0</v>
      </c>
      <c r="Q5" s="382">
        <f>IF($B5="","",COUNTIF(Penalties!$B6:$J6,Q$2))</f>
        <v>0</v>
      </c>
      <c r="R5" s="382">
        <f>IF($B5="","",COUNTIF(Penalties!$B6:$J6,R$2))</f>
        <v>0</v>
      </c>
      <c r="S5" s="382"/>
      <c r="T5" s="382"/>
      <c r="U5" s="392">
        <f>IF(B5="","",SUM(E5:T5))</f>
        <v>0</v>
      </c>
      <c r="V5" s="393">
        <f>IF(B5="","",SUM(E5:T5)*0.5)</f>
        <v>0</v>
      </c>
      <c r="W5" s="394" t="str">
        <f>IF($B5="","",IF(Penalties!$K6=W$2,1,""))</f>
        <v/>
      </c>
      <c r="X5" s="394" t="str">
        <f>IF($B5="","",IF(Penalties!$K6=X$2,1,""))</f>
        <v/>
      </c>
      <c r="Y5" s="394" t="str">
        <f>IF($B5="","",IF(Penalties!$K6=Y$2,1,""))</f>
        <v/>
      </c>
      <c r="Z5" s="394" t="str">
        <f>IF($B5="","",IF(Penalties!$K6=Z$2,1,""))</f>
        <v/>
      </c>
      <c r="AA5" s="394" t="str">
        <f>IF($B5="","",IF(Penalties!$K6=AA$2,1,""))</f>
        <v/>
      </c>
      <c r="AB5" s="394" t="str">
        <f>IF($B5="","",IF(Penalties!$K6=AB$2,1,""))</f>
        <v/>
      </c>
      <c r="AC5" s="394" t="str">
        <f>IF($B5="","",IF(Penalties!$K6=AC$2,1,""))</f>
        <v/>
      </c>
      <c r="AD5" s="394" t="str">
        <f>IF($B5="","",IF(Penalties!$K6=AD$2,1,""))</f>
        <v/>
      </c>
      <c r="AE5" s="394" t="str">
        <f>IF($B5="","",IF(Penalties!$K6=AE$2,1,""))</f>
        <v/>
      </c>
      <c r="AF5" s="394" t="str">
        <f>IF($B5="","",IF(Penalties!$K6=AF$2,1,""))</f>
        <v/>
      </c>
      <c r="AG5" s="394" t="str">
        <f>IF($B5="","",IF(Penalties!$K6=AG$2,1,""))</f>
        <v/>
      </c>
      <c r="AH5" s="394" t="str">
        <f>IF($B5="","",IF(Penalties!$K6=AH$2,1,""))</f>
        <v/>
      </c>
      <c r="AI5" s="394" t="str">
        <f>IF($B5="","",IF(Penalties!$K6=AI$2,1,""))</f>
        <v/>
      </c>
      <c r="AJ5" s="395"/>
    </row>
    <row r="6" spans="1:36" s="64" customFormat="1" ht="14.4" thickBot="1" x14ac:dyDescent="0.35">
      <c r="A6" s="1201"/>
      <c r="B6" s="1202"/>
      <c r="C6" s="1203"/>
      <c r="D6" s="382" t="s">
        <v>21</v>
      </c>
      <c r="E6" s="382">
        <f>IF($B5="","",COUNTIF(Penalties!$AD6:$AL6,E$2))</f>
        <v>0</v>
      </c>
      <c r="F6" s="382">
        <f>IF($B5="","",COUNTIF(Penalties!$AD6:$AL6,F$2))</f>
        <v>0</v>
      </c>
      <c r="G6" s="382">
        <f>IF($B5="","",COUNTIF(Penalties!$AD6:$AL6,G$2))</f>
        <v>0</v>
      </c>
      <c r="H6" s="382">
        <f>IF($B5="","",COUNTIF(Penalties!$AD6:$AL6,H$2))</f>
        <v>0</v>
      </c>
      <c r="I6" s="382">
        <f>IF($B5="","",COUNTIF(Penalties!$AD6:$AL6,I$2))</f>
        <v>0</v>
      </c>
      <c r="J6" s="382">
        <f>IF($B5="","",COUNTIF(Penalties!$AD6:$AL6,J$2))</f>
        <v>0</v>
      </c>
      <c r="K6" s="382">
        <f>IF($B5="","",COUNTIF(Penalties!$AD6:$AL6,K$2))</f>
        <v>0</v>
      </c>
      <c r="L6" s="382">
        <f>IF($B5="","",COUNTIF(Penalties!$AD6:$AL6,L$2))</f>
        <v>0</v>
      </c>
      <c r="M6" s="382">
        <f>IF($B5="","",COUNTIF(Penalties!$AD6:$AL6,M$2))</f>
        <v>0</v>
      </c>
      <c r="N6" s="382">
        <f>IF($B5="","",COUNTIF(Penalties!$AD6:$AL6,N$2))</f>
        <v>0</v>
      </c>
      <c r="O6" s="382">
        <f>IF($B5="","",COUNTIF(Penalties!$AD6:$AL6,O$2))</f>
        <v>0</v>
      </c>
      <c r="P6" s="382">
        <f>IF($B5="","",COUNTIF(Penalties!$AD6:$AL6,P$2))</f>
        <v>0</v>
      </c>
      <c r="Q6" s="382">
        <f>IF($B5="","",COUNTIF(Penalties!$AD6:$AL6,Q$2))</f>
        <v>0</v>
      </c>
      <c r="R6" s="382">
        <f>IF($B5="","",COUNTIF(Penalties!$AD6:$AL6,R$2))</f>
        <v>0</v>
      </c>
      <c r="S6" s="382"/>
      <c r="T6" s="382"/>
      <c r="U6" s="392">
        <f>IF(B5="","",SUM(E6:T6))</f>
        <v>0</v>
      </c>
      <c r="V6" s="393">
        <f>IF(B5="","",SUM(E6:T6)*0.5)</f>
        <v>0</v>
      </c>
      <c r="W6" s="394" t="str">
        <f>IF($B5="","",IF(Penalties!$AM6=W$2,1,""))</f>
        <v/>
      </c>
      <c r="X6" s="394" t="str">
        <f>IF($B5="","",IF(Penalties!$AM6=X$2,1,""))</f>
        <v/>
      </c>
      <c r="Y6" s="394" t="str">
        <f>IF($B5="","",IF(Penalties!$AM6=Y$2,1,""))</f>
        <v/>
      </c>
      <c r="Z6" s="394" t="str">
        <f>IF($B5="","",IF(Penalties!$AM6=Z$2,1,""))</f>
        <v/>
      </c>
      <c r="AA6" s="394" t="str">
        <f>IF($B5="","",IF(Penalties!$AM6=AA$2,1,""))</f>
        <v/>
      </c>
      <c r="AB6" s="394" t="str">
        <f>IF($B5="","",IF(Penalties!$AM6=AB$2,1,""))</f>
        <v/>
      </c>
      <c r="AC6" s="394" t="str">
        <f>IF($B5="","",IF(Penalties!$AM6=AC$2,1,""))</f>
        <v/>
      </c>
      <c r="AD6" s="394" t="str">
        <f>IF($B5="","",IF(Penalties!$AM6=AD$2,1,""))</f>
        <v/>
      </c>
      <c r="AE6" s="394" t="str">
        <f>IF($B5="","",IF(Penalties!$AM6=AE$2,1,""))</f>
        <v/>
      </c>
      <c r="AF6" s="394" t="str">
        <f>IF($B5="","",IF(Penalties!$AM6=AF$2,1,""))</f>
        <v/>
      </c>
      <c r="AG6" s="394" t="str">
        <f>IF($B5="","",IF(Penalties!$AM6=AG$2,1,""))</f>
        <v/>
      </c>
      <c r="AH6" s="394" t="str">
        <f>IF($B5="","",IF(Penalties!$AM6=AH$2,1,""))</f>
        <v/>
      </c>
      <c r="AI6" s="394" t="str">
        <f>IF($B5="","",IF(Penalties!$AM6=AI$2,1,""))</f>
        <v/>
      </c>
      <c r="AJ6" s="396" t="str">
        <f>IF(SUM(X5:AI6)=0, "", IF(SUM(X5:AI5)=1, LOOKUP(1, X5:AI5, $X$2:$AI$2), LOOKUP(1, X6:AI6, $X$2:$AI$2)))</f>
        <v/>
      </c>
    </row>
    <row r="7" spans="1:36" s="64" customFormat="1" x14ac:dyDescent="0.3">
      <c r="A7" s="1204">
        <f>A5+1</f>
        <v>3</v>
      </c>
      <c r="B7" s="1205" t="str">
        <f>IF(IGRF!B16="","",IGRF!B16)</f>
        <v>1760</v>
      </c>
      <c r="C7" s="1206" t="str">
        <f>IF(IGRF!C16="","",IGRF!C16)</f>
        <v>By O. Hazard</v>
      </c>
      <c r="D7" s="381" t="s">
        <v>5</v>
      </c>
      <c r="E7" s="381">
        <f>IF($B7="","",COUNTIF(Penalties!$B8:$J8,E$2))</f>
        <v>1</v>
      </c>
      <c r="F7" s="381">
        <f>IF($B7="","",COUNTIF(Penalties!$B8:$J8,F$2))</f>
        <v>0</v>
      </c>
      <c r="G7" s="381">
        <f>IF($B7="","",COUNTIF(Penalties!$B8:$J8,G$2))</f>
        <v>0</v>
      </c>
      <c r="H7" s="381">
        <f>IF($B7="","",COUNTIF(Penalties!$B8:$J8,H$2))</f>
        <v>0</v>
      </c>
      <c r="I7" s="381">
        <f>IF($B7="","",COUNTIF(Penalties!$B8:$J8,I$2))</f>
        <v>0</v>
      </c>
      <c r="J7" s="381">
        <f>IF($B7="","",COUNTIF(Penalties!$B8:$J8,J$2))</f>
        <v>1</v>
      </c>
      <c r="K7" s="381">
        <f>IF($B7="","",COUNTIF(Penalties!$B8:$J8,K$2))</f>
        <v>0</v>
      </c>
      <c r="L7" s="381">
        <f>IF($B7="","",COUNTIF(Penalties!$B8:$J8,L$2))</f>
        <v>0</v>
      </c>
      <c r="M7" s="381">
        <f>IF($B7="","",COUNTIF(Penalties!$B8:$J8,M$2))</f>
        <v>0</v>
      </c>
      <c r="N7" s="381">
        <f>IF($B7="","",COUNTIF(Penalties!$B8:$J8,N$2))</f>
        <v>1</v>
      </c>
      <c r="O7" s="381">
        <f>IF($B7="","",COUNTIF(Penalties!$B8:$J8,O$2))</f>
        <v>0</v>
      </c>
      <c r="P7" s="381">
        <f>IF($B7="","",COUNTIF(Penalties!$B8:$J8,P$2))</f>
        <v>0</v>
      </c>
      <c r="Q7" s="381">
        <f>IF($B7="","",COUNTIF(Penalties!$B8:$J8,Q$2))</f>
        <v>0</v>
      </c>
      <c r="R7" s="381">
        <f>IF($B7="","",COUNTIF(Penalties!$B8:$J8,R$2))</f>
        <v>0</v>
      </c>
      <c r="S7" s="381"/>
      <c r="T7" s="381"/>
      <c r="U7" s="387">
        <f>IF(B7="","",SUM(E7:T7))</f>
        <v>3</v>
      </c>
      <c r="V7" s="388">
        <f>IF(B7="","",SUM(E7:T7)*0.5)</f>
        <v>1.5</v>
      </c>
      <c r="W7" s="389" t="str">
        <f>IF($B7="","",IF(Penalties!$K8=W$2,1,""))</f>
        <v/>
      </c>
      <c r="X7" s="389" t="str">
        <f>IF($B7="","",IF(Penalties!$K8=X$2,1,""))</f>
        <v/>
      </c>
      <c r="Y7" s="389" t="str">
        <f>IF($B7="","",IF(Penalties!$K8=Y$2,1,""))</f>
        <v/>
      </c>
      <c r="Z7" s="389" t="str">
        <f>IF($B7="","",IF(Penalties!$K8=Z$2,1,""))</f>
        <v/>
      </c>
      <c r="AA7" s="389" t="str">
        <f>IF($B7="","",IF(Penalties!$K8=AA$2,1,""))</f>
        <v/>
      </c>
      <c r="AB7" s="389" t="str">
        <f>IF($B7="","",IF(Penalties!$K8=AB$2,1,""))</f>
        <v/>
      </c>
      <c r="AC7" s="389" t="str">
        <f>IF($B7="","",IF(Penalties!$K8=AC$2,1,""))</f>
        <v/>
      </c>
      <c r="AD7" s="389" t="str">
        <f>IF($B7="","",IF(Penalties!$K8=AD$2,1,""))</f>
        <v/>
      </c>
      <c r="AE7" s="389" t="str">
        <f>IF($B7="","",IF(Penalties!$K8=AE$2,1,""))</f>
        <v/>
      </c>
      <c r="AF7" s="389" t="str">
        <f>IF($B7="","",IF(Penalties!$K8=AF$2,1,""))</f>
        <v/>
      </c>
      <c r="AG7" s="389" t="str">
        <f>IF($B7="","",IF(Penalties!$K8=AG$2,1,""))</f>
        <v/>
      </c>
      <c r="AH7" s="389" t="str">
        <f>IF($B7="","",IF(Penalties!$K8=AH$2,1,""))</f>
        <v/>
      </c>
      <c r="AI7" s="389" t="str">
        <f>IF($B7="","",IF(Penalties!$K8=AI$2,1,""))</f>
        <v/>
      </c>
      <c r="AJ7" s="390"/>
    </row>
    <row r="8" spans="1:36" s="64" customFormat="1" x14ac:dyDescent="0.3">
      <c r="A8" s="1204"/>
      <c r="B8" s="1205"/>
      <c r="C8" s="1206"/>
      <c r="D8" s="381" t="s">
        <v>21</v>
      </c>
      <c r="E8" s="381">
        <f>IF($B7="","",COUNTIF(Penalties!$AD8:$AL8,E$2))</f>
        <v>0</v>
      </c>
      <c r="F8" s="381">
        <f>IF($B7="","",COUNTIF(Penalties!$AD8:$AL8,F$2))</f>
        <v>0</v>
      </c>
      <c r="G8" s="381">
        <f>IF($B7="","",COUNTIF(Penalties!$AD8:$AL8,G$2))</f>
        <v>0</v>
      </c>
      <c r="H8" s="381">
        <f>IF($B7="","",COUNTIF(Penalties!$AD8:$AL8,H$2))</f>
        <v>0</v>
      </c>
      <c r="I8" s="381">
        <f>IF($B7="","",COUNTIF(Penalties!$AD8:$AL8,I$2))</f>
        <v>0</v>
      </c>
      <c r="J8" s="381">
        <f>IF($B7="","",COUNTIF(Penalties!$AD8:$AL8,J$2))</f>
        <v>0</v>
      </c>
      <c r="K8" s="381">
        <f>IF($B7="","",COUNTIF(Penalties!$AD8:$AL8,K$2))</f>
        <v>0</v>
      </c>
      <c r="L8" s="381">
        <f>IF($B7="","",COUNTIF(Penalties!$AD8:$AL8,L$2))</f>
        <v>0</v>
      </c>
      <c r="M8" s="381">
        <f>IF($B7="","",COUNTIF(Penalties!$AD8:$AL8,M$2))</f>
        <v>0</v>
      </c>
      <c r="N8" s="381">
        <f>IF($B7="","",COUNTIF(Penalties!$AD8:$AL8,N$2))</f>
        <v>0</v>
      </c>
      <c r="O8" s="381">
        <f>IF($B7="","",COUNTIF(Penalties!$AD8:$AL8,O$2))</f>
        <v>0</v>
      </c>
      <c r="P8" s="381">
        <f>IF($B7="","",COUNTIF(Penalties!$AD8:$AL8,P$2))</f>
        <v>0</v>
      </c>
      <c r="Q8" s="381">
        <f>IF($B7="","",COUNTIF(Penalties!$AD8:$AL8,Q$2))</f>
        <v>0</v>
      </c>
      <c r="R8" s="381">
        <f>IF($B7="","",COUNTIF(Penalties!$AD8:$AL8,R$2))</f>
        <v>0</v>
      </c>
      <c r="S8" s="381"/>
      <c r="T8" s="381"/>
      <c r="U8" s="387">
        <f>IF(B7="","",SUM(E8:T8))</f>
        <v>0</v>
      </c>
      <c r="V8" s="388">
        <f>IF(B7="","",SUM(E8:T8)*0.5)</f>
        <v>0</v>
      </c>
      <c r="W8" s="389" t="str">
        <f>IF($B7="","",IF(Penalties!$AM8=W$2,1,""))</f>
        <v/>
      </c>
      <c r="X8" s="389" t="str">
        <f>IF($B7="","",IF(Penalties!$AM8=X$2,1,""))</f>
        <v/>
      </c>
      <c r="Y8" s="389" t="str">
        <f>IF($B7="","",IF(Penalties!$AM8=Y$2,1,""))</f>
        <v/>
      </c>
      <c r="Z8" s="389" t="str">
        <f>IF($B7="","",IF(Penalties!$AM8=Z$2,1,""))</f>
        <v/>
      </c>
      <c r="AA8" s="389" t="str">
        <f>IF($B7="","",IF(Penalties!$AM8=AA$2,1,""))</f>
        <v/>
      </c>
      <c r="AB8" s="389" t="str">
        <f>IF($B7="","",IF(Penalties!$AM8=AB$2,1,""))</f>
        <v/>
      </c>
      <c r="AC8" s="389" t="str">
        <f>IF($B7="","",IF(Penalties!$AM8=AC$2,1,""))</f>
        <v/>
      </c>
      <c r="AD8" s="389" t="str">
        <f>IF($B7="","",IF(Penalties!$AM8=AD$2,1,""))</f>
        <v/>
      </c>
      <c r="AE8" s="389" t="str">
        <f>IF($B7="","",IF(Penalties!$AM8=AE$2,1,""))</f>
        <v/>
      </c>
      <c r="AF8" s="389" t="str">
        <f>IF($B7="","",IF(Penalties!$AM8=AF$2,1,""))</f>
        <v/>
      </c>
      <c r="AG8" s="389" t="str">
        <f>IF($B7="","",IF(Penalties!$AM8=AG$2,1,""))</f>
        <v/>
      </c>
      <c r="AH8" s="389" t="str">
        <f>IF($B7="","",IF(Penalties!$AM8=AH$2,1,""))</f>
        <v/>
      </c>
      <c r="AI8" s="389" t="str">
        <f>IF($B7="","",IF(Penalties!$AM8=AI$2,1,""))</f>
        <v/>
      </c>
      <c r="AJ8" s="391" t="str">
        <f>IF(SUM(X7:AI8)=0, "", IF(SUM(X7:AI7)=1, LOOKUP(1, X7:AI7, $X$2:$AI$2), LOOKUP(1, X8:AI8, $X$2:$AI$2)))</f>
        <v/>
      </c>
    </row>
    <row r="9" spans="1:36" s="64" customFormat="1" x14ac:dyDescent="0.3">
      <c r="A9" s="1201">
        <f>A7+1</f>
        <v>4</v>
      </c>
      <c r="B9" s="1202" t="str">
        <f>IF(IGRF!B17="","",IGRF!B17)</f>
        <v>202</v>
      </c>
      <c r="C9" s="1203" t="str">
        <f>IF(IGRF!C17="","",IGRF!C17)</f>
        <v>Thai-GRRR</v>
      </c>
      <c r="D9" s="382" t="s">
        <v>5</v>
      </c>
      <c r="E9" s="382">
        <f>IF($B9="","",COUNTIF(Penalties!$B10:$J10,E$2))</f>
        <v>0</v>
      </c>
      <c r="F9" s="382">
        <f>IF($B9="","",COUNTIF(Penalties!$B10:$J10,F$2))</f>
        <v>1</v>
      </c>
      <c r="G9" s="382">
        <f>IF($B9="","",COUNTIF(Penalties!$B10:$J10,G$2))</f>
        <v>0</v>
      </c>
      <c r="H9" s="382">
        <f>IF($B9="","",COUNTIF(Penalties!$B10:$J10,H$2))</f>
        <v>0</v>
      </c>
      <c r="I9" s="382">
        <f>IF($B9="","",COUNTIF(Penalties!$B10:$J10,I$2))</f>
        <v>0</v>
      </c>
      <c r="J9" s="382">
        <f>IF($B9="","",COUNTIF(Penalties!$B10:$J10,J$2))</f>
        <v>0</v>
      </c>
      <c r="K9" s="382">
        <f>IF($B9="","",COUNTIF(Penalties!$B10:$J10,K$2))</f>
        <v>0</v>
      </c>
      <c r="L9" s="382">
        <f>IF($B9="","",COUNTIF(Penalties!$B10:$J10,L$2))</f>
        <v>0</v>
      </c>
      <c r="M9" s="382">
        <f>IF($B9="","",COUNTIF(Penalties!$B10:$J10,M$2))</f>
        <v>0</v>
      </c>
      <c r="N9" s="382">
        <f>IF($B9="","",COUNTIF(Penalties!$B10:$J10,N$2))</f>
        <v>0</v>
      </c>
      <c r="O9" s="382">
        <f>IF($B9="","",COUNTIF(Penalties!$B10:$J10,O$2))</f>
        <v>0</v>
      </c>
      <c r="P9" s="382">
        <f>IF($B9="","",COUNTIF(Penalties!$B10:$J10,P$2))</f>
        <v>0</v>
      </c>
      <c r="Q9" s="382">
        <f>IF($B9="","",COUNTIF(Penalties!$B10:$J10,Q$2))</f>
        <v>0</v>
      </c>
      <c r="R9" s="382">
        <f>IF($B9="","",COUNTIF(Penalties!$B10:$J10,R$2))</f>
        <v>0</v>
      </c>
      <c r="S9" s="382"/>
      <c r="T9" s="382"/>
      <c r="U9" s="392">
        <f>IF(B9="","",SUM(E9:T9))</f>
        <v>1</v>
      </c>
      <c r="V9" s="393">
        <f>IF(B9="","",SUM(E9:T9)*0.5)</f>
        <v>0.5</v>
      </c>
      <c r="W9" s="394" t="str">
        <f>IF($B9="","",IF(Penalties!$K10=W$2,1,""))</f>
        <v/>
      </c>
      <c r="X9" s="394" t="str">
        <f>IF($B9="","",IF(Penalties!$K10=X$2,1,""))</f>
        <v/>
      </c>
      <c r="Y9" s="394" t="str">
        <f>IF($B9="","",IF(Penalties!$K10=Y$2,1,""))</f>
        <v/>
      </c>
      <c r="Z9" s="394" t="str">
        <f>IF($B9="","",IF(Penalties!$K10=Z$2,1,""))</f>
        <v/>
      </c>
      <c r="AA9" s="394" t="str">
        <f>IF($B9="","",IF(Penalties!$K10=AA$2,1,""))</f>
        <v/>
      </c>
      <c r="AB9" s="394" t="str">
        <f>IF($B9="","",IF(Penalties!$K10=AB$2,1,""))</f>
        <v/>
      </c>
      <c r="AC9" s="394" t="str">
        <f>IF($B9="","",IF(Penalties!$K10=AC$2,1,""))</f>
        <v/>
      </c>
      <c r="AD9" s="394" t="str">
        <f>IF($B9="","",IF(Penalties!$K10=AD$2,1,""))</f>
        <v/>
      </c>
      <c r="AE9" s="394" t="str">
        <f>IF($B9="","",IF(Penalties!$K10=AE$2,1,""))</f>
        <v/>
      </c>
      <c r="AF9" s="394" t="str">
        <f>IF($B9="","",IF(Penalties!$K10=AF$2,1,""))</f>
        <v/>
      </c>
      <c r="AG9" s="394" t="str">
        <f>IF($B9="","",IF(Penalties!$K10=AG$2,1,""))</f>
        <v/>
      </c>
      <c r="AH9" s="394" t="str">
        <f>IF($B9="","",IF(Penalties!$K10=AH$2,1,""))</f>
        <v/>
      </c>
      <c r="AI9" s="394" t="str">
        <f>IF($B9="","",IF(Penalties!$K10=AI$2,1,""))</f>
        <v/>
      </c>
      <c r="AJ9" s="395"/>
    </row>
    <row r="10" spans="1:36" s="64" customFormat="1" ht="14.4" thickBot="1" x14ac:dyDescent="0.35">
      <c r="A10" s="1201"/>
      <c r="B10" s="1202"/>
      <c r="C10" s="1203"/>
      <c r="D10" s="382" t="s">
        <v>21</v>
      </c>
      <c r="E10" s="382">
        <f>IF($B9="","",COUNTIF(Penalties!$AD10:$AL10,E$2))</f>
        <v>0</v>
      </c>
      <c r="F10" s="382">
        <f>IF($B9="","",COUNTIF(Penalties!$AD10:$AL10,F$2))</f>
        <v>0</v>
      </c>
      <c r="G10" s="382">
        <f>IF($B9="","",COUNTIF(Penalties!$AD10:$AL10,G$2))</f>
        <v>0</v>
      </c>
      <c r="H10" s="382">
        <f>IF($B9="","",COUNTIF(Penalties!$AD10:$AL10,H$2))</f>
        <v>0</v>
      </c>
      <c r="I10" s="382">
        <f>IF($B9="","",COUNTIF(Penalties!$AD10:$AL10,I$2))</f>
        <v>0</v>
      </c>
      <c r="J10" s="382">
        <f>IF($B9="","",COUNTIF(Penalties!$AD10:$AL10,J$2))</f>
        <v>0</v>
      </c>
      <c r="K10" s="382">
        <f>IF($B9="","",COUNTIF(Penalties!$AD10:$AL10,K$2))</f>
        <v>0</v>
      </c>
      <c r="L10" s="382">
        <f>IF($B9="","",COUNTIF(Penalties!$AD10:$AL10,L$2))</f>
        <v>0</v>
      </c>
      <c r="M10" s="382">
        <f>IF($B9="","",COUNTIF(Penalties!$AD10:$AL10,M$2))</f>
        <v>0</v>
      </c>
      <c r="N10" s="382">
        <f>IF($B9="","",COUNTIF(Penalties!$AD10:$AL10,N$2))</f>
        <v>0</v>
      </c>
      <c r="O10" s="382">
        <f>IF($B9="","",COUNTIF(Penalties!$AD10:$AL10,O$2))</f>
        <v>0</v>
      </c>
      <c r="P10" s="382">
        <f>IF($B9="","",COUNTIF(Penalties!$AD10:$AL10,P$2))</f>
        <v>0</v>
      </c>
      <c r="Q10" s="382">
        <f>IF($B9="","",COUNTIF(Penalties!$AD10:$AL10,Q$2))</f>
        <v>0</v>
      </c>
      <c r="R10" s="382">
        <f>IF($B9="","",COUNTIF(Penalties!$AD10:$AL10,R$2))</f>
        <v>0</v>
      </c>
      <c r="S10" s="382"/>
      <c r="T10" s="382"/>
      <c r="U10" s="392">
        <f>IF(B9="","",SUM(E10:T10))</f>
        <v>0</v>
      </c>
      <c r="V10" s="393">
        <f>IF(B9="","",SUM(E10:T10)*0.5)</f>
        <v>0</v>
      </c>
      <c r="W10" s="394" t="str">
        <f>IF($B9="","",IF(Penalties!$AM10=W$2,1,""))</f>
        <v/>
      </c>
      <c r="X10" s="394" t="str">
        <f>IF($B9="","",IF(Penalties!$AM10=X$2,1,""))</f>
        <v/>
      </c>
      <c r="Y10" s="394" t="str">
        <f>IF($B9="","",IF(Penalties!$AM10=Y$2,1,""))</f>
        <v/>
      </c>
      <c r="Z10" s="394" t="str">
        <f>IF($B9="","",IF(Penalties!$AM10=Z$2,1,""))</f>
        <v/>
      </c>
      <c r="AA10" s="394" t="str">
        <f>IF($B9="","",IF(Penalties!$AM10=AA$2,1,""))</f>
        <v/>
      </c>
      <c r="AB10" s="394" t="str">
        <f>IF($B9="","",IF(Penalties!$AM10=AB$2,1,""))</f>
        <v/>
      </c>
      <c r="AC10" s="394" t="str">
        <f>IF($B9="","",IF(Penalties!$AM10=AC$2,1,""))</f>
        <v/>
      </c>
      <c r="AD10" s="394" t="str">
        <f>IF($B9="","",IF(Penalties!$AM10=AD$2,1,""))</f>
        <v/>
      </c>
      <c r="AE10" s="394" t="str">
        <f>IF($B9="","",IF(Penalties!$AM10=AE$2,1,""))</f>
        <v/>
      </c>
      <c r="AF10" s="394" t="str">
        <f>IF($B9="","",IF(Penalties!$AM10=AF$2,1,""))</f>
        <v/>
      </c>
      <c r="AG10" s="394" t="str">
        <f>IF($B9="","",IF(Penalties!$AM10=AG$2,1,""))</f>
        <v/>
      </c>
      <c r="AH10" s="394" t="str">
        <f>IF($B9="","",IF(Penalties!$AM10=AH$2,1,""))</f>
        <v/>
      </c>
      <c r="AI10" s="394" t="str">
        <f>IF($B9="","",IF(Penalties!$AM10=AI$2,1,""))</f>
        <v/>
      </c>
      <c r="AJ10" s="396" t="str">
        <f>IF(SUM(X9:AI10)=0, "", IF(SUM(X9:AI9)=1, LOOKUP(1, X9:AI9, $X$2:$AI$2), LOOKUP(1, X10:AI10, $X$2:$AI$2)))</f>
        <v/>
      </c>
    </row>
    <row r="11" spans="1:36" s="64" customFormat="1" x14ac:dyDescent="0.3">
      <c r="A11" s="1204">
        <f>A9+1</f>
        <v>5</v>
      </c>
      <c r="B11" s="1205" t="str">
        <f>IF(IGRF!B18="","",IGRF!B18)</f>
        <v>22</v>
      </c>
      <c r="C11" s="1206" t="str">
        <f>IF(IGRF!C18="","",IGRF!C18)</f>
        <v>Jen Hex</v>
      </c>
      <c r="D11" s="381" t="s">
        <v>5</v>
      </c>
      <c r="E11" s="381">
        <f>IF($B11="","",COUNTIF(Penalties!$B12:$J12,E$2))</f>
        <v>0</v>
      </c>
      <c r="F11" s="381">
        <f>IF($B11="","",COUNTIF(Penalties!$B12:$J12,F$2))</f>
        <v>0</v>
      </c>
      <c r="G11" s="381">
        <f>IF($B11="","",COUNTIF(Penalties!$B12:$J12,G$2))</f>
        <v>0</v>
      </c>
      <c r="H11" s="381">
        <f>IF($B11="","",COUNTIF(Penalties!$B12:$J12,H$2))</f>
        <v>0</v>
      </c>
      <c r="I11" s="381">
        <f>IF($B11="","",COUNTIF(Penalties!$B12:$J12,I$2))</f>
        <v>0</v>
      </c>
      <c r="J11" s="381">
        <f>IF($B11="","",COUNTIF(Penalties!$B12:$J12,J$2))</f>
        <v>0</v>
      </c>
      <c r="K11" s="381">
        <f>IF($B11="","",COUNTIF(Penalties!$B12:$J12,K$2))</f>
        <v>0</v>
      </c>
      <c r="L11" s="381">
        <f>IF($B11="","",COUNTIF(Penalties!$B12:$J12,L$2))</f>
        <v>0</v>
      </c>
      <c r="M11" s="381">
        <f>IF($B11="","",COUNTIF(Penalties!$B12:$J12,M$2))</f>
        <v>0</v>
      </c>
      <c r="N11" s="381">
        <f>IF($B11="","",COUNTIF(Penalties!$B12:$J12,N$2))</f>
        <v>0</v>
      </c>
      <c r="O11" s="381">
        <f>IF($B11="","",COUNTIF(Penalties!$B12:$J12,O$2))</f>
        <v>0</v>
      </c>
      <c r="P11" s="381">
        <f>IF($B11="","",COUNTIF(Penalties!$B12:$J12,P$2))</f>
        <v>0</v>
      </c>
      <c r="Q11" s="381">
        <f>IF($B11="","",COUNTIF(Penalties!$B12:$J12,Q$2))</f>
        <v>0</v>
      </c>
      <c r="R11" s="381">
        <f>IF($B11="","",COUNTIF(Penalties!$B12:$J12,R$2))</f>
        <v>0</v>
      </c>
      <c r="S11" s="381"/>
      <c r="T11" s="381"/>
      <c r="U11" s="387">
        <f>IF(B11="","",SUM(E11:T11))</f>
        <v>0</v>
      </c>
      <c r="V11" s="388">
        <f>IF(B11="","",SUM(E11:T11)*0.5)</f>
        <v>0</v>
      </c>
      <c r="W11" s="389" t="str">
        <f>IF($B11="","",IF(Penalties!$K12=W$2,1,""))</f>
        <v/>
      </c>
      <c r="X11" s="389" t="str">
        <f>IF($B11="","",IF(Penalties!$K12=X$2,1,""))</f>
        <v/>
      </c>
      <c r="Y11" s="389" t="str">
        <f>IF($B11="","",IF(Penalties!$K12=Y$2,1,""))</f>
        <v/>
      </c>
      <c r="Z11" s="389" t="str">
        <f>IF($B11="","",IF(Penalties!$K12=Z$2,1,""))</f>
        <v/>
      </c>
      <c r="AA11" s="389" t="str">
        <f>IF($B11="","",IF(Penalties!$K12=AA$2,1,""))</f>
        <v/>
      </c>
      <c r="AB11" s="389" t="str">
        <f>IF($B11="","",IF(Penalties!$K12=AB$2,1,""))</f>
        <v/>
      </c>
      <c r="AC11" s="389" t="str">
        <f>IF($B11="","",IF(Penalties!$K12=AC$2,1,""))</f>
        <v/>
      </c>
      <c r="AD11" s="389" t="str">
        <f>IF($B11="","",IF(Penalties!$K12=AD$2,1,""))</f>
        <v/>
      </c>
      <c r="AE11" s="389" t="str">
        <f>IF($B11="","",IF(Penalties!$K12=AE$2,1,""))</f>
        <v/>
      </c>
      <c r="AF11" s="389" t="str">
        <f>IF($B11="","",IF(Penalties!$K12=AF$2,1,""))</f>
        <v/>
      </c>
      <c r="AG11" s="389" t="str">
        <f>IF($B11="","",IF(Penalties!$K12=AG$2,1,""))</f>
        <v/>
      </c>
      <c r="AH11" s="389" t="str">
        <f>IF($B11="","",IF(Penalties!$K12=AH$2,1,""))</f>
        <v/>
      </c>
      <c r="AI11" s="389" t="str">
        <f>IF($B11="","",IF(Penalties!$K12=AI$2,1,""))</f>
        <v/>
      </c>
      <c r="AJ11" s="390"/>
    </row>
    <row r="12" spans="1:36" s="64" customFormat="1" x14ac:dyDescent="0.3">
      <c r="A12" s="1204"/>
      <c r="B12" s="1205"/>
      <c r="C12" s="1206"/>
      <c r="D12" s="381" t="s">
        <v>21</v>
      </c>
      <c r="E12" s="381">
        <f>IF($B11="","",COUNTIF(Penalties!$AD12:$AL12,E$2))</f>
        <v>0</v>
      </c>
      <c r="F12" s="381">
        <f>IF($B11="","",COUNTIF(Penalties!$AD12:$AL12,F$2))</f>
        <v>0</v>
      </c>
      <c r="G12" s="381">
        <f>IF($B11="","",COUNTIF(Penalties!$AD12:$AL12,G$2))</f>
        <v>0</v>
      </c>
      <c r="H12" s="381">
        <f>IF($B11="","",COUNTIF(Penalties!$AD12:$AL12,H$2))</f>
        <v>0</v>
      </c>
      <c r="I12" s="381">
        <f>IF($B11="","",COUNTIF(Penalties!$AD12:$AL12,I$2))</f>
        <v>0</v>
      </c>
      <c r="J12" s="381">
        <f>IF($B11="","",COUNTIF(Penalties!$AD12:$AL12,J$2))</f>
        <v>0</v>
      </c>
      <c r="K12" s="381">
        <f>IF($B11="","",COUNTIF(Penalties!$AD12:$AL12,K$2))</f>
        <v>0</v>
      </c>
      <c r="L12" s="381">
        <f>IF($B11="","",COUNTIF(Penalties!$AD12:$AL12,L$2))</f>
        <v>0</v>
      </c>
      <c r="M12" s="381">
        <f>IF($B11="","",COUNTIF(Penalties!$AD12:$AL12,M$2))</f>
        <v>0</v>
      </c>
      <c r="N12" s="381">
        <f>IF($B11="","",COUNTIF(Penalties!$AD12:$AL12,N$2))</f>
        <v>0</v>
      </c>
      <c r="O12" s="381">
        <f>IF($B11="","",COUNTIF(Penalties!$AD12:$AL12,O$2))</f>
        <v>0</v>
      </c>
      <c r="P12" s="381">
        <f>IF($B11="","",COUNTIF(Penalties!$AD12:$AL12,P$2))</f>
        <v>0</v>
      </c>
      <c r="Q12" s="381">
        <f>IF($B11="","",COUNTIF(Penalties!$AD12:$AL12,Q$2))</f>
        <v>0</v>
      </c>
      <c r="R12" s="381">
        <f>IF($B11="","",COUNTIF(Penalties!$AD12:$AL12,R$2))</f>
        <v>0</v>
      </c>
      <c r="S12" s="381"/>
      <c r="T12" s="381"/>
      <c r="U12" s="387">
        <f>IF(B11="","",SUM(E12:T12))</f>
        <v>0</v>
      </c>
      <c r="V12" s="388">
        <f>IF(B11="","",SUM(E12:T12)*0.5)</f>
        <v>0</v>
      </c>
      <c r="W12" s="389" t="str">
        <f>IF($B11="","",IF(Penalties!$AM12=W$2,1,""))</f>
        <v/>
      </c>
      <c r="X12" s="389" t="str">
        <f>IF($B11="","",IF(Penalties!$AM12=X$2,1,""))</f>
        <v/>
      </c>
      <c r="Y12" s="389" t="str">
        <f>IF($B11="","",IF(Penalties!$AM12=Y$2,1,""))</f>
        <v/>
      </c>
      <c r="Z12" s="389" t="str">
        <f>IF($B11="","",IF(Penalties!$AM12=Z$2,1,""))</f>
        <v/>
      </c>
      <c r="AA12" s="389" t="str">
        <f>IF($B11="","",IF(Penalties!$AM12=AA$2,1,""))</f>
        <v/>
      </c>
      <c r="AB12" s="389" t="str">
        <f>IF($B11="","",IF(Penalties!$AM12=AB$2,1,""))</f>
        <v/>
      </c>
      <c r="AC12" s="389" t="str">
        <f>IF($B11="","",IF(Penalties!$AM12=AC$2,1,""))</f>
        <v/>
      </c>
      <c r="AD12" s="389" t="str">
        <f>IF($B11="","",IF(Penalties!$AM12=AD$2,1,""))</f>
        <v/>
      </c>
      <c r="AE12" s="389" t="str">
        <f>IF($B11="","",IF(Penalties!$AM12=AE$2,1,""))</f>
        <v/>
      </c>
      <c r="AF12" s="389" t="str">
        <f>IF($B11="","",IF(Penalties!$AM12=AF$2,1,""))</f>
        <v/>
      </c>
      <c r="AG12" s="389" t="str">
        <f>IF($B11="","",IF(Penalties!$AM12=AG$2,1,""))</f>
        <v/>
      </c>
      <c r="AH12" s="389" t="str">
        <f>IF($B11="","",IF(Penalties!$AM12=AH$2,1,""))</f>
        <v/>
      </c>
      <c r="AI12" s="389" t="str">
        <f>IF($B11="","",IF(Penalties!$AM12=AI$2,1,""))</f>
        <v/>
      </c>
      <c r="AJ12" s="391" t="str">
        <f>IF(SUM(X11:AI12)=0, "", IF(SUM(X11:AI11)=1, LOOKUP(1, X11:AI11, $X$2:$AI$2), LOOKUP(1, X12:AI12, $X$2:$AI$2)))</f>
        <v/>
      </c>
    </row>
    <row r="13" spans="1:36" s="64" customFormat="1" x14ac:dyDescent="0.3">
      <c r="A13" s="1201">
        <f>A11+1</f>
        <v>6</v>
      </c>
      <c r="B13" s="1202" t="str">
        <f>IF(IGRF!B19="","",IGRF!B19)</f>
        <v>221*</v>
      </c>
      <c r="C13" s="1203" t="str">
        <f>IF(IGRF!C19="","",IGRF!C19)</f>
        <v>Kili Pepa</v>
      </c>
      <c r="D13" s="382" t="s">
        <v>5</v>
      </c>
      <c r="E13" s="382">
        <f>IF($B13="","",COUNTIF(Penalties!$B14:$J14,E$2))</f>
        <v>0</v>
      </c>
      <c r="F13" s="382">
        <f>IF($B13="","",COUNTIF(Penalties!$B14:$J14,F$2))</f>
        <v>0</v>
      </c>
      <c r="G13" s="382">
        <f>IF($B13="","",COUNTIF(Penalties!$B14:$J14,G$2))</f>
        <v>0</v>
      </c>
      <c r="H13" s="382">
        <f>IF($B13="","",COUNTIF(Penalties!$B14:$J14,H$2))</f>
        <v>0</v>
      </c>
      <c r="I13" s="382">
        <f>IF($B13="","",COUNTIF(Penalties!$B14:$J14,I$2))</f>
        <v>0</v>
      </c>
      <c r="J13" s="382">
        <f>IF($B13="","",COUNTIF(Penalties!$B14:$J14,J$2))</f>
        <v>0</v>
      </c>
      <c r="K13" s="382">
        <f>IF($B13="","",COUNTIF(Penalties!$B14:$J14,K$2))</f>
        <v>0</v>
      </c>
      <c r="L13" s="382">
        <f>IF($B13="","",COUNTIF(Penalties!$B14:$J14,L$2))</f>
        <v>0</v>
      </c>
      <c r="M13" s="382">
        <f>IF($B13="","",COUNTIF(Penalties!$B14:$J14,M$2))</f>
        <v>0</v>
      </c>
      <c r="N13" s="382">
        <f>IF($B13="","",COUNTIF(Penalties!$B14:$J14,N$2))</f>
        <v>0</v>
      </c>
      <c r="O13" s="382">
        <f>IF($B13="","",COUNTIF(Penalties!$B14:$J14,O$2))</f>
        <v>0</v>
      </c>
      <c r="P13" s="382">
        <f>IF($B13="","",COUNTIF(Penalties!$B14:$J14,P$2))</f>
        <v>0</v>
      </c>
      <c r="Q13" s="382">
        <f>IF($B13="","",COUNTIF(Penalties!$B14:$J14,Q$2))</f>
        <v>0</v>
      </c>
      <c r="R13" s="382">
        <f>IF($B13="","",COUNTIF(Penalties!$B14:$J14,R$2))</f>
        <v>0</v>
      </c>
      <c r="S13" s="382"/>
      <c r="T13" s="382"/>
      <c r="U13" s="392">
        <f>IF(B13="","",SUM(E13:T13))</f>
        <v>0</v>
      </c>
      <c r="V13" s="393">
        <f>IF(B13="","",SUM(E13:T13)*0.5)</f>
        <v>0</v>
      </c>
      <c r="W13" s="394" t="str">
        <f>IF($B13="","",IF(Penalties!$K14=W$2,1,""))</f>
        <v/>
      </c>
      <c r="X13" s="394" t="str">
        <f>IF($B13="","",IF(Penalties!$K14=X$2,1,""))</f>
        <v/>
      </c>
      <c r="Y13" s="394" t="str">
        <f>IF($B13="","",IF(Penalties!$K14=Y$2,1,""))</f>
        <v/>
      </c>
      <c r="Z13" s="394" t="str">
        <f>IF($B13="","",IF(Penalties!$K14=Z$2,1,""))</f>
        <v/>
      </c>
      <c r="AA13" s="394" t="str">
        <f>IF($B13="","",IF(Penalties!$K14=AA$2,1,""))</f>
        <v/>
      </c>
      <c r="AB13" s="394" t="str">
        <f>IF($B13="","",IF(Penalties!$K14=AB$2,1,""))</f>
        <v/>
      </c>
      <c r="AC13" s="394" t="str">
        <f>IF($B13="","",IF(Penalties!$K14=AC$2,1,""))</f>
        <v/>
      </c>
      <c r="AD13" s="394" t="str">
        <f>IF($B13="","",IF(Penalties!$K14=AD$2,1,""))</f>
        <v/>
      </c>
      <c r="AE13" s="394" t="str">
        <f>IF($B13="","",IF(Penalties!$K14=AE$2,1,""))</f>
        <v/>
      </c>
      <c r="AF13" s="394" t="str">
        <f>IF($B13="","",IF(Penalties!$K14=AF$2,1,""))</f>
        <v/>
      </c>
      <c r="AG13" s="394" t="str">
        <f>IF($B13="","",IF(Penalties!$K14=AG$2,1,""))</f>
        <v/>
      </c>
      <c r="AH13" s="394" t="str">
        <f>IF($B13="","",IF(Penalties!$K14=AH$2,1,""))</f>
        <v/>
      </c>
      <c r="AI13" s="394" t="str">
        <f>IF($B13="","",IF(Penalties!$K14=AI$2,1,""))</f>
        <v/>
      </c>
      <c r="AJ13" s="395"/>
    </row>
    <row r="14" spans="1:36" s="64" customFormat="1" ht="14.4" thickBot="1" x14ac:dyDescent="0.35">
      <c r="A14" s="1201"/>
      <c r="B14" s="1202"/>
      <c r="C14" s="1203"/>
      <c r="D14" s="382" t="s">
        <v>21</v>
      </c>
      <c r="E14" s="382">
        <f>IF($B13="","",COUNTIF(Penalties!$AD14:$AL14,E$2))</f>
        <v>0</v>
      </c>
      <c r="F14" s="382">
        <f>IF($B13="","",COUNTIF(Penalties!$AD14:$AL14,F$2))</f>
        <v>0</v>
      </c>
      <c r="G14" s="382">
        <f>IF($B13="","",COUNTIF(Penalties!$AD14:$AL14,G$2))</f>
        <v>0</v>
      </c>
      <c r="H14" s="382">
        <f>IF($B13="","",COUNTIF(Penalties!$AD14:$AL14,H$2))</f>
        <v>0</v>
      </c>
      <c r="I14" s="382">
        <f>IF($B13="","",COUNTIF(Penalties!$AD14:$AL14,I$2))</f>
        <v>0</v>
      </c>
      <c r="J14" s="382">
        <f>IF($B13="","",COUNTIF(Penalties!$AD14:$AL14,J$2))</f>
        <v>0</v>
      </c>
      <c r="K14" s="382">
        <f>IF($B13="","",COUNTIF(Penalties!$AD14:$AL14,K$2))</f>
        <v>0</v>
      </c>
      <c r="L14" s="382">
        <f>IF($B13="","",COUNTIF(Penalties!$AD14:$AL14,L$2))</f>
        <v>0</v>
      </c>
      <c r="M14" s="382">
        <f>IF($B13="","",COUNTIF(Penalties!$AD14:$AL14,M$2))</f>
        <v>0</v>
      </c>
      <c r="N14" s="382">
        <f>IF($B13="","",COUNTIF(Penalties!$AD14:$AL14,N$2))</f>
        <v>0</v>
      </c>
      <c r="O14" s="382">
        <f>IF($B13="","",COUNTIF(Penalties!$AD14:$AL14,O$2))</f>
        <v>0</v>
      </c>
      <c r="P14" s="382">
        <f>IF($B13="","",COUNTIF(Penalties!$AD14:$AL14,P$2))</f>
        <v>0</v>
      </c>
      <c r="Q14" s="382">
        <f>IF($B13="","",COUNTIF(Penalties!$AD14:$AL14,Q$2))</f>
        <v>0</v>
      </c>
      <c r="R14" s="382">
        <f>IF($B13="","",COUNTIF(Penalties!$AD14:$AL14,R$2))</f>
        <v>0</v>
      </c>
      <c r="S14" s="382"/>
      <c r="T14" s="382"/>
      <c r="U14" s="392">
        <f>IF(B13="","",SUM(E14:T14))</f>
        <v>0</v>
      </c>
      <c r="V14" s="393">
        <f>IF(B13="","",SUM(E14:T14)*0.5)</f>
        <v>0</v>
      </c>
      <c r="W14" s="394" t="str">
        <f>IF($B13="","",IF(Penalties!$AM14=W$2,1,""))</f>
        <v/>
      </c>
      <c r="X14" s="394" t="str">
        <f>IF($B13="","",IF(Penalties!$AM14=X$2,1,""))</f>
        <v/>
      </c>
      <c r="Y14" s="394" t="str">
        <f>IF($B13="","",IF(Penalties!$AM14=Y$2,1,""))</f>
        <v/>
      </c>
      <c r="Z14" s="394" t="str">
        <f>IF($B13="","",IF(Penalties!$AM14=Z$2,1,""))</f>
        <v/>
      </c>
      <c r="AA14" s="394" t="str">
        <f>IF($B13="","",IF(Penalties!$AM14=AA$2,1,""))</f>
        <v/>
      </c>
      <c r="AB14" s="394" t="str">
        <f>IF($B13="","",IF(Penalties!$AM14=AB$2,1,""))</f>
        <v/>
      </c>
      <c r="AC14" s="394" t="str">
        <f>IF($B13="","",IF(Penalties!$AM14=AC$2,1,""))</f>
        <v/>
      </c>
      <c r="AD14" s="394" t="str">
        <f>IF($B13="","",IF(Penalties!$AM14=AD$2,1,""))</f>
        <v/>
      </c>
      <c r="AE14" s="394" t="str">
        <f>IF($B13="","",IF(Penalties!$AM14=AE$2,1,""))</f>
        <v/>
      </c>
      <c r="AF14" s="394" t="str">
        <f>IF($B13="","",IF(Penalties!$AM14=AF$2,1,""))</f>
        <v/>
      </c>
      <c r="AG14" s="394" t="str">
        <f>IF($B13="","",IF(Penalties!$AM14=AG$2,1,""))</f>
        <v/>
      </c>
      <c r="AH14" s="394" t="str">
        <f>IF($B13="","",IF(Penalties!$AM14=AH$2,1,""))</f>
        <v/>
      </c>
      <c r="AI14" s="394" t="str">
        <f>IF($B13="","",IF(Penalties!$AM14=AI$2,1,""))</f>
        <v/>
      </c>
      <c r="AJ14" s="396" t="str">
        <f>IF(SUM(X13:AI14)=0, "", IF(SUM(X13:AI13)=1, LOOKUP(1, X13:AI13, $X$2:$AI$2), LOOKUP(1, X14:AI14, $X$2:$AI$2)))</f>
        <v/>
      </c>
    </row>
    <row r="15" spans="1:36" s="64" customFormat="1" x14ac:dyDescent="0.3">
      <c r="A15" s="1204">
        <f>A13+1</f>
        <v>7</v>
      </c>
      <c r="B15" s="1205" t="str">
        <f>IF(IGRF!B20="","",IGRF!B20)</f>
        <v>229</v>
      </c>
      <c r="C15" s="1206" t="str">
        <f>IF(IGRF!C20="","",IGRF!C20)</f>
        <v>Sparky</v>
      </c>
      <c r="D15" s="381" t="s">
        <v>5</v>
      </c>
      <c r="E15" s="381">
        <f>IF($B15="","",COUNTIF(Penalties!$B16:$J16,E$2))</f>
        <v>0</v>
      </c>
      <c r="F15" s="381">
        <f>IF($B15="","",COUNTIF(Penalties!$B16:$J16,F$2))</f>
        <v>0</v>
      </c>
      <c r="G15" s="381">
        <f>IF($B15="","",COUNTIF(Penalties!$B16:$J16,G$2))</f>
        <v>0</v>
      </c>
      <c r="H15" s="381">
        <f>IF($B15="","",COUNTIF(Penalties!$B16:$J16,H$2))</f>
        <v>0</v>
      </c>
      <c r="I15" s="381">
        <f>IF($B15="","",COUNTIF(Penalties!$B16:$J16,I$2))</f>
        <v>0</v>
      </c>
      <c r="J15" s="381">
        <f>IF($B15="","",COUNTIF(Penalties!$B16:$J16,J$2))</f>
        <v>0</v>
      </c>
      <c r="K15" s="381">
        <f>IF($B15="","",COUNTIF(Penalties!$B16:$J16,K$2))</f>
        <v>0</v>
      </c>
      <c r="L15" s="381">
        <f>IF($B15="","",COUNTIF(Penalties!$B16:$J16,L$2))</f>
        <v>0</v>
      </c>
      <c r="M15" s="381">
        <f>IF($B15="","",COUNTIF(Penalties!$B16:$J16,M$2))</f>
        <v>0</v>
      </c>
      <c r="N15" s="381">
        <f>IF($B15="","",COUNTIF(Penalties!$B16:$J16,N$2))</f>
        <v>0</v>
      </c>
      <c r="O15" s="381">
        <f>IF($B15="","",COUNTIF(Penalties!$B16:$J16,O$2))</f>
        <v>0</v>
      </c>
      <c r="P15" s="381">
        <f>IF($B15="","",COUNTIF(Penalties!$B16:$J16,P$2))</f>
        <v>1</v>
      </c>
      <c r="Q15" s="381">
        <f>IF($B15="","",COUNTIF(Penalties!$B16:$J16,Q$2))</f>
        <v>0</v>
      </c>
      <c r="R15" s="381">
        <f>IF($B15="","",COUNTIF(Penalties!$B16:$J16,R$2))</f>
        <v>0</v>
      </c>
      <c r="S15" s="381"/>
      <c r="T15" s="381"/>
      <c r="U15" s="387">
        <f>IF(B15="","",SUM(E15:T15))</f>
        <v>1</v>
      </c>
      <c r="V15" s="388">
        <f>IF(B15="","",SUM(E15:T15)*0.5)</f>
        <v>0.5</v>
      </c>
      <c r="W15" s="389" t="str">
        <f>IF($B15="","",IF(Penalties!$K16=W$2,1,""))</f>
        <v/>
      </c>
      <c r="X15" s="389" t="str">
        <f>IF($B15="","",IF(Penalties!$K16=X$2,1,""))</f>
        <v/>
      </c>
      <c r="Y15" s="389" t="str">
        <f>IF($B15="","",IF(Penalties!$K16=Y$2,1,""))</f>
        <v/>
      </c>
      <c r="Z15" s="389" t="str">
        <f>IF($B15="","",IF(Penalties!$K16=Z$2,1,""))</f>
        <v/>
      </c>
      <c r="AA15" s="389" t="str">
        <f>IF($B15="","",IF(Penalties!$K16=AA$2,1,""))</f>
        <v/>
      </c>
      <c r="AB15" s="389" t="str">
        <f>IF($B15="","",IF(Penalties!$K16=AB$2,1,""))</f>
        <v/>
      </c>
      <c r="AC15" s="389" t="str">
        <f>IF($B15="","",IF(Penalties!$K16=AC$2,1,""))</f>
        <v/>
      </c>
      <c r="AD15" s="389" t="str">
        <f>IF($B15="","",IF(Penalties!$K16=AD$2,1,""))</f>
        <v/>
      </c>
      <c r="AE15" s="389" t="str">
        <f>IF($B15="","",IF(Penalties!$K16=AE$2,1,""))</f>
        <v/>
      </c>
      <c r="AF15" s="389" t="str">
        <f>IF($B15="","",IF(Penalties!$K16=AF$2,1,""))</f>
        <v/>
      </c>
      <c r="AG15" s="389" t="str">
        <f>IF($B15="","",IF(Penalties!$K16=AG$2,1,""))</f>
        <v/>
      </c>
      <c r="AH15" s="389" t="str">
        <f>IF($B15="","",IF(Penalties!$K16=AH$2,1,""))</f>
        <v/>
      </c>
      <c r="AI15" s="389" t="str">
        <f>IF($B15="","",IF(Penalties!$K16=AI$2,1,""))</f>
        <v/>
      </c>
      <c r="AJ15" s="390"/>
    </row>
    <row r="16" spans="1:36" s="64" customFormat="1" x14ac:dyDescent="0.3">
      <c r="A16" s="1204"/>
      <c r="B16" s="1205"/>
      <c r="C16" s="1206"/>
      <c r="D16" s="381" t="s">
        <v>21</v>
      </c>
      <c r="E16" s="381">
        <f>IF($B15="","",COUNTIF(Penalties!$AD16:$AL16,E$2))</f>
        <v>0</v>
      </c>
      <c r="F16" s="381">
        <f>IF($B15="","",COUNTIF(Penalties!$AD16:$AL16,F$2))</f>
        <v>0</v>
      </c>
      <c r="G16" s="381">
        <f>IF($B15="","",COUNTIF(Penalties!$AD16:$AL16,G$2))</f>
        <v>0</v>
      </c>
      <c r="H16" s="381">
        <f>IF($B15="","",COUNTIF(Penalties!$AD16:$AL16,H$2))</f>
        <v>0</v>
      </c>
      <c r="I16" s="381">
        <f>IF($B15="","",COUNTIF(Penalties!$AD16:$AL16,I$2))</f>
        <v>0</v>
      </c>
      <c r="J16" s="381">
        <f>IF($B15="","",COUNTIF(Penalties!$AD16:$AL16,J$2))</f>
        <v>0</v>
      </c>
      <c r="K16" s="381">
        <f>IF($B15="","",COUNTIF(Penalties!$AD16:$AL16,K$2))</f>
        <v>0</v>
      </c>
      <c r="L16" s="381">
        <f>IF($B15="","",COUNTIF(Penalties!$AD16:$AL16,L$2))</f>
        <v>1</v>
      </c>
      <c r="M16" s="381">
        <f>IF($B15="","",COUNTIF(Penalties!$AD16:$AL16,M$2))</f>
        <v>0</v>
      </c>
      <c r="N16" s="381">
        <f>IF($B15="","",COUNTIF(Penalties!$AD16:$AL16,N$2))</f>
        <v>0</v>
      </c>
      <c r="O16" s="381">
        <f>IF($B15="","",COUNTIF(Penalties!$AD16:$AL16,O$2))</f>
        <v>0</v>
      </c>
      <c r="P16" s="381">
        <f>IF($B15="","",COUNTIF(Penalties!$AD16:$AL16,P$2))</f>
        <v>0</v>
      </c>
      <c r="Q16" s="381">
        <f>IF($B15="","",COUNTIF(Penalties!$AD16:$AL16,Q$2))</f>
        <v>0</v>
      </c>
      <c r="R16" s="381">
        <f>IF($B15="","",COUNTIF(Penalties!$AD16:$AL16,R$2))</f>
        <v>0</v>
      </c>
      <c r="S16" s="381"/>
      <c r="T16" s="381"/>
      <c r="U16" s="387">
        <f>IF(B15="","",SUM(E16:T16))</f>
        <v>1</v>
      </c>
      <c r="V16" s="388">
        <f>IF(B15="","",SUM(E16:T16)*0.5)</f>
        <v>0.5</v>
      </c>
      <c r="W16" s="389" t="str">
        <f>IF($B15="","",IF(Penalties!$AM16=W$2,1,""))</f>
        <v/>
      </c>
      <c r="X16" s="389" t="str">
        <f>IF($B15="","",IF(Penalties!$AM16=X$2,1,""))</f>
        <v/>
      </c>
      <c r="Y16" s="389" t="str">
        <f>IF($B15="","",IF(Penalties!$AM16=Y$2,1,""))</f>
        <v/>
      </c>
      <c r="Z16" s="389" t="str">
        <f>IF($B15="","",IF(Penalties!$AM16=Z$2,1,""))</f>
        <v/>
      </c>
      <c r="AA16" s="389" t="str">
        <f>IF($B15="","",IF(Penalties!$AM16=AA$2,1,""))</f>
        <v/>
      </c>
      <c r="AB16" s="389" t="str">
        <f>IF($B15="","",IF(Penalties!$AM16=AB$2,1,""))</f>
        <v/>
      </c>
      <c r="AC16" s="389" t="str">
        <f>IF($B15="","",IF(Penalties!$AM16=AC$2,1,""))</f>
        <v/>
      </c>
      <c r="AD16" s="389" t="str">
        <f>IF($B15="","",IF(Penalties!$AM16=AD$2,1,""))</f>
        <v/>
      </c>
      <c r="AE16" s="389" t="str">
        <f>IF($B15="","",IF(Penalties!$AM16=AE$2,1,""))</f>
        <v/>
      </c>
      <c r="AF16" s="389" t="str">
        <f>IF($B15="","",IF(Penalties!$AM16=AF$2,1,""))</f>
        <v/>
      </c>
      <c r="AG16" s="389" t="str">
        <f>IF($B15="","",IF(Penalties!$AM16=AG$2,1,""))</f>
        <v/>
      </c>
      <c r="AH16" s="389" t="str">
        <f>IF($B15="","",IF(Penalties!$AM16=AH$2,1,""))</f>
        <v/>
      </c>
      <c r="AI16" s="389" t="str">
        <f>IF($B15="","",IF(Penalties!$AM16=AI$2,1,""))</f>
        <v/>
      </c>
      <c r="AJ16" s="391" t="str">
        <f>IF(SUM(X15:AI16)=0, "", IF(SUM(X15:AI15)=1, LOOKUP(1, X15:AI15, $X$2:$AI$2), LOOKUP(1, X16:AI16, $X$2:$AI$2)))</f>
        <v/>
      </c>
    </row>
    <row r="17" spans="1:36" s="64" customFormat="1" x14ac:dyDescent="0.3">
      <c r="A17" s="1201">
        <f>A15+1</f>
        <v>8</v>
      </c>
      <c r="B17" s="1202" t="str">
        <f>IF(IGRF!B21="","",IGRF!B21)</f>
        <v>237</v>
      </c>
      <c r="C17" s="1203" t="str">
        <f>IF(IGRF!C21="","",IGRF!C21)</f>
        <v>RedRum</v>
      </c>
      <c r="D17" s="382" t="s">
        <v>5</v>
      </c>
      <c r="E17" s="382">
        <f>IF($B17="","",COUNTIF(Penalties!$B18:$J18,E$2))</f>
        <v>0</v>
      </c>
      <c r="F17" s="382">
        <f>IF($B17="","",COUNTIF(Penalties!$B18:$J18,F$2))</f>
        <v>0</v>
      </c>
      <c r="G17" s="382">
        <f>IF($B17="","",COUNTIF(Penalties!$B18:$J18,G$2))</f>
        <v>0</v>
      </c>
      <c r="H17" s="382">
        <f>IF($B17="","",COUNTIF(Penalties!$B18:$J18,H$2))</f>
        <v>0</v>
      </c>
      <c r="I17" s="382">
        <f>IF($B17="","",COUNTIF(Penalties!$B18:$J18,I$2))</f>
        <v>0</v>
      </c>
      <c r="J17" s="382">
        <f>IF($B17="","",COUNTIF(Penalties!$B18:$J18,J$2))</f>
        <v>0</v>
      </c>
      <c r="K17" s="382">
        <f>IF($B17="","",COUNTIF(Penalties!$B18:$J18,K$2))</f>
        <v>0</v>
      </c>
      <c r="L17" s="382">
        <f>IF($B17="","",COUNTIF(Penalties!$B18:$J18,L$2))</f>
        <v>0</v>
      </c>
      <c r="M17" s="382">
        <f>IF($B17="","",COUNTIF(Penalties!$B18:$J18,M$2))</f>
        <v>0</v>
      </c>
      <c r="N17" s="382">
        <f>IF($B17="","",COUNTIF(Penalties!$B18:$J18,N$2))</f>
        <v>0</v>
      </c>
      <c r="O17" s="382">
        <f>IF($B17="","",COUNTIF(Penalties!$B18:$J18,O$2))</f>
        <v>0</v>
      </c>
      <c r="P17" s="382">
        <f>IF($B17="","",COUNTIF(Penalties!$B18:$J18,P$2))</f>
        <v>0</v>
      </c>
      <c r="Q17" s="382">
        <f>IF($B17="","",COUNTIF(Penalties!$B18:$J18,Q$2))</f>
        <v>0</v>
      </c>
      <c r="R17" s="382">
        <f>IF($B17="","",COUNTIF(Penalties!$B18:$J18,R$2))</f>
        <v>0</v>
      </c>
      <c r="S17" s="382"/>
      <c r="T17" s="382"/>
      <c r="U17" s="392">
        <f>IF(B17="","",SUM(E17:T17))</f>
        <v>0</v>
      </c>
      <c r="V17" s="393">
        <f>IF(B17="","",SUM(E17:T17)*0.5)</f>
        <v>0</v>
      </c>
      <c r="W17" s="394" t="str">
        <f>IF($B17="","",IF(Penalties!$K18=W$2,1,""))</f>
        <v/>
      </c>
      <c r="X17" s="394" t="str">
        <f>IF($B17="","",IF(Penalties!$K18=X$2,1,""))</f>
        <v/>
      </c>
      <c r="Y17" s="394" t="str">
        <f>IF($B17="","",IF(Penalties!$K18=Y$2,1,""))</f>
        <v/>
      </c>
      <c r="Z17" s="394" t="str">
        <f>IF($B17="","",IF(Penalties!$K18=Z$2,1,""))</f>
        <v/>
      </c>
      <c r="AA17" s="394" t="str">
        <f>IF($B17="","",IF(Penalties!$K18=AA$2,1,""))</f>
        <v/>
      </c>
      <c r="AB17" s="394" t="str">
        <f>IF($B17="","",IF(Penalties!$K18=AB$2,1,""))</f>
        <v/>
      </c>
      <c r="AC17" s="394" t="str">
        <f>IF($B17="","",IF(Penalties!$K18=AC$2,1,""))</f>
        <v/>
      </c>
      <c r="AD17" s="394" t="str">
        <f>IF($B17="","",IF(Penalties!$K18=AD$2,1,""))</f>
        <v/>
      </c>
      <c r="AE17" s="394" t="str">
        <f>IF($B17="","",IF(Penalties!$K18=AE$2,1,""))</f>
        <v/>
      </c>
      <c r="AF17" s="394" t="str">
        <f>IF($B17="","",IF(Penalties!$K18=AF$2,1,""))</f>
        <v/>
      </c>
      <c r="AG17" s="394" t="str">
        <f>IF($B17="","",IF(Penalties!$K18=AG$2,1,""))</f>
        <v/>
      </c>
      <c r="AH17" s="394" t="str">
        <f>IF($B17="","",IF(Penalties!$K18=AH$2,1,""))</f>
        <v/>
      </c>
      <c r="AI17" s="394" t="str">
        <f>IF($B17="","",IF(Penalties!$K18=AI$2,1,""))</f>
        <v/>
      </c>
      <c r="AJ17" s="395"/>
    </row>
    <row r="18" spans="1:36" s="64" customFormat="1" ht="14.4" thickBot="1" x14ac:dyDescent="0.35">
      <c r="A18" s="1201"/>
      <c r="B18" s="1202"/>
      <c r="C18" s="1203"/>
      <c r="D18" s="382" t="s">
        <v>21</v>
      </c>
      <c r="E18" s="382">
        <f>IF($B17="","",COUNTIF(Penalties!$AD18:$AL18,E$2))</f>
        <v>0</v>
      </c>
      <c r="F18" s="382">
        <f>IF($B17="","",COUNTIF(Penalties!$AD18:$AL18,F$2))</f>
        <v>0</v>
      </c>
      <c r="G18" s="382">
        <f>IF($B17="","",COUNTIF(Penalties!$AD18:$AL18,G$2))</f>
        <v>0</v>
      </c>
      <c r="H18" s="382">
        <f>IF($B17="","",COUNTIF(Penalties!$AD18:$AL18,H$2))</f>
        <v>0</v>
      </c>
      <c r="I18" s="382">
        <f>IF($B17="","",COUNTIF(Penalties!$AD18:$AL18,I$2))</f>
        <v>0</v>
      </c>
      <c r="J18" s="382">
        <f>IF($B17="","",COUNTIF(Penalties!$AD18:$AL18,J$2))</f>
        <v>0</v>
      </c>
      <c r="K18" s="382">
        <f>IF($B17="","",COUNTIF(Penalties!$AD18:$AL18,K$2))</f>
        <v>0</v>
      </c>
      <c r="L18" s="382">
        <f>IF($B17="","",COUNTIF(Penalties!$AD18:$AL18,L$2))</f>
        <v>0</v>
      </c>
      <c r="M18" s="382">
        <f>IF($B17="","",COUNTIF(Penalties!$AD18:$AL18,M$2))</f>
        <v>0</v>
      </c>
      <c r="N18" s="382">
        <f>IF($B17="","",COUNTIF(Penalties!$AD18:$AL18,N$2))</f>
        <v>0</v>
      </c>
      <c r="O18" s="382">
        <f>IF($B17="","",COUNTIF(Penalties!$AD18:$AL18,O$2))</f>
        <v>0</v>
      </c>
      <c r="P18" s="382">
        <f>IF($B17="","",COUNTIF(Penalties!$AD18:$AL18,P$2))</f>
        <v>0</v>
      </c>
      <c r="Q18" s="382">
        <f>IF($B17="","",COUNTIF(Penalties!$AD18:$AL18,Q$2))</f>
        <v>0</v>
      </c>
      <c r="R18" s="382">
        <f>IF($B17="","",COUNTIF(Penalties!$AD18:$AL18,R$2))</f>
        <v>0</v>
      </c>
      <c r="S18" s="382"/>
      <c r="T18" s="382"/>
      <c r="U18" s="392">
        <f>IF(B17="","",SUM(E18:T18))</f>
        <v>0</v>
      </c>
      <c r="V18" s="393">
        <f>IF(B17="","",SUM(E18:T18)*0.5)</f>
        <v>0</v>
      </c>
      <c r="W18" s="394" t="str">
        <f>IF($B17="","",IF(Penalties!$AM18=W$2,1,""))</f>
        <v/>
      </c>
      <c r="X18" s="394" t="str">
        <f>IF($B17="","",IF(Penalties!$AM18=X$2,1,""))</f>
        <v/>
      </c>
      <c r="Y18" s="394" t="str">
        <f>IF($B17="","",IF(Penalties!$AM18=Y$2,1,""))</f>
        <v/>
      </c>
      <c r="Z18" s="394" t="str">
        <f>IF($B17="","",IF(Penalties!$AM18=Z$2,1,""))</f>
        <v/>
      </c>
      <c r="AA18" s="394" t="str">
        <f>IF($B17="","",IF(Penalties!$AM18=AA$2,1,""))</f>
        <v/>
      </c>
      <c r="AB18" s="394" t="str">
        <f>IF($B17="","",IF(Penalties!$AM18=AB$2,1,""))</f>
        <v/>
      </c>
      <c r="AC18" s="394" t="str">
        <f>IF($B17="","",IF(Penalties!$AM18=AC$2,1,""))</f>
        <v/>
      </c>
      <c r="AD18" s="394" t="str">
        <f>IF($B17="","",IF(Penalties!$AM18=AD$2,1,""))</f>
        <v/>
      </c>
      <c r="AE18" s="394" t="str">
        <f>IF($B17="","",IF(Penalties!$AM18=AE$2,1,""))</f>
        <v/>
      </c>
      <c r="AF18" s="394" t="str">
        <f>IF($B17="","",IF(Penalties!$AM18=AF$2,1,""))</f>
        <v/>
      </c>
      <c r="AG18" s="394" t="str">
        <f>IF($B17="","",IF(Penalties!$AM18=AG$2,1,""))</f>
        <v/>
      </c>
      <c r="AH18" s="394" t="str">
        <f>IF($B17="","",IF(Penalties!$AM18=AH$2,1,""))</f>
        <v/>
      </c>
      <c r="AI18" s="394" t="str">
        <f>IF($B17="","",IF(Penalties!$AM18=AI$2,1,""))</f>
        <v/>
      </c>
      <c r="AJ18" s="396" t="str">
        <f>IF(SUM(X17:AI18)=0, "", IF(SUM(X17:AI17)=1, LOOKUP(1, X17:AI17, $X$2:$AI$2), LOOKUP(1, X18:AI18, $X$2:$AI$2)))</f>
        <v/>
      </c>
    </row>
    <row r="19" spans="1:36" s="64" customFormat="1" x14ac:dyDescent="0.3">
      <c r="A19" s="1204">
        <f>A17+1</f>
        <v>9</v>
      </c>
      <c r="B19" s="1205" t="str">
        <f>IF(IGRF!B22="","",IGRF!B22)</f>
        <v>282*</v>
      </c>
      <c r="C19" s="1206" t="str">
        <f>IF(IGRF!C22="","",IGRF!C22)</f>
        <v>Dash Ketchum</v>
      </c>
      <c r="D19" s="381" t="s">
        <v>5</v>
      </c>
      <c r="E19" s="381">
        <f>IF($B19="","",COUNTIF(Penalties!$B20:$J20,E$2))</f>
        <v>0</v>
      </c>
      <c r="F19" s="381">
        <f>IF($B19="","",COUNTIF(Penalties!$B20:$J20,F$2))</f>
        <v>0</v>
      </c>
      <c r="G19" s="381">
        <f>IF($B19="","",COUNTIF(Penalties!$B20:$J20,G$2))</f>
        <v>0</v>
      </c>
      <c r="H19" s="381">
        <f>IF($B19="","",COUNTIF(Penalties!$B20:$J20,H$2))</f>
        <v>0</v>
      </c>
      <c r="I19" s="381">
        <f>IF($B19="","",COUNTIF(Penalties!$B20:$J20,I$2))</f>
        <v>0</v>
      </c>
      <c r="J19" s="381">
        <f>IF($B19="","",COUNTIF(Penalties!$B20:$J20,J$2))</f>
        <v>0</v>
      </c>
      <c r="K19" s="381">
        <f>IF($B19="","",COUNTIF(Penalties!$B20:$J20,K$2))</f>
        <v>0</v>
      </c>
      <c r="L19" s="381">
        <f>IF($B19="","",COUNTIF(Penalties!$B20:$J20,L$2))</f>
        <v>0</v>
      </c>
      <c r="M19" s="381">
        <f>IF($B19="","",COUNTIF(Penalties!$B20:$J20,M$2))</f>
        <v>0</v>
      </c>
      <c r="N19" s="381">
        <f>IF($B19="","",COUNTIF(Penalties!$B20:$J20,N$2))</f>
        <v>0</v>
      </c>
      <c r="O19" s="381">
        <f>IF($B19="","",COUNTIF(Penalties!$B20:$J20,O$2))</f>
        <v>0</v>
      </c>
      <c r="P19" s="381">
        <f>IF($B19="","",COUNTIF(Penalties!$B20:$J20,P$2))</f>
        <v>0</v>
      </c>
      <c r="Q19" s="381">
        <f>IF($B19="","",COUNTIF(Penalties!$B20:$J20,Q$2))</f>
        <v>0</v>
      </c>
      <c r="R19" s="381">
        <f>IF($B19="","",COUNTIF(Penalties!$B20:$J20,R$2))</f>
        <v>0</v>
      </c>
      <c r="S19" s="381"/>
      <c r="T19" s="381"/>
      <c r="U19" s="387">
        <f>IF(B19="","",SUM(E19:T19))</f>
        <v>0</v>
      </c>
      <c r="V19" s="388">
        <f>IF(B19="","",SUM(E19:T19)*0.5)</f>
        <v>0</v>
      </c>
      <c r="W19" s="389" t="str">
        <f>IF($B19="","",IF(Penalties!$K20=W$2,1,""))</f>
        <v/>
      </c>
      <c r="X19" s="389" t="str">
        <f>IF($B19="","",IF(Penalties!$K20=X$2,1,""))</f>
        <v/>
      </c>
      <c r="Y19" s="389" t="str">
        <f>IF($B19="","",IF(Penalties!$K20=Y$2,1,""))</f>
        <v/>
      </c>
      <c r="Z19" s="389" t="str">
        <f>IF($B19="","",IF(Penalties!$K20=Z$2,1,""))</f>
        <v/>
      </c>
      <c r="AA19" s="389" t="str">
        <f>IF($B19="","",IF(Penalties!$K20=AA$2,1,""))</f>
        <v/>
      </c>
      <c r="AB19" s="389" t="str">
        <f>IF($B19="","",IF(Penalties!$K20=AB$2,1,""))</f>
        <v/>
      </c>
      <c r="AC19" s="389" t="str">
        <f>IF($B19="","",IF(Penalties!$K20=AC$2,1,""))</f>
        <v/>
      </c>
      <c r="AD19" s="389" t="str">
        <f>IF($B19="","",IF(Penalties!$K20=AD$2,1,""))</f>
        <v/>
      </c>
      <c r="AE19" s="389" t="str">
        <f>IF($B19="","",IF(Penalties!$K20=AE$2,1,""))</f>
        <v/>
      </c>
      <c r="AF19" s="389" t="str">
        <f>IF($B19="","",IF(Penalties!$K20=AF$2,1,""))</f>
        <v/>
      </c>
      <c r="AG19" s="389" t="str">
        <f>IF($B19="","",IF(Penalties!$K20=AG$2,1,""))</f>
        <v/>
      </c>
      <c r="AH19" s="389" t="str">
        <f>IF($B19="","",IF(Penalties!$K20=AH$2,1,""))</f>
        <v/>
      </c>
      <c r="AI19" s="389" t="str">
        <f>IF($B19="","",IF(Penalties!$K20=AI$2,1,""))</f>
        <v/>
      </c>
      <c r="AJ19" s="390"/>
    </row>
    <row r="20" spans="1:36" s="64" customFormat="1" x14ac:dyDescent="0.3">
      <c r="A20" s="1204"/>
      <c r="B20" s="1205"/>
      <c r="C20" s="1206"/>
      <c r="D20" s="381" t="s">
        <v>21</v>
      </c>
      <c r="E20" s="381">
        <f>IF($B19="","",COUNTIF(Penalties!$AD20:$AL20,E$2))</f>
        <v>0</v>
      </c>
      <c r="F20" s="381">
        <f>IF($B19="","",COUNTIF(Penalties!$AD20:$AL20,F$2))</f>
        <v>0</v>
      </c>
      <c r="G20" s="381">
        <f>IF($B19="","",COUNTIF(Penalties!$AD20:$AL20,G$2))</f>
        <v>0</v>
      </c>
      <c r="H20" s="381">
        <f>IF($B19="","",COUNTIF(Penalties!$AD20:$AL20,H$2))</f>
        <v>0</v>
      </c>
      <c r="I20" s="381">
        <f>IF($B19="","",COUNTIF(Penalties!$AD20:$AL20,I$2))</f>
        <v>0</v>
      </c>
      <c r="J20" s="381">
        <f>IF($B19="","",COUNTIF(Penalties!$AD20:$AL20,J$2))</f>
        <v>0</v>
      </c>
      <c r="K20" s="381">
        <f>IF($B19="","",COUNTIF(Penalties!$AD20:$AL20,K$2))</f>
        <v>0</v>
      </c>
      <c r="L20" s="381">
        <f>IF($B19="","",COUNTIF(Penalties!$AD20:$AL20,L$2))</f>
        <v>0</v>
      </c>
      <c r="M20" s="381">
        <f>IF($B19="","",COUNTIF(Penalties!$AD20:$AL20,M$2))</f>
        <v>0</v>
      </c>
      <c r="N20" s="381">
        <f>IF($B19="","",COUNTIF(Penalties!$AD20:$AL20,N$2))</f>
        <v>0</v>
      </c>
      <c r="O20" s="381">
        <f>IF($B19="","",COUNTIF(Penalties!$AD20:$AL20,O$2))</f>
        <v>0</v>
      </c>
      <c r="P20" s="381">
        <f>IF($B19="","",COUNTIF(Penalties!$AD20:$AL20,P$2))</f>
        <v>0</v>
      </c>
      <c r="Q20" s="381">
        <f>IF($B19="","",COUNTIF(Penalties!$AD20:$AL20,Q$2))</f>
        <v>0</v>
      </c>
      <c r="R20" s="381">
        <f>IF($B19="","",COUNTIF(Penalties!$AD20:$AL20,R$2))</f>
        <v>0</v>
      </c>
      <c r="S20" s="381"/>
      <c r="T20" s="381"/>
      <c r="U20" s="387">
        <f>IF(B19="","",SUM(E20:T20))</f>
        <v>0</v>
      </c>
      <c r="V20" s="388">
        <f>IF(B19="","",SUM(E20:T20)*0.5)</f>
        <v>0</v>
      </c>
      <c r="W20" s="389" t="str">
        <f>IF($B19="","",IF(Penalties!$AM20=W$2,1,""))</f>
        <v/>
      </c>
      <c r="X20" s="389" t="str">
        <f>IF($B19="","",IF(Penalties!$AM20=X$2,1,""))</f>
        <v/>
      </c>
      <c r="Y20" s="389" t="str">
        <f>IF($B19="","",IF(Penalties!$AM20=Y$2,1,""))</f>
        <v/>
      </c>
      <c r="Z20" s="389" t="str">
        <f>IF($B19="","",IF(Penalties!$AM20=Z$2,1,""))</f>
        <v/>
      </c>
      <c r="AA20" s="389" t="str">
        <f>IF($B19="","",IF(Penalties!$AM20=AA$2,1,""))</f>
        <v/>
      </c>
      <c r="AB20" s="389" t="str">
        <f>IF($B19="","",IF(Penalties!$AM20=AB$2,1,""))</f>
        <v/>
      </c>
      <c r="AC20" s="389" t="str">
        <f>IF($B19="","",IF(Penalties!$AM20=AC$2,1,""))</f>
        <v/>
      </c>
      <c r="AD20" s="389" t="str">
        <f>IF($B19="","",IF(Penalties!$AM20=AD$2,1,""))</f>
        <v/>
      </c>
      <c r="AE20" s="389" t="str">
        <f>IF($B19="","",IF(Penalties!$AM20=AE$2,1,""))</f>
        <v/>
      </c>
      <c r="AF20" s="389" t="str">
        <f>IF($B19="","",IF(Penalties!$AM20=AF$2,1,""))</f>
        <v/>
      </c>
      <c r="AG20" s="389" t="str">
        <f>IF($B19="","",IF(Penalties!$AM20=AG$2,1,""))</f>
        <v/>
      </c>
      <c r="AH20" s="389" t="str">
        <f>IF($B19="","",IF(Penalties!$AM20=AH$2,1,""))</f>
        <v/>
      </c>
      <c r="AI20" s="389" t="str">
        <f>IF($B19="","",IF(Penalties!$AM20=AI$2,1,""))</f>
        <v/>
      </c>
      <c r="AJ20" s="391" t="str">
        <f>IF(SUM(X19:AI20)=0, "", IF(SUM(X19:AI19)=1, LOOKUP(1, X19:AI19, $X$2:$AI$2), LOOKUP(1, X20:AI20, $X$2:$AI$2)))</f>
        <v/>
      </c>
    </row>
    <row r="21" spans="1:36" s="64" customFormat="1" x14ac:dyDescent="0.3">
      <c r="A21" s="1201">
        <f>A19+1</f>
        <v>10</v>
      </c>
      <c r="B21" s="1202" t="str">
        <f>IF(IGRF!B23="","",IGRF!B23)</f>
        <v>337</v>
      </c>
      <c r="C21" s="1203" t="str">
        <f>IF(IGRF!C23="","",IGRF!C23)</f>
        <v>Susan Sure Ram Dem</v>
      </c>
      <c r="D21" s="382" t="s">
        <v>5</v>
      </c>
      <c r="E21" s="382">
        <f>IF($B21="","",COUNTIF(Penalties!$B22:$J22,E$2))</f>
        <v>0</v>
      </c>
      <c r="F21" s="382">
        <f>IF($B21="","",COUNTIF(Penalties!$B22:$J22,F$2))</f>
        <v>0</v>
      </c>
      <c r="G21" s="382">
        <f>IF($B21="","",COUNTIF(Penalties!$B22:$J22,G$2))</f>
        <v>0</v>
      </c>
      <c r="H21" s="382">
        <f>IF($B21="","",COUNTIF(Penalties!$B22:$J22,H$2))</f>
        <v>0</v>
      </c>
      <c r="I21" s="382">
        <f>IF($B21="","",COUNTIF(Penalties!$B22:$J22,I$2))</f>
        <v>0</v>
      </c>
      <c r="J21" s="382">
        <f>IF($B21="","",COUNTIF(Penalties!$B22:$J22,J$2))</f>
        <v>0</v>
      </c>
      <c r="K21" s="382">
        <f>IF($B21="","",COUNTIF(Penalties!$B22:$J22,K$2))</f>
        <v>0</v>
      </c>
      <c r="L21" s="382">
        <f>IF($B21="","",COUNTIF(Penalties!$B22:$J22,L$2))</f>
        <v>0</v>
      </c>
      <c r="M21" s="382">
        <f>IF($B21="","",COUNTIF(Penalties!$B22:$J22,M$2))</f>
        <v>0</v>
      </c>
      <c r="N21" s="382">
        <f>IF($B21="","",COUNTIF(Penalties!$B22:$J22,N$2))</f>
        <v>0</v>
      </c>
      <c r="O21" s="382">
        <f>IF($B21="","",COUNTIF(Penalties!$B22:$J22,O$2))</f>
        <v>0</v>
      </c>
      <c r="P21" s="382">
        <f>IF($B21="","",COUNTIF(Penalties!$B22:$J22,P$2))</f>
        <v>0</v>
      </c>
      <c r="Q21" s="382">
        <f>IF($B21="","",COUNTIF(Penalties!$B22:$J22,Q$2))</f>
        <v>0</v>
      </c>
      <c r="R21" s="382">
        <f>IF($B21="","",COUNTIF(Penalties!$B22:$J22,R$2))</f>
        <v>0</v>
      </c>
      <c r="S21" s="382"/>
      <c r="T21" s="382"/>
      <c r="U21" s="392">
        <f>IF(B21="","",SUM(E21:T21))</f>
        <v>0</v>
      </c>
      <c r="V21" s="393">
        <f>IF(B21="","",SUM(E21:T21)*0.5)</f>
        <v>0</v>
      </c>
      <c r="W21" s="394" t="str">
        <f>IF($B21="","",IF(Penalties!$K22=W$2,1,""))</f>
        <v/>
      </c>
      <c r="X21" s="394" t="str">
        <f>IF($B21="","",IF(Penalties!$K22=X$2,1,""))</f>
        <v/>
      </c>
      <c r="Y21" s="394" t="str">
        <f>IF($B21="","",IF(Penalties!$K22=Y$2,1,""))</f>
        <v/>
      </c>
      <c r="Z21" s="394" t="str">
        <f>IF($B21="","",IF(Penalties!$K22=Z$2,1,""))</f>
        <v/>
      </c>
      <c r="AA21" s="394" t="str">
        <f>IF($B21="","",IF(Penalties!$K22=AA$2,1,""))</f>
        <v/>
      </c>
      <c r="AB21" s="394" t="str">
        <f>IF($B21="","",IF(Penalties!$K22=AB$2,1,""))</f>
        <v/>
      </c>
      <c r="AC21" s="394" t="str">
        <f>IF($B21="","",IF(Penalties!$K22=AC$2,1,""))</f>
        <v/>
      </c>
      <c r="AD21" s="394" t="str">
        <f>IF($B21="","",IF(Penalties!$K22=AD$2,1,""))</f>
        <v/>
      </c>
      <c r="AE21" s="394" t="str">
        <f>IF($B21="","",IF(Penalties!$K22=AE$2,1,""))</f>
        <v/>
      </c>
      <c r="AF21" s="394" t="str">
        <f>IF($B21="","",IF(Penalties!$K22=AF$2,1,""))</f>
        <v/>
      </c>
      <c r="AG21" s="394" t="str">
        <f>IF($B21="","",IF(Penalties!$K22=AG$2,1,""))</f>
        <v/>
      </c>
      <c r="AH21" s="394" t="str">
        <f>IF($B21="","",IF(Penalties!$K22=AH$2,1,""))</f>
        <v/>
      </c>
      <c r="AI21" s="394" t="str">
        <f>IF($B21="","",IF(Penalties!$K22=AI$2,1,""))</f>
        <v/>
      </c>
      <c r="AJ21" s="395"/>
    </row>
    <row r="22" spans="1:36" s="64" customFormat="1" ht="14.4" thickBot="1" x14ac:dyDescent="0.35">
      <c r="A22" s="1201"/>
      <c r="B22" s="1202"/>
      <c r="C22" s="1203"/>
      <c r="D22" s="382" t="s">
        <v>21</v>
      </c>
      <c r="E22" s="382">
        <f>IF($B21="","",COUNTIF(Penalties!$AD22:$AL22,E$2))</f>
        <v>0</v>
      </c>
      <c r="F22" s="382">
        <f>IF($B21="","",COUNTIF(Penalties!$AD22:$AL22,F$2))</f>
        <v>0</v>
      </c>
      <c r="G22" s="382">
        <f>IF($B21="","",COUNTIF(Penalties!$AD22:$AL22,G$2))</f>
        <v>0</v>
      </c>
      <c r="H22" s="382">
        <f>IF($B21="","",COUNTIF(Penalties!$AD22:$AL22,H$2))</f>
        <v>0</v>
      </c>
      <c r="I22" s="382">
        <f>IF($B21="","",COUNTIF(Penalties!$AD22:$AL22,I$2))</f>
        <v>0</v>
      </c>
      <c r="J22" s="382">
        <f>IF($B21="","",COUNTIF(Penalties!$AD22:$AL22,J$2))</f>
        <v>1</v>
      </c>
      <c r="K22" s="382">
        <f>IF($B21="","",COUNTIF(Penalties!$AD22:$AL22,K$2))</f>
        <v>0</v>
      </c>
      <c r="L22" s="382">
        <f>IF($B21="","",COUNTIF(Penalties!$AD22:$AL22,L$2))</f>
        <v>0</v>
      </c>
      <c r="M22" s="382">
        <f>IF($B21="","",COUNTIF(Penalties!$AD22:$AL22,M$2))</f>
        <v>0</v>
      </c>
      <c r="N22" s="382">
        <f>IF($B21="","",COUNTIF(Penalties!$AD22:$AL22,N$2))</f>
        <v>0</v>
      </c>
      <c r="O22" s="382">
        <f>IF($B21="","",COUNTIF(Penalties!$AD22:$AL22,O$2))</f>
        <v>0</v>
      </c>
      <c r="P22" s="382">
        <f>IF($B21="","",COUNTIF(Penalties!$AD22:$AL22,P$2))</f>
        <v>0</v>
      </c>
      <c r="Q22" s="382">
        <f>IF($B21="","",COUNTIF(Penalties!$AD22:$AL22,Q$2))</f>
        <v>0</v>
      </c>
      <c r="R22" s="382">
        <f>IF($B21="","",COUNTIF(Penalties!$AD22:$AL22,R$2))</f>
        <v>0</v>
      </c>
      <c r="S22" s="382"/>
      <c r="T22" s="382"/>
      <c r="U22" s="392">
        <f>IF(B21="","",SUM(E22:T22))</f>
        <v>1</v>
      </c>
      <c r="V22" s="393">
        <f>IF(B21="","",SUM(E22:T22)*0.5)</f>
        <v>0.5</v>
      </c>
      <c r="W22" s="394" t="str">
        <f>IF($B21="","",IF(Penalties!$AM22=W$2,1,""))</f>
        <v/>
      </c>
      <c r="X22" s="394" t="str">
        <f>IF($B21="","",IF(Penalties!$AM22=X$2,1,""))</f>
        <v/>
      </c>
      <c r="Y22" s="394" t="str">
        <f>IF($B21="","",IF(Penalties!$AM22=Y$2,1,""))</f>
        <v/>
      </c>
      <c r="Z22" s="394" t="str">
        <f>IF($B21="","",IF(Penalties!$AM22=Z$2,1,""))</f>
        <v/>
      </c>
      <c r="AA22" s="394" t="str">
        <f>IF($B21="","",IF(Penalties!$AM22=AA$2,1,""))</f>
        <v/>
      </c>
      <c r="AB22" s="394" t="str">
        <f>IF($B21="","",IF(Penalties!$AM22=AB$2,1,""))</f>
        <v/>
      </c>
      <c r="AC22" s="394" t="str">
        <f>IF($B21="","",IF(Penalties!$AM22=AC$2,1,""))</f>
        <v/>
      </c>
      <c r="AD22" s="394" t="str">
        <f>IF($B21="","",IF(Penalties!$AM22=AD$2,1,""))</f>
        <v/>
      </c>
      <c r="AE22" s="394" t="str">
        <f>IF($B21="","",IF(Penalties!$AM22=AE$2,1,""))</f>
        <v/>
      </c>
      <c r="AF22" s="394" t="str">
        <f>IF($B21="","",IF(Penalties!$AM22=AF$2,1,""))</f>
        <v/>
      </c>
      <c r="AG22" s="394" t="str">
        <f>IF($B21="","",IF(Penalties!$AM22=AG$2,1,""))</f>
        <v/>
      </c>
      <c r="AH22" s="394" t="str">
        <f>IF($B21="","",IF(Penalties!$AM22=AH$2,1,""))</f>
        <v/>
      </c>
      <c r="AI22" s="394" t="str">
        <f>IF($B21="","",IF(Penalties!$AM22=AI$2,1,""))</f>
        <v/>
      </c>
      <c r="AJ22" s="396" t="str">
        <f>IF(SUM(X21:AI22)=0, "", IF(SUM(X21:AI21)=1, LOOKUP(1, X21:AI21, $X$2:$AI$2), LOOKUP(1, X22:AI22, $X$2:$AI$2)))</f>
        <v/>
      </c>
    </row>
    <row r="23" spans="1:36" s="64" customFormat="1" x14ac:dyDescent="0.3">
      <c r="A23" s="1204">
        <f>A21+1</f>
        <v>11</v>
      </c>
      <c r="B23" s="1205" t="str">
        <f>IF(IGRF!B24="","",IGRF!B24)</f>
        <v>352</v>
      </c>
      <c r="C23" s="1206" t="str">
        <f>IF(IGRF!C24="","",IGRF!C24)</f>
        <v>Olive Havoc</v>
      </c>
      <c r="D23" s="381" t="s">
        <v>5</v>
      </c>
      <c r="E23" s="381">
        <f>IF($B23="","",COUNTIF(Penalties!$B24:$J24,E$2))</f>
        <v>0</v>
      </c>
      <c r="F23" s="381">
        <f>IF($B23="","",COUNTIF(Penalties!$B24:$J24,F$2))</f>
        <v>0</v>
      </c>
      <c r="G23" s="381">
        <f>IF($B23="","",COUNTIF(Penalties!$B24:$J24,G$2))</f>
        <v>0</v>
      </c>
      <c r="H23" s="381">
        <f>IF($B23="","",COUNTIF(Penalties!$B24:$J24,H$2))</f>
        <v>0</v>
      </c>
      <c r="I23" s="381">
        <f>IF($B23="","",COUNTIF(Penalties!$B24:$J24,I$2))</f>
        <v>0</v>
      </c>
      <c r="J23" s="381">
        <f>IF($B23="","",COUNTIF(Penalties!$B24:$J24,J$2))</f>
        <v>0</v>
      </c>
      <c r="K23" s="381">
        <f>IF($B23="","",COUNTIF(Penalties!$B24:$J24,K$2))</f>
        <v>0</v>
      </c>
      <c r="L23" s="381">
        <f>IF($B23="","",COUNTIF(Penalties!$B24:$J24,L$2))</f>
        <v>0</v>
      </c>
      <c r="M23" s="381">
        <f>IF($B23="","",COUNTIF(Penalties!$B24:$J24,M$2))</f>
        <v>0</v>
      </c>
      <c r="N23" s="381">
        <f>IF($B23="","",COUNTIF(Penalties!$B24:$J24,N$2))</f>
        <v>0</v>
      </c>
      <c r="O23" s="381">
        <f>IF($B23="","",COUNTIF(Penalties!$B24:$J24,O$2))</f>
        <v>0</v>
      </c>
      <c r="P23" s="381">
        <f>IF($B23="","",COUNTIF(Penalties!$B24:$J24,P$2))</f>
        <v>1</v>
      </c>
      <c r="Q23" s="381">
        <f>IF($B23="","",COUNTIF(Penalties!$B24:$J24,Q$2))</f>
        <v>0</v>
      </c>
      <c r="R23" s="381">
        <f>IF($B23="","",COUNTIF(Penalties!$B24:$J24,R$2))</f>
        <v>0</v>
      </c>
      <c r="S23" s="381"/>
      <c r="T23" s="381"/>
      <c r="U23" s="387">
        <f>IF(B23="","",SUM(E23:T23))</f>
        <v>1</v>
      </c>
      <c r="V23" s="388">
        <f>IF(B23="","",SUM(E23:T23)*0.5)</f>
        <v>0.5</v>
      </c>
      <c r="W23" s="389" t="str">
        <f>IF($B23="","",IF(Penalties!$K24=W$2,1,""))</f>
        <v/>
      </c>
      <c r="X23" s="389" t="str">
        <f>IF($B23="","",IF(Penalties!$K24=X$2,1,""))</f>
        <v/>
      </c>
      <c r="Y23" s="389" t="str">
        <f>IF($B23="","",IF(Penalties!$K24=Y$2,1,""))</f>
        <v/>
      </c>
      <c r="Z23" s="389" t="str">
        <f>IF($B23="","",IF(Penalties!$K24=Z$2,1,""))</f>
        <v/>
      </c>
      <c r="AA23" s="389" t="str">
        <f>IF($B23="","",IF(Penalties!$K24=AA$2,1,""))</f>
        <v/>
      </c>
      <c r="AB23" s="389" t="str">
        <f>IF($B23="","",IF(Penalties!$K24=AB$2,1,""))</f>
        <v/>
      </c>
      <c r="AC23" s="389" t="str">
        <f>IF($B23="","",IF(Penalties!$K24=AC$2,1,""))</f>
        <v/>
      </c>
      <c r="AD23" s="389" t="str">
        <f>IF($B23="","",IF(Penalties!$K24=AD$2,1,""))</f>
        <v/>
      </c>
      <c r="AE23" s="389" t="str">
        <f>IF($B23="","",IF(Penalties!$K24=AE$2,1,""))</f>
        <v/>
      </c>
      <c r="AF23" s="389" t="str">
        <f>IF($B23="","",IF(Penalties!$K24=AF$2,1,""))</f>
        <v/>
      </c>
      <c r="AG23" s="389" t="str">
        <f>IF($B23="","",IF(Penalties!$K24=AG$2,1,""))</f>
        <v/>
      </c>
      <c r="AH23" s="389" t="str">
        <f>IF($B23="","",IF(Penalties!$K24=AH$2,1,""))</f>
        <v/>
      </c>
      <c r="AI23" s="389" t="str">
        <f>IF($B23="","",IF(Penalties!$K24=AI$2,1,""))</f>
        <v/>
      </c>
      <c r="AJ23" s="390"/>
    </row>
    <row r="24" spans="1:36" s="64" customFormat="1" x14ac:dyDescent="0.3">
      <c r="A24" s="1204"/>
      <c r="B24" s="1205"/>
      <c r="C24" s="1206"/>
      <c r="D24" s="381" t="s">
        <v>21</v>
      </c>
      <c r="E24" s="381">
        <f>IF($B23="","",COUNTIF(Penalties!$AD24:$AL24,E$2))</f>
        <v>0</v>
      </c>
      <c r="F24" s="381">
        <f>IF($B23="","",COUNTIF(Penalties!$AD24:$AL24,F$2))</f>
        <v>1</v>
      </c>
      <c r="G24" s="381">
        <f>IF($B23="","",COUNTIF(Penalties!$AD24:$AL24,G$2))</f>
        <v>0</v>
      </c>
      <c r="H24" s="381">
        <f>IF($B23="","",COUNTIF(Penalties!$AD24:$AL24,H$2))</f>
        <v>0</v>
      </c>
      <c r="I24" s="381">
        <f>IF($B23="","",COUNTIF(Penalties!$AD24:$AL24,I$2))</f>
        <v>0</v>
      </c>
      <c r="J24" s="381">
        <f>IF($B23="","",COUNTIF(Penalties!$AD24:$AL24,J$2))</f>
        <v>0</v>
      </c>
      <c r="K24" s="381">
        <f>IF($B23="","",COUNTIF(Penalties!$AD24:$AL24,K$2))</f>
        <v>0</v>
      </c>
      <c r="L24" s="381">
        <f>IF($B23="","",COUNTIF(Penalties!$AD24:$AL24,L$2))</f>
        <v>0</v>
      </c>
      <c r="M24" s="381">
        <f>IF($B23="","",COUNTIF(Penalties!$AD24:$AL24,M$2))</f>
        <v>0</v>
      </c>
      <c r="N24" s="381">
        <f>IF($B23="","",COUNTIF(Penalties!$AD24:$AL24,N$2))</f>
        <v>0</v>
      </c>
      <c r="O24" s="381">
        <f>IF($B23="","",COUNTIF(Penalties!$AD24:$AL24,O$2))</f>
        <v>0</v>
      </c>
      <c r="P24" s="381">
        <f>IF($B23="","",COUNTIF(Penalties!$AD24:$AL24,P$2))</f>
        <v>1</v>
      </c>
      <c r="Q24" s="381">
        <f>IF($B23="","",COUNTIF(Penalties!$AD24:$AL24,Q$2))</f>
        <v>0</v>
      </c>
      <c r="R24" s="381">
        <f>IF($B23="","",COUNTIF(Penalties!$AD24:$AL24,R$2))</f>
        <v>0</v>
      </c>
      <c r="S24" s="381"/>
      <c r="T24" s="381"/>
      <c r="U24" s="387">
        <f>IF(B23="","",SUM(E24:T24))</f>
        <v>2</v>
      </c>
      <c r="V24" s="388">
        <f>IF(B23="","",SUM(E24:T24)*0.5)</f>
        <v>1</v>
      </c>
      <c r="W24" s="389" t="str">
        <f>IF($B23="","",IF(Penalties!$AM24=W$2,1,""))</f>
        <v/>
      </c>
      <c r="X24" s="389" t="str">
        <f>IF($B23="","",IF(Penalties!$AM24=X$2,1,""))</f>
        <v/>
      </c>
      <c r="Y24" s="389" t="str">
        <f>IF($B23="","",IF(Penalties!$AM24=Y$2,1,""))</f>
        <v/>
      </c>
      <c r="Z24" s="389" t="str">
        <f>IF($B23="","",IF(Penalties!$AM24=Z$2,1,""))</f>
        <v/>
      </c>
      <c r="AA24" s="389" t="str">
        <f>IF($B23="","",IF(Penalties!$AM24=AA$2,1,""))</f>
        <v/>
      </c>
      <c r="AB24" s="389" t="str">
        <f>IF($B23="","",IF(Penalties!$AM24=AB$2,1,""))</f>
        <v/>
      </c>
      <c r="AC24" s="389" t="str">
        <f>IF($B23="","",IF(Penalties!$AM24=AC$2,1,""))</f>
        <v/>
      </c>
      <c r="AD24" s="389" t="str">
        <f>IF($B23="","",IF(Penalties!$AM24=AD$2,1,""))</f>
        <v/>
      </c>
      <c r="AE24" s="389" t="str">
        <f>IF($B23="","",IF(Penalties!$AM24=AE$2,1,""))</f>
        <v/>
      </c>
      <c r="AF24" s="389" t="str">
        <f>IF($B23="","",IF(Penalties!$AM24=AF$2,1,""))</f>
        <v/>
      </c>
      <c r="AG24" s="389" t="str">
        <f>IF($B23="","",IF(Penalties!$AM24=AG$2,1,""))</f>
        <v/>
      </c>
      <c r="AH24" s="389" t="str">
        <f>IF($B23="","",IF(Penalties!$AM24=AH$2,1,""))</f>
        <v/>
      </c>
      <c r="AI24" s="389" t="str">
        <f>IF($B23="","",IF(Penalties!$AM24=AI$2,1,""))</f>
        <v/>
      </c>
      <c r="AJ24" s="391" t="str">
        <f>IF(SUM(X23:AI24)=0, "", IF(SUM(X23:AI23)=1, LOOKUP(1, X23:AI23, $X$2:$AI$2), LOOKUP(1, X24:AI24, $X$2:$AI$2)))</f>
        <v/>
      </c>
    </row>
    <row r="25" spans="1:36" s="64" customFormat="1" x14ac:dyDescent="0.3">
      <c r="A25" s="1201">
        <f>A23+1</f>
        <v>12</v>
      </c>
      <c r="B25" s="1202" t="str">
        <f>IF(IGRF!B25="","",IGRF!B25)</f>
        <v>36</v>
      </c>
      <c r="C25" s="1203" t="str">
        <f>IF(IGRF!C25="","",IGRF!C25)</f>
        <v>Meanie</v>
      </c>
      <c r="D25" s="382" t="s">
        <v>5</v>
      </c>
      <c r="E25" s="382">
        <f>IF($B25="","",COUNTIF(Penalties!$B26:$J26,E$2))</f>
        <v>0</v>
      </c>
      <c r="F25" s="382">
        <f>IF($B25="","",COUNTIF(Penalties!$B26:$J26,F$2))</f>
        <v>0</v>
      </c>
      <c r="G25" s="382">
        <f>IF($B25="","",COUNTIF(Penalties!$B26:$J26,G$2))</f>
        <v>1</v>
      </c>
      <c r="H25" s="382">
        <f>IF($B25="","",COUNTIF(Penalties!$B26:$J26,H$2))</f>
        <v>0</v>
      </c>
      <c r="I25" s="382">
        <f>IF($B25="","",COUNTIF(Penalties!$B26:$J26,I$2))</f>
        <v>0</v>
      </c>
      <c r="J25" s="382">
        <f>IF($B25="","",COUNTIF(Penalties!$B26:$J26,J$2))</f>
        <v>0</v>
      </c>
      <c r="K25" s="382">
        <f>IF($B25="","",COUNTIF(Penalties!$B26:$J26,K$2))</f>
        <v>0</v>
      </c>
      <c r="L25" s="382">
        <f>IF($B25="","",COUNTIF(Penalties!$B26:$J26,L$2))</f>
        <v>0</v>
      </c>
      <c r="M25" s="382">
        <f>IF($B25="","",COUNTIF(Penalties!$B26:$J26,M$2))</f>
        <v>0</v>
      </c>
      <c r="N25" s="382">
        <f>IF($B25="","",COUNTIF(Penalties!$B26:$J26,N$2))</f>
        <v>0</v>
      </c>
      <c r="O25" s="382">
        <f>IF($B25="","",COUNTIF(Penalties!$B26:$J26,O$2))</f>
        <v>0</v>
      </c>
      <c r="P25" s="382">
        <f>IF($B25="","",COUNTIF(Penalties!$B26:$J26,P$2))</f>
        <v>0</v>
      </c>
      <c r="Q25" s="382">
        <f>IF($B25="","",COUNTIF(Penalties!$B26:$J26,Q$2))</f>
        <v>0</v>
      </c>
      <c r="R25" s="382">
        <f>IF($B25="","",COUNTIF(Penalties!$B26:$J26,R$2))</f>
        <v>0</v>
      </c>
      <c r="S25" s="382"/>
      <c r="T25" s="382"/>
      <c r="U25" s="392">
        <f>IF(B25="","",SUM(E25:T25))</f>
        <v>1</v>
      </c>
      <c r="V25" s="393">
        <f>IF(B25="","",SUM(E25:T25)*0.5)</f>
        <v>0.5</v>
      </c>
      <c r="W25" s="394" t="str">
        <f>IF($B25="","",IF(Penalties!$K26=W$2,1,""))</f>
        <v/>
      </c>
      <c r="X25" s="394" t="str">
        <f>IF($B25="","",IF(Penalties!$K26=X$2,1,""))</f>
        <v/>
      </c>
      <c r="Y25" s="394" t="str">
        <f>IF($B25="","",IF(Penalties!$K26=Y$2,1,""))</f>
        <v/>
      </c>
      <c r="Z25" s="394" t="str">
        <f>IF($B25="","",IF(Penalties!$K26=Z$2,1,""))</f>
        <v/>
      </c>
      <c r="AA25" s="394" t="str">
        <f>IF($B25="","",IF(Penalties!$K26=AA$2,1,""))</f>
        <v/>
      </c>
      <c r="AB25" s="394" t="str">
        <f>IF($B25="","",IF(Penalties!$K26=AB$2,1,""))</f>
        <v/>
      </c>
      <c r="AC25" s="394" t="str">
        <f>IF($B25="","",IF(Penalties!$K26=AC$2,1,""))</f>
        <v/>
      </c>
      <c r="AD25" s="394" t="str">
        <f>IF($B25="","",IF(Penalties!$K26=AD$2,1,""))</f>
        <v/>
      </c>
      <c r="AE25" s="394" t="str">
        <f>IF($B25="","",IF(Penalties!$K26=AE$2,1,""))</f>
        <v/>
      </c>
      <c r="AF25" s="394" t="str">
        <f>IF($B25="","",IF(Penalties!$K26=AF$2,1,""))</f>
        <v/>
      </c>
      <c r="AG25" s="394" t="str">
        <f>IF($B25="","",IF(Penalties!$K26=AG$2,1,""))</f>
        <v/>
      </c>
      <c r="AH25" s="394" t="str">
        <f>IF($B25="","",IF(Penalties!$K26=AH$2,1,""))</f>
        <v/>
      </c>
      <c r="AI25" s="394" t="str">
        <f>IF($B25="","",IF(Penalties!$K26=AI$2,1,""))</f>
        <v/>
      </c>
      <c r="AJ25" s="395"/>
    </row>
    <row r="26" spans="1:36" s="64" customFormat="1" ht="14.4" thickBot="1" x14ac:dyDescent="0.35">
      <c r="A26" s="1201"/>
      <c r="B26" s="1202"/>
      <c r="C26" s="1203"/>
      <c r="D26" s="382" t="s">
        <v>21</v>
      </c>
      <c r="E26" s="382">
        <f>IF($B25="","",COUNTIF(Penalties!$AD26:$AL26,E$2))</f>
        <v>0</v>
      </c>
      <c r="F26" s="382">
        <f>IF($B25="","",COUNTIF(Penalties!$AD26:$AL26,F$2))</f>
        <v>0</v>
      </c>
      <c r="G26" s="382">
        <f>IF($B25="","",COUNTIF(Penalties!$AD26:$AL26,G$2))</f>
        <v>0</v>
      </c>
      <c r="H26" s="382">
        <f>IF($B25="","",COUNTIF(Penalties!$AD26:$AL26,H$2))</f>
        <v>0</v>
      </c>
      <c r="I26" s="382">
        <f>IF($B25="","",COUNTIF(Penalties!$AD26:$AL26,I$2))</f>
        <v>0</v>
      </c>
      <c r="J26" s="382">
        <f>IF($B25="","",COUNTIF(Penalties!$AD26:$AL26,J$2))</f>
        <v>0</v>
      </c>
      <c r="K26" s="382">
        <f>IF($B25="","",COUNTIF(Penalties!$AD26:$AL26,K$2))</f>
        <v>0</v>
      </c>
      <c r="L26" s="382">
        <f>IF($B25="","",COUNTIF(Penalties!$AD26:$AL26,L$2))</f>
        <v>0</v>
      </c>
      <c r="M26" s="382">
        <f>IF($B25="","",COUNTIF(Penalties!$AD26:$AL26,M$2))</f>
        <v>0</v>
      </c>
      <c r="N26" s="382">
        <f>IF($B25="","",COUNTIF(Penalties!$AD26:$AL26,N$2))</f>
        <v>1</v>
      </c>
      <c r="O26" s="382">
        <f>IF($B25="","",COUNTIF(Penalties!$AD26:$AL26,O$2))</f>
        <v>0</v>
      </c>
      <c r="P26" s="382">
        <f>IF($B25="","",COUNTIF(Penalties!$AD26:$AL26,P$2))</f>
        <v>0</v>
      </c>
      <c r="Q26" s="382">
        <f>IF($B25="","",COUNTIF(Penalties!$AD26:$AL26,Q$2))</f>
        <v>0</v>
      </c>
      <c r="R26" s="382">
        <f>IF($B25="","",COUNTIF(Penalties!$AD26:$AL26,R$2))</f>
        <v>0</v>
      </c>
      <c r="S26" s="382"/>
      <c r="T26" s="382"/>
      <c r="U26" s="392">
        <f>IF(B25="","",SUM(E26:T26))</f>
        <v>1</v>
      </c>
      <c r="V26" s="393">
        <f>IF(B25="","",SUM(E26:T26)*0.5)</f>
        <v>0.5</v>
      </c>
      <c r="W26" s="394" t="str">
        <f>IF($B25="","",IF(Penalties!$AM26=W$2,1,""))</f>
        <v/>
      </c>
      <c r="X26" s="394" t="str">
        <f>IF($B25="","",IF(Penalties!$AM26=X$2,1,""))</f>
        <v/>
      </c>
      <c r="Y26" s="394" t="str">
        <f>IF($B25="","",IF(Penalties!$AM26=Y$2,1,""))</f>
        <v/>
      </c>
      <c r="Z26" s="394" t="str">
        <f>IF($B25="","",IF(Penalties!$AM26=Z$2,1,""))</f>
        <v/>
      </c>
      <c r="AA26" s="394" t="str">
        <f>IF($B25="","",IF(Penalties!$AM26=AA$2,1,""))</f>
        <v/>
      </c>
      <c r="AB26" s="394" t="str">
        <f>IF($B25="","",IF(Penalties!$AM26=AB$2,1,""))</f>
        <v/>
      </c>
      <c r="AC26" s="394" t="str">
        <f>IF($B25="","",IF(Penalties!$AM26=AC$2,1,""))</f>
        <v/>
      </c>
      <c r="AD26" s="394" t="str">
        <f>IF($B25="","",IF(Penalties!$AM26=AD$2,1,""))</f>
        <v/>
      </c>
      <c r="AE26" s="394" t="str">
        <f>IF($B25="","",IF(Penalties!$AM26=AE$2,1,""))</f>
        <v/>
      </c>
      <c r="AF26" s="394" t="str">
        <f>IF($B25="","",IF(Penalties!$AM26=AF$2,1,""))</f>
        <v/>
      </c>
      <c r="AG26" s="394" t="str">
        <f>IF($B25="","",IF(Penalties!$AM26=AG$2,1,""))</f>
        <v/>
      </c>
      <c r="AH26" s="394" t="str">
        <f>IF($B25="","",IF(Penalties!$AM26=AH$2,1,""))</f>
        <v/>
      </c>
      <c r="AI26" s="394" t="str">
        <f>IF($B25="","",IF(Penalties!$AM26=AI$2,1,""))</f>
        <v/>
      </c>
      <c r="AJ26" s="396" t="str">
        <f>IF(SUM(X25:AI26)=0, "", IF(SUM(X25:AI25)=1, LOOKUP(1, X25:AI25, $X$2:$AI$2), LOOKUP(1, X26:AI26, $X$2:$AI$2)))</f>
        <v/>
      </c>
    </row>
    <row r="27" spans="1:36" s="64" customFormat="1" x14ac:dyDescent="0.3">
      <c r="A27" s="1204">
        <f>A25+1</f>
        <v>13</v>
      </c>
      <c r="B27" s="1205" t="str">
        <f>IF(IGRF!B26="","",IGRF!B26)</f>
        <v>64</v>
      </c>
      <c r="C27" s="1206" t="str">
        <f>IF(IGRF!C26="","",IGRF!C26)</f>
        <v>Cruzella</v>
      </c>
      <c r="D27" s="381" t="s">
        <v>5</v>
      </c>
      <c r="E27" s="381">
        <f>IF($B27="","",COUNTIF(Penalties!$B28:$J28,E$2))</f>
        <v>0</v>
      </c>
      <c r="F27" s="381">
        <f>IF($B27="","",COUNTIF(Penalties!$B28:$J28,F$2))</f>
        <v>0</v>
      </c>
      <c r="G27" s="381">
        <f>IF($B27="","",COUNTIF(Penalties!$B28:$J28,G$2))</f>
        <v>0</v>
      </c>
      <c r="H27" s="381">
        <f>IF($B27="","",COUNTIF(Penalties!$B28:$J28,H$2))</f>
        <v>0</v>
      </c>
      <c r="I27" s="381">
        <f>IF($B27="","",COUNTIF(Penalties!$B28:$J28,I$2))</f>
        <v>0</v>
      </c>
      <c r="J27" s="381">
        <f>IF($B27="","",COUNTIF(Penalties!$B28:$J28,J$2))</f>
        <v>0</v>
      </c>
      <c r="K27" s="381">
        <f>IF($B27="","",COUNTIF(Penalties!$B28:$J28,K$2))</f>
        <v>0</v>
      </c>
      <c r="L27" s="381">
        <f>IF($B27="","",COUNTIF(Penalties!$B28:$J28,L$2))</f>
        <v>0</v>
      </c>
      <c r="M27" s="381">
        <f>IF($B27="","",COUNTIF(Penalties!$B28:$J28,M$2))</f>
        <v>0</v>
      </c>
      <c r="N27" s="381">
        <f>IF($B27="","",COUNTIF(Penalties!$B28:$J28,N$2))</f>
        <v>0</v>
      </c>
      <c r="O27" s="381">
        <f>IF($B27="","",COUNTIF(Penalties!$B28:$J28,O$2))</f>
        <v>0</v>
      </c>
      <c r="P27" s="381">
        <f>IF($B27="","",COUNTIF(Penalties!$B28:$J28,P$2))</f>
        <v>0</v>
      </c>
      <c r="Q27" s="381">
        <f>IF($B27="","",COUNTIF(Penalties!$B28:$J28,Q$2))</f>
        <v>0</v>
      </c>
      <c r="R27" s="381">
        <f>IF($B27="","",COUNTIF(Penalties!$B28:$J28,R$2))</f>
        <v>0</v>
      </c>
      <c r="S27" s="381"/>
      <c r="T27" s="381"/>
      <c r="U27" s="387">
        <f>IF(B27="","",SUM(E27:T27))</f>
        <v>0</v>
      </c>
      <c r="V27" s="388">
        <f>IF(B27="","",SUM(E27:T27)*0.5)</f>
        <v>0</v>
      </c>
      <c r="W27" s="389" t="str">
        <f>IF($B27="","",IF(Penalties!$K28=W$2,1,""))</f>
        <v/>
      </c>
      <c r="X27" s="389" t="str">
        <f>IF($B27="","",IF(Penalties!$K28=X$2,1,""))</f>
        <v/>
      </c>
      <c r="Y27" s="389" t="str">
        <f>IF($B27="","",IF(Penalties!$K28=Y$2,1,""))</f>
        <v/>
      </c>
      <c r="Z27" s="389" t="str">
        <f>IF($B27="","",IF(Penalties!$K28=Z$2,1,""))</f>
        <v/>
      </c>
      <c r="AA27" s="389" t="str">
        <f>IF($B27="","",IF(Penalties!$K28=AA$2,1,""))</f>
        <v/>
      </c>
      <c r="AB27" s="389" t="str">
        <f>IF($B27="","",IF(Penalties!$K28=AB$2,1,""))</f>
        <v/>
      </c>
      <c r="AC27" s="389" t="str">
        <f>IF($B27="","",IF(Penalties!$K28=AC$2,1,""))</f>
        <v/>
      </c>
      <c r="AD27" s="389" t="str">
        <f>IF($B27="","",IF(Penalties!$K28=AD$2,1,""))</f>
        <v/>
      </c>
      <c r="AE27" s="389" t="str">
        <f>IF($B27="","",IF(Penalties!$K28=AE$2,1,""))</f>
        <v/>
      </c>
      <c r="AF27" s="389" t="str">
        <f>IF($B27="","",IF(Penalties!$K28=AF$2,1,""))</f>
        <v/>
      </c>
      <c r="AG27" s="389" t="str">
        <f>IF($B27="","",IF(Penalties!$K28=AG$2,1,""))</f>
        <v/>
      </c>
      <c r="AH27" s="389" t="str">
        <f>IF($B27="","",IF(Penalties!$K28=AH$2,1,""))</f>
        <v/>
      </c>
      <c r="AI27" s="389" t="str">
        <f>IF($B27="","",IF(Penalties!$K28=AI$2,1,""))</f>
        <v/>
      </c>
      <c r="AJ27" s="390"/>
    </row>
    <row r="28" spans="1:36" s="64" customFormat="1" x14ac:dyDescent="0.3">
      <c r="A28" s="1204"/>
      <c r="B28" s="1205"/>
      <c r="C28" s="1206"/>
      <c r="D28" s="381" t="s">
        <v>21</v>
      </c>
      <c r="E28" s="381">
        <f>IF($B27="","",COUNTIF(Penalties!$AD28:$AL28,E$2))</f>
        <v>0</v>
      </c>
      <c r="F28" s="381">
        <f>IF($B27="","",COUNTIF(Penalties!$AD28:$AL28,F$2))</f>
        <v>0</v>
      </c>
      <c r="G28" s="381">
        <f>IF($B27="","",COUNTIF(Penalties!$AD28:$AL28,G$2))</f>
        <v>0</v>
      </c>
      <c r="H28" s="381">
        <f>IF($B27="","",COUNTIF(Penalties!$AD28:$AL28,H$2))</f>
        <v>0</v>
      </c>
      <c r="I28" s="381">
        <f>IF($B27="","",COUNTIF(Penalties!$AD28:$AL28,I$2))</f>
        <v>0</v>
      </c>
      <c r="J28" s="381">
        <f>IF($B27="","",COUNTIF(Penalties!$AD28:$AL28,J$2))</f>
        <v>0</v>
      </c>
      <c r="K28" s="381">
        <f>IF($B27="","",COUNTIF(Penalties!$AD28:$AL28,K$2))</f>
        <v>0</v>
      </c>
      <c r="L28" s="381">
        <f>IF($B27="","",COUNTIF(Penalties!$AD28:$AL28,L$2))</f>
        <v>0</v>
      </c>
      <c r="M28" s="381">
        <f>IF($B27="","",COUNTIF(Penalties!$AD28:$AL28,M$2))</f>
        <v>0</v>
      </c>
      <c r="N28" s="381">
        <f>IF($B27="","",COUNTIF(Penalties!$AD28:$AL28,N$2))</f>
        <v>0</v>
      </c>
      <c r="O28" s="381">
        <f>IF($B27="","",COUNTIF(Penalties!$AD28:$AL28,O$2))</f>
        <v>0</v>
      </c>
      <c r="P28" s="381">
        <f>IF($B27="","",COUNTIF(Penalties!$AD28:$AL28,P$2))</f>
        <v>0</v>
      </c>
      <c r="Q28" s="381">
        <f>IF($B27="","",COUNTIF(Penalties!$AD28:$AL28,Q$2))</f>
        <v>0</v>
      </c>
      <c r="R28" s="381">
        <f>IF($B27="","",COUNTIF(Penalties!$AD28:$AL28,R$2))</f>
        <v>0</v>
      </c>
      <c r="S28" s="381"/>
      <c r="T28" s="381"/>
      <c r="U28" s="387">
        <f>IF(B27="","",SUM(E28:T28))</f>
        <v>0</v>
      </c>
      <c r="V28" s="388">
        <f>IF(B27="","",SUM(E28:T28)*0.5)</f>
        <v>0</v>
      </c>
      <c r="W28" s="389" t="str">
        <f>IF($B27="","",IF(Penalties!$AM28=W$2,1,""))</f>
        <v/>
      </c>
      <c r="X28" s="389" t="str">
        <f>IF($B27="","",IF(Penalties!$AM28=X$2,1,""))</f>
        <v/>
      </c>
      <c r="Y28" s="389" t="str">
        <f>IF($B27="","",IF(Penalties!$AM28=Y$2,1,""))</f>
        <v/>
      </c>
      <c r="Z28" s="389" t="str">
        <f>IF($B27="","",IF(Penalties!$AM28=Z$2,1,""))</f>
        <v/>
      </c>
      <c r="AA28" s="389" t="str">
        <f>IF($B27="","",IF(Penalties!$AM28=AA$2,1,""))</f>
        <v/>
      </c>
      <c r="AB28" s="389" t="str">
        <f>IF($B27="","",IF(Penalties!$AM28=AB$2,1,""))</f>
        <v/>
      </c>
      <c r="AC28" s="389" t="str">
        <f>IF($B27="","",IF(Penalties!$AM28=AC$2,1,""))</f>
        <v/>
      </c>
      <c r="AD28" s="389" t="str">
        <f>IF($B27="","",IF(Penalties!$AM28=AD$2,1,""))</f>
        <v/>
      </c>
      <c r="AE28" s="389" t="str">
        <f>IF($B27="","",IF(Penalties!$AM28=AE$2,1,""))</f>
        <v/>
      </c>
      <c r="AF28" s="389" t="str">
        <f>IF($B27="","",IF(Penalties!$AM28=AF$2,1,""))</f>
        <v/>
      </c>
      <c r="AG28" s="389" t="str">
        <f>IF($B27="","",IF(Penalties!$AM28=AG$2,1,""))</f>
        <v/>
      </c>
      <c r="AH28" s="389" t="str">
        <f>IF($B27="","",IF(Penalties!$AM28=AH$2,1,""))</f>
        <v/>
      </c>
      <c r="AI28" s="389" t="str">
        <f>IF($B27="","",IF(Penalties!$AM28=AI$2,1,""))</f>
        <v/>
      </c>
      <c r="AJ28" s="391" t="str">
        <f>IF(SUM(X27:AI28)=0, "", IF(SUM(X27:AI27)=1, LOOKUP(1, X27:AI27, $X$2:$AI$2), LOOKUP(1, X28:AI28, $X$2:$AI$2)))</f>
        <v/>
      </c>
    </row>
    <row r="29" spans="1:36" s="64" customFormat="1" x14ac:dyDescent="0.3">
      <c r="A29" s="1201">
        <f>A27+1</f>
        <v>14</v>
      </c>
      <c r="B29" s="1202" t="str">
        <f>IF(IGRF!B27="","",IGRF!B27)</f>
        <v>825</v>
      </c>
      <c r="C29" s="1203" t="str">
        <f>IF(IGRF!C27="","",IGRF!C27)</f>
        <v>Rot-N 2 the Cor-E</v>
      </c>
      <c r="D29" s="382" t="s">
        <v>5</v>
      </c>
      <c r="E29" s="382">
        <f>IF($B29="","",COUNTIF(Penalties!$B30:$J30,E$2))</f>
        <v>0</v>
      </c>
      <c r="F29" s="382">
        <f>IF($B29="","",COUNTIF(Penalties!$B30:$J30,F$2))</f>
        <v>0</v>
      </c>
      <c r="G29" s="382">
        <f>IF($B29="","",COUNTIF(Penalties!$B30:$J30,G$2))</f>
        <v>0</v>
      </c>
      <c r="H29" s="382">
        <f>IF($B29="","",COUNTIF(Penalties!$B30:$J30,H$2))</f>
        <v>0</v>
      </c>
      <c r="I29" s="382">
        <f>IF($B29="","",COUNTIF(Penalties!$B30:$J30,I$2))</f>
        <v>0</v>
      </c>
      <c r="J29" s="382">
        <f>IF($B29="","",COUNTIF(Penalties!$B30:$J30,J$2))</f>
        <v>1</v>
      </c>
      <c r="K29" s="382">
        <f>IF($B29="","",COUNTIF(Penalties!$B30:$J30,K$2))</f>
        <v>0</v>
      </c>
      <c r="L29" s="382">
        <f>IF($B29="","",COUNTIF(Penalties!$B30:$J30,L$2))</f>
        <v>0</v>
      </c>
      <c r="M29" s="382">
        <f>IF($B29="","",COUNTIF(Penalties!$B30:$J30,M$2))</f>
        <v>0</v>
      </c>
      <c r="N29" s="382">
        <f>IF($B29="","",COUNTIF(Penalties!$B30:$J30,N$2))</f>
        <v>0</v>
      </c>
      <c r="O29" s="382">
        <f>IF($B29="","",COUNTIF(Penalties!$B30:$J30,O$2))</f>
        <v>0</v>
      </c>
      <c r="P29" s="382">
        <f>IF($B29="","",COUNTIF(Penalties!$B30:$J30,P$2))</f>
        <v>0</v>
      </c>
      <c r="Q29" s="382">
        <f>IF($B29="","",COUNTIF(Penalties!$B30:$J30,Q$2))</f>
        <v>0</v>
      </c>
      <c r="R29" s="382">
        <f>IF($B29="","",COUNTIF(Penalties!$B30:$J30,R$2))</f>
        <v>0</v>
      </c>
      <c r="S29" s="382"/>
      <c r="T29" s="382"/>
      <c r="U29" s="392">
        <f>IF(B29="","",SUM(E29:T29))</f>
        <v>1</v>
      </c>
      <c r="V29" s="393">
        <f>IF(B29="","",SUM(E29:T29)*0.5)</f>
        <v>0.5</v>
      </c>
      <c r="W29" s="394" t="str">
        <f>IF($B29="","",IF(Penalties!$K30=W$2,1,""))</f>
        <v/>
      </c>
      <c r="X29" s="394" t="str">
        <f>IF($B29="","",IF(Penalties!$K30=X$2,1,""))</f>
        <v/>
      </c>
      <c r="Y29" s="394" t="str">
        <f>IF($B29="","",IF(Penalties!$K30=Y$2,1,""))</f>
        <v/>
      </c>
      <c r="Z29" s="394" t="str">
        <f>IF($B29="","",IF(Penalties!$K30=Z$2,1,""))</f>
        <v/>
      </c>
      <c r="AA29" s="394" t="str">
        <f>IF($B29="","",IF(Penalties!$K30=AA$2,1,""))</f>
        <v/>
      </c>
      <c r="AB29" s="394" t="str">
        <f>IF($B29="","",IF(Penalties!$K30=AB$2,1,""))</f>
        <v/>
      </c>
      <c r="AC29" s="394" t="str">
        <f>IF($B29="","",IF(Penalties!$K30=AC$2,1,""))</f>
        <v/>
      </c>
      <c r="AD29" s="394" t="str">
        <f>IF($B29="","",IF(Penalties!$K30=AD$2,1,""))</f>
        <v/>
      </c>
      <c r="AE29" s="394" t="str">
        <f>IF($B29="","",IF(Penalties!$K30=AE$2,1,""))</f>
        <v/>
      </c>
      <c r="AF29" s="394" t="str">
        <f>IF($B29="","",IF(Penalties!$K30=AF$2,1,""))</f>
        <v/>
      </c>
      <c r="AG29" s="394" t="str">
        <f>IF($B29="","",IF(Penalties!$K30=AG$2,1,""))</f>
        <v/>
      </c>
      <c r="AH29" s="394" t="str">
        <f>IF($B29="","",IF(Penalties!$K30=AH$2,1,""))</f>
        <v/>
      </c>
      <c r="AI29" s="394" t="str">
        <f>IF($B29="","",IF(Penalties!$K30=AI$2,1,""))</f>
        <v/>
      </c>
      <c r="AJ29" s="395"/>
    </row>
    <row r="30" spans="1:36" s="64" customFormat="1" ht="14.4" thickBot="1" x14ac:dyDescent="0.35">
      <c r="A30" s="1201"/>
      <c r="B30" s="1202"/>
      <c r="C30" s="1203"/>
      <c r="D30" s="382" t="s">
        <v>21</v>
      </c>
      <c r="E30" s="382">
        <f>IF($B29="","",COUNTIF(Penalties!$AD30:$AL30,E$2))</f>
        <v>0</v>
      </c>
      <c r="F30" s="382">
        <f>IF($B29="","",COUNTIF(Penalties!$AD30:$AL30,F$2))</f>
        <v>0</v>
      </c>
      <c r="G30" s="382">
        <f>IF($B29="","",COUNTIF(Penalties!$AD30:$AL30,G$2))</f>
        <v>0</v>
      </c>
      <c r="H30" s="382">
        <f>IF($B29="","",COUNTIF(Penalties!$AD30:$AL30,H$2))</f>
        <v>0</v>
      </c>
      <c r="I30" s="382">
        <f>IF($B29="","",COUNTIF(Penalties!$AD30:$AL30,I$2))</f>
        <v>0</v>
      </c>
      <c r="J30" s="382">
        <f>IF($B29="","",COUNTIF(Penalties!$AD30:$AL30,J$2))</f>
        <v>0</v>
      </c>
      <c r="K30" s="382">
        <f>IF($B29="","",COUNTIF(Penalties!$AD30:$AL30,K$2))</f>
        <v>0</v>
      </c>
      <c r="L30" s="382">
        <f>IF($B29="","",COUNTIF(Penalties!$AD30:$AL30,L$2))</f>
        <v>0</v>
      </c>
      <c r="M30" s="382">
        <f>IF($B29="","",COUNTIF(Penalties!$AD30:$AL30,M$2))</f>
        <v>0</v>
      </c>
      <c r="N30" s="382">
        <f>IF($B29="","",COUNTIF(Penalties!$AD30:$AL30,N$2))</f>
        <v>0</v>
      </c>
      <c r="O30" s="382">
        <f>IF($B29="","",COUNTIF(Penalties!$AD30:$AL30,O$2))</f>
        <v>0</v>
      </c>
      <c r="P30" s="382">
        <f>IF($B29="","",COUNTIF(Penalties!$AD30:$AL30,P$2))</f>
        <v>0</v>
      </c>
      <c r="Q30" s="382">
        <f>IF($B29="","",COUNTIF(Penalties!$AD30:$AL30,Q$2))</f>
        <v>0</v>
      </c>
      <c r="R30" s="382">
        <f>IF($B29="","",COUNTIF(Penalties!$AD30:$AL30,R$2))</f>
        <v>0</v>
      </c>
      <c r="S30" s="382"/>
      <c r="T30" s="382"/>
      <c r="U30" s="392">
        <f>IF(B29="","",SUM(E30:T30))</f>
        <v>0</v>
      </c>
      <c r="V30" s="393">
        <f>IF(B29="","",SUM(E30:T30)*0.5)</f>
        <v>0</v>
      </c>
      <c r="W30" s="394" t="str">
        <f>IF($B29="","",IF(Penalties!$AM30=W$2,1,""))</f>
        <v/>
      </c>
      <c r="X30" s="394" t="str">
        <f>IF($B29="","",IF(Penalties!$AM30=X$2,1,""))</f>
        <v/>
      </c>
      <c r="Y30" s="394" t="str">
        <f>IF($B29="","",IF(Penalties!$AM30=Y$2,1,""))</f>
        <v/>
      </c>
      <c r="Z30" s="394" t="str">
        <f>IF($B29="","",IF(Penalties!$AM30=Z$2,1,""))</f>
        <v/>
      </c>
      <c r="AA30" s="394" t="str">
        <f>IF($B29="","",IF(Penalties!$AM30=AA$2,1,""))</f>
        <v/>
      </c>
      <c r="AB30" s="394" t="str">
        <f>IF($B29="","",IF(Penalties!$AM30=AB$2,1,""))</f>
        <v/>
      </c>
      <c r="AC30" s="394" t="str">
        <f>IF($B29="","",IF(Penalties!$AM30=AC$2,1,""))</f>
        <v/>
      </c>
      <c r="AD30" s="394" t="str">
        <f>IF($B29="","",IF(Penalties!$AM30=AD$2,1,""))</f>
        <v/>
      </c>
      <c r="AE30" s="394" t="str">
        <f>IF($B29="","",IF(Penalties!$AM30=AE$2,1,""))</f>
        <v/>
      </c>
      <c r="AF30" s="394" t="str">
        <f>IF($B29="","",IF(Penalties!$AM30=AF$2,1,""))</f>
        <v/>
      </c>
      <c r="AG30" s="394" t="str">
        <f>IF($B29="","",IF(Penalties!$AM30=AG$2,1,""))</f>
        <v/>
      </c>
      <c r="AH30" s="394" t="str">
        <f>IF($B29="","",IF(Penalties!$AM30=AH$2,1,""))</f>
        <v/>
      </c>
      <c r="AI30" s="394" t="str">
        <f>IF($B29="","",IF(Penalties!$AM30=AI$2,1,""))</f>
        <v/>
      </c>
      <c r="AJ30" s="396" t="str">
        <f>IF(SUM(X29:AI30)=0, "", IF(SUM(X29:AI29)=1, LOOKUP(1, X29:AI29, $X$2:$AI$2), LOOKUP(1, X30:AI30, $X$2:$AI$2)))</f>
        <v/>
      </c>
    </row>
    <row r="31" spans="1:36" s="64" customFormat="1" x14ac:dyDescent="0.3">
      <c r="A31" s="1204">
        <f>A29+1</f>
        <v>15</v>
      </c>
      <c r="B31" s="1205" t="str">
        <f>IF(IGRF!B28="","",IGRF!B28)</f>
        <v>83</v>
      </c>
      <c r="C31" s="1206" t="str">
        <f>IF(IGRF!C28="","",IGRF!C28)</f>
        <v>Grit n Barite</v>
      </c>
      <c r="D31" s="381" t="s">
        <v>5</v>
      </c>
      <c r="E31" s="381">
        <f>IF($B31="","",COUNTIF(Penalties!$B32:$J32,E$2))</f>
        <v>0</v>
      </c>
      <c r="F31" s="381">
        <f>IF($B31="","",COUNTIF(Penalties!$B32:$J32,F$2))</f>
        <v>0</v>
      </c>
      <c r="G31" s="381">
        <f>IF($B31="","",COUNTIF(Penalties!$B32:$J32,G$2))</f>
        <v>0</v>
      </c>
      <c r="H31" s="381">
        <f>IF($B31="","",COUNTIF(Penalties!$B32:$J32,H$2))</f>
        <v>0</v>
      </c>
      <c r="I31" s="381">
        <f>IF($B31="","",COUNTIF(Penalties!$B32:$J32,I$2))</f>
        <v>0</v>
      </c>
      <c r="J31" s="381">
        <f>IF($B31="","",COUNTIF(Penalties!$B32:$J32,J$2))</f>
        <v>0</v>
      </c>
      <c r="K31" s="381">
        <f>IF($B31="","",COUNTIF(Penalties!$B32:$J32,K$2))</f>
        <v>0</v>
      </c>
      <c r="L31" s="381">
        <f>IF($B31="","",COUNTIF(Penalties!$B32:$J32,L$2))</f>
        <v>0</v>
      </c>
      <c r="M31" s="381">
        <f>IF($B31="","",COUNTIF(Penalties!$B32:$J32,M$2))</f>
        <v>0</v>
      </c>
      <c r="N31" s="381">
        <f>IF($B31="","",COUNTIF(Penalties!$B32:$J32,N$2))</f>
        <v>0</v>
      </c>
      <c r="O31" s="381">
        <f>IF($B31="","",COUNTIF(Penalties!$B32:$J32,O$2))</f>
        <v>0</v>
      </c>
      <c r="P31" s="381">
        <f>IF($B31="","",COUNTIF(Penalties!$B32:$J32,P$2))</f>
        <v>1</v>
      </c>
      <c r="Q31" s="381">
        <f>IF($B31="","",COUNTIF(Penalties!$B32:$J32,Q$2))</f>
        <v>0</v>
      </c>
      <c r="R31" s="381">
        <f>IF($B31="","",COUNTIF(Penalties!$B32:$J32,R$2))</f>
        <v>0</v>
      </c>
      <c r="S31" s="381"/>
      <c r="T31" s="381"/>
      <c r="U31" s="387">
        <f>IF(B31="","",SUM(E31:T31))</f>
        <v>1</v>
      </c>
      <c r="V31" s="388">
        <f>IF(B31="","",SUM(E31:T31)*0.5)</f>
        <v>0.5</v>
      </c>
      <c r="W31" s="389" t="str">
        <f>IF($B31="","",IF(Penalties!$K32=W$2,1,""))</f>
        <v/>
      </c>
      <c r="X31" s="389" t="str">
        <f>IF($B31="","",IF(Penalties!$K32=X$2,1,""))</f>
        <v/>
      </c>
      <c r="Y31" s="389" t="str">
        <f>IF($B31="","",IF(Penalties!$K32=Y$2,1,""))</f>
        <v/>
      </c>
      <c r="Z31" s="389" t="str">
        <f>IF($B31="","",IF(Penalties!$K32=Z$2,1,""))</f>
        <v/>
      </c>
      <c r="AA31" s="389" t="str">
        <f>IF($B31="","",IF(Penalties!$K32=AA$2,1,""))</f>
        <v/>
      </c>
      <c r="AB31" s="389" t="str">
        <f>IF($B31="","",IF(Penalties!$K32=AB$2,1,""))</f>
        <v/>
      </c>
      <c r="AC31" s="389" t="str">
        <f>IF($B31="","",IF(Penalties!$K32=AC$2,1,""))</f>
        <v/>
      </c>
      <c r="AD31" s="389" t="str">
        <f>IF($B31="","",IF(Penalties!$K32=AD$2,1,""))</f>
        <v/>
      </c>
      <c r="AE31" s="389" t="str">
        <f>IF($B31="","",IF(Penalties!$K32=AE$2,1,""))</f>
        <v/>
      </c>
      <c r="AF31" s="389" t="str">
        <f>IF($B31="","",IF(Penalties!$K32=AF$2,1,""))</f>
        <v/>
      </c>
      <c r="AG31" s="389" t="str">
        <f>IF($B31="","",IF(Penalties!$K32=AG$2,1,""))</f>
        <v/>
      </c>
      <c r="AH31" s="389" t="str">
        <f>IF($B31="","",IF(Penalties!$K32=AH$2,1,""))</f>
        <v/>
      </c>
      <c r="AI31" s="389" t="str">
        <f>IF($B31="","",IF(Penalties!$K32=AI$2,1,""))</f>
        <v/>
      </c>
      <c r="AJ31" s="390"/>
    </row>
    <row r="32" spans="1:36" s="64" customFormat="1" x14ac:dyDescent="0.3">
      <c r="A32" s="1204"/>
      <c r="B32" s="1205"/>
      <c r="C32" s="1206"/>
      <c r="D32" s="381" t="s">
        <v>21</v>
      </c>
      <c r="E32" s="381">
        <f>IF($B31="","",COUNTIF(Penalties!$AD32:$AL32,E$2))</f>
        <v>0</v>
      </c>
      <c r="F32" s="381">
        <f>IF($B31="","",COUNTIF(Penalties!$AD32:$AL32,F$2))</f>
        <v>0</v>
      </c>
      <c r="G32" s="381">
        <f>IF($B31="","",COUNTIF(Penalties!$AD32:$AL32,G$2))</f>
        <v>0</v>
      </c>
      <c r="H32" s="381">
        <f>IF($B31="","",COUNTIF(Penalties!$AD32:$AL32,H$2))</f>
        <v>0</v>
      </c>
      <c r="I32" s="381">
        <f>IF($B31="","",COUNTIF(Penalties!$AD32:$AL32,I$2))</f>
        <v>0</v>
      </c>
      <c r="J32" s="381">
        <f>IF($B31="","",COUNTIF(Penalties!$AD32:$AL32,J$2))</f>
        <v>0</v>
      </c>
      <c r="K32" s="381">
        <f>IF($B31="","",COUNTIF(Penalties!$AD32:$AL32,K$2))</f>
        <v>0</v>
      </c>
      <c r="L32" s="381">
        <f>IF($B31="","",COUNTIF(Penalties!$AD32:$AL32,L$2))</f>
        <v>1</v>
      </c>
      <c r="M32" s="381">
        <f>IF($B31="","",COUNTIF(Penalties!$AD32:$AL32,M$2))</f>
        <v>1</v>
      </c>
      <c r="N32" s="381">
        <f>IF($B31="","",COUNTIF(Penalties!$AD32:$AL32,N$2))</f>
        <v>0</v>
      </c>
      <c r="O32" s="381">
        <f>IF($B31="","",COUNTIF(Penalties!$AD32:$AL32,O$2))</f>
        <v>0</v>
      </c>
      <c r="P32" s="381">
        <f>IF($B31="","",COUNTIF(Penalties!$AD32:$AL32,P$2))</f>
        <v>0</v>
      </c>
      <c r="Q32" s="381">
        <f>IF($B31="","",COUNTIF(Penalties!$AD32:$AL32,Q$2))</f>
        <v>0</v>
      </c>
      <c r="R32" s="381">
        <f>IF($B31="","",COUNTIF(Penalties!$AD32:$AL32,R$2))</f>
        <v>0</v>
      </c>
      <c r="S32" s="381"/>
      <c r="T32" s="381"/>
      <c r="U32" s="387">
        <f>IF(B31="","",SUM(E32:T32))</f>
        <v>2</v>
      </c>
      <c r="V32" s="388">
        <f>IF(B31="","",SUM(E32:T32)*0.5)</f>
        <v>1</v>
      </c>
      <c r="W32" s="389" t="str">
        <f>IF($B31="","",IF(Penalties!$AM32=W$2,1,""))</f>
        <v/>
      </c>
      <c r="X32" s="389" t="str">
        <f>IF($B31="","",IF(Penalties!$AM32=X$2,1,""))</f>
        <v/>
      </c>
      <c r="Y32" s="389" t="str">
        <f>IF($B31="","",IF(Penalties!$AM32=Y$2,1,""))</f>
        <v/>
      </c>
      <c r="Z32" s="389" t="str">
        <f>IF($B31="","",IF(Penalties!$AM32=Z$2,1,""))</f>
        <v/>
      </c>
      <c r="AA32" s="389" t="str">
        <f>IF($B31="","",IF(Penalties!$AM32=AA$2,1,""))</f>
        <v/>
      </c>
      <c r="AB32" s="389" t="str">
        <f>IF($B31="","",IF(Penalties!$AM32=AB$2,1,""))</f>
        <v/>
      </c>
      <c r="AC32" s="389" t="str">
        <f>IF($B31="","",IF(Penalties!$AM32=AC$2,1,""))</f>
        <v/>
      </c>
      <c r="AD32" s="389" t="str">
        <f>IF($B31="","",IF(Penalties!$AM32=AD$2,1,""))</f>
        <v/>
      </c>
      <c r="AE32" s="389" t="str">
        <f>IF($B31="","",IF(Penalties!$AM32=AE$2,1,""))</f>
        <v/>
      </c>
      <c r="AF32" s="389" t="str">
        <f>IF($B31="","",IF(Penalties!$AM32=AF$2,1,""))</f>
        <v/>
      </c>
      <c r="AG32" s="389" t="str">
        <f>IF($B31="","",IF(Penalties!$AM32=AG$2,1,""))</f>
        <v/>
      </c>
      <c r="AH32" s="389" t="str">
        <f>IF($B31="","",IF(Penalties!$AM32=AH$2,1,""))</f>
        <v/>
      </c>
      <c r="AI32" s="389" t="str">
        <f>IF($B31="","",IF(Penalties!$AM32=AI$2,1,""))</f>
        <v/>
      </c>
      <c r="AJ32" s="391" t="str">
        <f>IF(SUM(X31:AI32)=0, "", IF(SUM(X31:AI31)=1, LOOKUP(1, X31:AI31, $X$2:$AI$2), LOOKUP(1, X32:AI32, $X$2:$AI$2)))</f>
        <v/>
      </c>
    </row>
    <row r="33" spans="1:50" x14ac:dyDescent="0.3">
      <c r="A33" s="1201">
        <f>A31+1</f>
        <v>16</v>
      </c>
      <c r="B33" s="1202" t="str">
        <f>IF(IGRF!B29="","",IGRF!B29)</f>
        <v>84</v>
      </c>
      <c r="C33" s="1203" t="str">
        <f>IF(IGRF!C29="","",IGRF!C29)</f>
        <v>Phoenix</v>
      </c>
      <c r="D33" s="382" t="s">
        <v>5</v>
      </c>
      <c r="E33" s="382">
        <f>IF($B33="","",COUNTIF(Penalties!$B34:$J34,E$2))</f>
        <v>0</v>
      </c>
      <c r="F33" s="382">
        <f>IF($B33="","",COUNTIF(Penalties!$B34:$J34,F$2))</f>
        <v>0</v>
      </c>
      <c r="G33" s="382">
        <f>IF($B33="","",COUNTIF(Penalties!$B34:$J34,G$2))</f>
        <v>0</v>
      </c>
      <c r="H33" s="382">
        <f>IF($B33="","",COUNTIF(Penalties!$B34:$J34,H$2))</f>
        <v>0</v>
      </c>
      <c r="I33" s="382">
        <f>IF($B33="","",COUNTIF(Penalties!$B34:$J34,I$2))</f>
        <v>0</v>
      </c>
      <c r="J33" s="382">
        <f>IF($B33="","",COUNTIF(Penalties!$B34:$J34,J$2))</f>
        <v>1</v>
      </c>
      <c r="K33" s="382">
        <f>IF($B33="","",COUNTIF(Penalties!$B34:$J34,K$2))</f>
        <v>0</v>
      </c>
      <c r="L33" s="382">
        <f>IF($B33="","",COUNTIF(Penalties!$B34:$J34,L$2))</f>
        <v>0</v>
      </c>
      <c r="M33" s="382">
        <f>IF($B33="","",COUNTIF(Penalties!$B34:$J34,M$2))</f>
        <v>0</v>
      </c>
      <c r="N33" s="382">
        <f>IF($B33="","",COUNTIF(Penalties!$B34:$J34,N$2))</f>
        <v>0</v>
      </c>
      <c r="O33" s="382">
        <f>IF($B33="","",COUNTIF(Penalties!$B34:$J34,O$2))</f>
        <v>0</v>
      </c>
      <c r="P33" s="382">
        <f>IF($B33="","",COUNTIF(Penalties!$B34:$J34,P$2))</f>
        <v>0</v>
      </c>
      <c r="Q33" s="382">
        <f>IF($B33="","",COUNTIF(Penalties!$B34:$J34,Q$2))</f>
        <v>0</v>
      </c>
      <c r="R33" s="382">
        <f>IF($B33="","",COUNTIF(Penalties!$B34:$J34,R$2))</f>
        <v>0</v>
      </c>
      <c r="S33" s="382"/>
      <c r="T33" s="382"/>
      <c r="U33" s="392">
        <f>IF(B33="","",SUM(E33:T33))</f>
        <v>1</v>
      </c>
      <c r="V33" s="393">
        <f>IF(B33="","",SUM(E33:T33)*0.5)</f>
        <v>0.5</v>
      </c>
      <c r="W33" s="394" t="str">
        <f>IF($B33="","",IF(Penalties!$K34=W$2,1,""))</f>
        <v/>
      </c>
      <c r="X33" s="394" t="str">
        <f>IF($B33="","",IF(Penalties!$K34=X$2,1,""))</f>
        <v/>
      </c>
      <c r="Y33" s="394" t="str">
        <f>IF($B33="","",IF(Penalties!$K34=Y$2,1,""))</f>
        <v/>
      </c>
      <c r="Z33" s="394" t="str">
        <f>IF($B33="","",IF(Penalties!$K34=Z$2,1,""))</f>
        <v/>
      </c>
      <c r="AA33" s="394" t="str">
        <f>IF($B33="","",IF(Penalties!$K34=AA$2,1,""))</f>
        <v/>
      </c>
      <c r="AB33" s="394" t="str">
        <f>IF($B33="","",IF(Penalties!$K34=AB$2,1,""))</f>
        <v/>
      </c>
      <c r="AC33" s="394" t="str">
        <f>IF($B33="","",IF(Penalties!$K34=AC$2,1,""))</f>
        <v/>
      </c>
      <c r="AD33" s="394" t="str">
        <f>IF($B33="","",IF(Penalties!$K34=AD$2,1,""))</f>
        <v/>
      </c>
      <c r="AE33" s="394" t="str">
        <f>IF($B33="","",IF(Penalties!$K34=AE$2,1,""))</f>
        <v/>
      </c>
      <c r="AF33" s="394" t="str">
        <f>IF($B33="","",IF(Penalties!$K34=AF$2,1,""))</f>
        <v/>
      </c>
      <c r="AG33" s="394" t="str">
        <f>IF($B33="","",IF(Penalties!$K34=AG$2,1,""))</f>
        <v/>
      </c>
      <c r="AH33" s="394" t="str">
        <f>IF($B33="","",IF(Penalties!$K34=AH$2,1,""))</f>
        <v/>
      </c>
      <c r="AI33" s="394" t="str">
        <f>IF($B33="","",IF(Penalties!$K34=AI$2,1,""))</f>
        <v/>
      </c>
      <c r="AJ33" s="395"/>
      <c r="AK33" s="64"/>
      <c r="AL33" s="64"/>
      <c r="AM33" s="64"/>
      <c r="AN33" s="64"/>
      <c r="AO33" s="64"/>
      <c r="AP33" s="64"/>
      <c r="AQ33" s="64"/>
      <c r="AR33" s="64"/>
      <c r="AS33" s="64"/>
      <c r="AT33" s="64"/>
      <c r="AU33" s="64"/>
      <c r="AV33" s="64"/>
      <c r="AW33" s="64"/>
      <c r="AX33" s="64"/>
    </row>
    <row r="34" spans="1:50" ht="14.4" thickBot="1" x14ac:dyDescent="0.35">
      <c r="A34" s="1201"/>
      <c r="B34" s="1202"/>
      <c r="C34" s="1203"/>
      <c r="D34" s="382" t="s">
        <v>21</v>
      </c>
      <c r="E34" s="382">
        <f>IF($B33="","",COUNTIF(Penalties!$AD34:$AL34,E$2))</f>
        <v>0</v>
      </c>
      <c r="F34" s="382">
        <f>IF($B33="","",COUNTIF(Penalties!$AD34:$AL34,F$2))</f>
        <v>0</v>
      </c>
      <c r="G34" s="382">
        <f>IF($B33="","",COUNTIF(Penalties!$AD34:$AL34,G$2))</f>
        <v>0</v>
      </c>
      <c r="H34" s="382">
        <f>IF($B33="","",COUNTIF(Penalties!$AD34:$AL34,H$2))</f>
        <v>0</v>
      </c>
      <c r="I34" s="382">
        <f>IF($B33="","",COUNTIF(Penalties!$AD34:$AL34,I$2))</f>
        <v>0</v>
      </c>
      <c r="J34" s="382">
        <f>IF($B33="","",COUNTIF(Penalties!$AD34:$AL34,J$2))</f>
        <v>3</v>
      </c>
      <c r="K34" s="382">
        <f>IF($B33="","",COUNTIF(Penalties!$AD34:$AL34,K$2))</f>
        <v>0</v>
      </c>
      <c r="L34" s="382">
        <f>IF($B33="","",COUNTIF(Penalties!$AD34:$AL34,L$2))</f>
        <v>0</v>
      </c>
      <c r="M34" s="382">
        <f>IF($B33="","",COUNTIF(Penalties!$AD34:$AL34,M$2))</f>
        <v>0</v>
      </c>
      <c r="N34" s="382">
        <f>IF($B33="","",COUNTIF(Penalties!$AD34:$AL34,N$2))</f>
        <v>1</v>
      </c>
      <c r="O34" s="382">
        <f>IF($B33="","",COUNTIF(Penalties!$AD34:$AL34,O$2))</f>
        <v>0</v>
      </c>
      <c r="P34" s="382">
        <f>IF($B33="","",COUNTIF(Penalties!$AD34:$AL34,P$2))</f>
        <v>0</v>
      </c>
      <c r="Q34" s="382">
        <f>IF($B33="","",COUNTIF(Penalties!$AD34:$AL34,Q$2))</f>
        <v>0</v>
      </c>
      <c r="R34" s="382">
        <f>IF($B33="","",COUNTIF(Penalties!$AD34:$AL34,R$2))</f>
        <v>0</v>
      </c>
      <c r="S34" s="382"/>
      <c r="T34" s="382"/>
      <c r="U34" s="392">
        <f>IF(B33="","",SUM(E34:T34))</f>
        <v>4</v>
      </c>
      <c r="V34" s="393">
        <f>IF(B33="","",SUM(E34:T34)*0.5)</f>
        <v>2</v>
      </c>
      <c r="W34" s="394" t="str">
        <f>IF($B33="","",IF(Penalties!$AM34=W$2,1,""))</f>
        <v/>
      </c>
      <c r="X34" s="394" t="str">
        <f>IF($B33="","",IF(Penalties!$AM34=X$2,1,""))</f>
        <v/>
      </c>
      <c r="Y34" s="394" t="str">
        <f>IF($B33="","",IF(Penalties!$AM34=Y$2,1,""))</f>
        <v/>
      </c>
      <c r="Z34" s="394" t="str">
        <f>IF($B33="","",IF(Penalties!$AM34=Z$2,1,""))</f>
        <v/>
      </c>
      <c r="AA34" s="394" t="str">
        <f>IF($B33="","",IF(Penalties!$AM34=AA$2,1,""))</f>
        <v/>
      </c>
      <c r="AB34" s="394" t="str">
        <f>IF($B33="","",IF(Penalties!$AM34=AB$2,1,""))</f>
        <v/>
      </c>
      <c r="AC34" s="394" t="str">
        <f>IF($B33="","",IF(Penalties!$AM34=AC$2,1,""))</f>
        <v/>
      </c>
      <c r="AD34" s="394" t="str">
        <f>IF($B33="","",IF(Penalties!$AM34=AD$2,1,""))</f>
        <v/>
      </c>
      <c r="AE34" s="394" t="str">
        <f>IF($B33="","",IF(Penalties!$AM34=AE$2,1,""))</f>
        <v/>
      </c>
      <c r="AF34" s="394" t="str">
        <f>IF($B33="","",IF(Penalties!$AM34=AF$2,1,""))</f>
        <v/>
      </c>
      <c r="AG34" s="394" t="str">
        <f>IF($B33="","",IF(Penalties!$AM34=AG$2,1,""))</f>
        <v/>
      </c>
      <c r="AH34" s="394" t="str">
        <f>IF($B33="","",IF(Penalties!$AM34=AH$2,1,""))</f>
        <v/>
      </c>
      <c r="AI34" s="394" t="str">
        <f>IF($B33="","",IF(Penalties!$AM34=AI$2,1,""))</f>
        <v/>
      </c>
      <c r="AJ34" s="396" t="str">
        <f>IF(SUM(X33:AI34)=0, "", IF(SUM(X33:AI33)=1, LOOKUP(1, X33:AI33, $X$2:$AI$2), LOOKUP(1, X34:AI34, $X$2:$AI$2)))</f>
        <v/>
      </c>
      <c r="AK34" s="64"/>
      <c r="AL34" s="64"/>
      <c r="AM34" s="64"/>
      <c r="AN34" s="64"/>
      <c r="AO34" s="64"/>
      <c r="AP34" s="64"/>
      <c r="AQ34" s="64"/>
      <c r="AR34" s="64"/>
      <c r="AS34" s="64"/>
      <c r="AT34" s="64"/>
      <c r="AU34" s="64"/>
      <c r="AV34" s="64"/>
      <c r="AW34" s="64"/>
      <c r="AX34" s="64"/>
    </row>
    <row r="35" spans="1:50" x14ac:dyDescent="0.3">
      <c r="A35" s="1204">
        <f>A33+1</f>
        <v>17</v>
      </c>
      <c r="B35" s="1205" t="str">
        <f>IF(IGRF!B30="","",IGRF!B30)</f>
        <v>86</v>
      </c>
      <c r="C35" s="1206" t="str">
        <f>IF(IGRF!C30="","",IGRF!C30)</f>
        <v>P.T.S.D.</v>
      </c>
      <c r="D35" s="381" t="s">
        <v>5</v>
      </c>
      <c r="E35" s="381">
        <f>IF($B35="","",COUNTIF(Penalties!$B36:$J36,E$2))</f>
        <v>0</v>
      </c>
      <c r="F35" s="381">
        <f>IF($B35="","",COUNTIF(Penalties!$B36:$J36,F$2))</f>
        <v>0</v>
      </c>
      <c r="G35" s="381">
        <f>IF($B35="","",COUNTIF(Penalties!$B36:$J36,G$2))</f>
        <v>0</v>
      </c>
      <c r="H35" s="381">
        <f>IF($B35="","",COUNTIF(Penalties!$B36:$J36,H$2))</f>
        <v>0</v>
      </c>
      <c r="I35" s="381">
        <f>IF($B35="","",COUNTIF(Penalties!$B36:$J36,I$2))</f>
        <v>0</v>
      </c>
      <c r="J35" s="381">
        <f>IF($B35="","",COUNTIF(Penalties!$B36:$J36,J$2))</f>
        <v>1</v>
      </c>
      <c r="K35" s="381">
        <f>IF($B35="","",COUNTIF(Penalties!$B36:$J36,K$2))</f>
        <v>0</v>
      </c>
      <c r="L35" s="381">
        <f>IF($B35="","",COUNTIF(Penalties!$B36:$J36,L$2))</f>
        <v>0</v>
      </c>
      <c r="M35" s="381">
        <f>IF($B35="","",COUNTIF(Penalties!$B36:$J36,M$2))</f>
        <v>0</v>
      </c>
      <c r="N35" s="381">
        <f>IF($B35="","",COUNTIF(Penalties!$B36:$J36,N$2))</f>
        <v>0</v>
      </c>
      <c r="O35" s="381">
        <f>IF($B35="","",COUNTIF(Penalties!$B36:$J36,O$2))</f>
        <v>0</v>
      </c>
      <c r="P35" s="381">
        <f>IF($B35="","",COUNTIF(Penalties!$B36:$J36,P$2))</f>
        <v>0</v>
      </c>
      <c r="Q35" s="381">
        <f>IF($B35="","",COUNTIF(Penalties!$B36:$J36,Q$2))</f>
        <v>0</v>
      </c>
      <c r="R35" s="381">
        <f>IF($B35="","",COUNTIF(Penalties!$B36:$J36,R$2))</f>
        <v>0</v>
      </c>
      <c r="U35" s="387">
        <f>IF(B35="","",SUM(E35:T35))</f>
        <v>1</v>
      </c>
      <c r="V35" s="388">
        <f>IF(B35="","",SUM(E35:T35)*0.5)</f>
        <v>0.5</v>
      </c>
      <c r="W35" s="389" t="str">
        <f>IF($B35="","",IF(Penalties!$K36=W$2,1,""))</f>
        <v/>
      </c>
      <c r="X35" s="389" t="str">
        <f>IF($B35="","",IF(Penalties!$K36=X$2,1,""))</f>
        <v/>
      </c>
      <c r="Y35" s="389" t="str">
        <f>IF($B35="","",IF(Penalties!$K36=Y$2,1,""))</f>
        <v/>
      </c>
      <c r="Z35" s="389" t="str">
        <f>IF($B35="","",IF(Penalties!$K36=Z$2,1,""))</f>
        <v/>
      </c>
      <c r="AA35" s="389" t="str">
        <f>IF($B35="","",IF(Penalties!$K36=AA$2,1,""))</f>
        <v/>
      </c>
      <c r="AB35" s="389" t="str">
        <f>IF($B35="","",IF(Penalties!$K36=AB$2,1,""))</f>
        <v/>
      </c>
      <c r="AC35" s="389" t="str">
        <f>IF($B35="","",IF(Penalties!$K36=AC$2,1,""))</f>
        <v/>
      </c>
      <c r="AD35" s="389" t="str">
        <f>IF($B35="","",IF(Penalties!$K36=AD$2,1,""))</f>
        <v/>
      </c>
      <c r="AE35" s="389" t="str">
        <f>IF($B35="","",IF(Penalties!$K36=AE$2,1,""))</f>
        <v/>
      </c>
      <c r="AF35" s="389" t="str">
        <f>IF($B35="","",IF(Penalties!$K36=AF$2,1,""))</f>
        <v/>
      </c>
      <c r="AG35" s="389" t="str">
        <f>IF($B35="","",IF(Penalties!$K36=AG$2,1,""))</f>
        <v/>
      </c>
      <c r="AH35" s="389" t="str">
        <f>IF($B35="","",IF(Penalties!$K36=AH$2,1,""))</f>
        <v/>
      </c>
      <c r="AI35" s="389" t="str">
        <f>IF($B35="","",IF(Penalties!$K36=AI$2,1,""))</f>
        <v/>
      </c>
      <c r="AJ35" s="390"/>
      <c r="AK35" s="64"/>
      <c r="AL35" s="64"/>
      <c r="AM35" s="64"/>
      <c r="AN35" s="64"/>
      <c r="AO35" s="64"/>
      <c r="AP35" s="64"/>
      <c r="AQ35" s="64"/>
      <c r="AR35" s="64"/>
      <c r="AS35" s="64"/>
      <c r="AT35" s="64"/>
      <c r="AU35" s="64"/>
      <c r="AV35" s="64"/>
      <c r="AW35" s="64"/>
      <c r="AX35" s="64"/>
    </row>
    <row r="36" spans="1:50" x14ac:dyDescent="0.3">
      <c r="A36" s="1204"/>
      <c r="B36" s="1205"/>
      <c r="C36" s="1206"/>
      <c r="D36" s="381" t="s">
        <v>21</v>
      </c>
      <c r="E36" s="381">
        <f>IF($B35="","",COUNTIF(Penalties!$AD36:$AL36,E$2))</f>
        <v>0</v>
      </c>
      <c r="F36" s="381">
        <f>IF($B35="","",COUNTIF(Penalties!$AD36:$AL36,F$2))</f>
        <v>0</v>
      </c>
      <c r="G36" s="381">
        <f>IF($B35="","",COUNTIF(Penalties!$AD36:$AL36,G$2))</f>
        <v>0</v>
      </c>
      <c r="H36" s="381">
        <f>IF($B35="","",COUNTIF(Penalties!$AD36:$AL36,H$2))</f>
        <v>0</v>
      </c>
      <c r="I36" s="381">
        <f>IF($B35="","",COUNTIF(Penalties!$AD36:$AL36,I$2))</f>
        <v>0</v>
      </c>
      <c r="J36" s="381">
        <f>IF($B35="","",COUNTIF(Penalties!$AD36:$AL36,J$2))</f>
        <v>0</v>
      </c>
      <c r="K36" s="381">
        <f>IF($B35="","",COUNTIF(Penalties!$AD36:$AL36,K$2))</f>
        <v>0</v>
      </c>
      <c r="L36" s="381">
        <f>IF($B35="","",COUNTIF(Penalties!$AD36:$AL36,L$2))</f>
        <v>1</v>
      </c>
      <c r="M36" s="381">
        <f>IF($B35="","",COUNTIF(Penalties!$AD36:$AL36,M$2))</f>
        <v>0</v>
      </c>
      <c r="N36" s="381">
        <f>IF($B35="","",COUNTIF(Penalties!$AD36:$AL36,N$2))</f>
        <v>0</v>
      </c>
      <c r="O36" s="381">
        <f>IF($B35="","",COUNTIF(Penalties!$AD36:$AL36,O$2))</f>
        <v>0</v>
      </c>
      <c r="P36" s="381">
        <f>IF($B35="","",COUNTIF(Penalties!$AD36:$AL36,P$2))</f>
        <v>0</v>
      </c>
      <c r="Q36" s="381">
        <f>IF($B35="","",COUNTIF(Penalties!$AD36:$AL36,Q$2))</f>
        <v>0</v>
      </c>
      <c r="R36" s="381">
        <f>IF($B35="","",COUNTIF(Penalties!$AD36:$AL36,R$2))</f>
        <v>0</v>
      </c>
      <c r="U36" s="387">
        <f>IF(B35="","",SUM(E36:T36))</f>
        <v>1</v>
      </c>
      <c r="V36" s="388">
        <f>IF(B35="","",SUM(E36:T36)*0.5)</f>
        <v>0.5</v>
      </c>
      <c r="W36" s="389" t="str">
        <f>IF($B35="","",IF(Penalties!$AM36=W$2,1,""))</f>
        <v/>
      </c>
      <c r="X36" s="389" t="str">
        <f>IF($B35="","",IF(Penalties!$AM36=X$2,1,""))</f>
        <v/>
      </c>
      <c r="Y36" s="389" t="str">
        <f>IF($B35="","",IF(Penalties!$AM36=Y$2,1,""))</f>
        <v/>
      </c>
      <c r="Z36" s="389" t="str">
        <f>IF($B35="","",IF(Penalties!$AM36=Z$2,1,""))</f>
        <v/>
      </c>
      <c r="AA36" s="389" t="str">
        <f>IF($B35="","",IF(Penalties!$AM36=AA$2,1,""))</f>
        <v/>
      </c>
      <c r="AB36" s="389" t="str">
        <f>IF($B35="","",IF(Penalties!$AM36=AB$2,1,""))</f>
        <v/>
      </c>
      <c r="AC36" s="389" t="str">
        <f>IF($B35="","",IF(Penalties!$AM36=AC$2,1,""))</f>
        <v/>
      </c>
      <c r="AD36" s="389" t="str">
        <f>IF($B35="","",IF(Penalties!$AM36=AD$2,1,""))</f>
        <v/>
      </c>
      <c r="AE36" s="389" t="str">
        <f>IF($B35="","",IF(Penalties!$AM36=AE$2,1,""))</f>
        <v/>
      </c>
      <c r="AF36" s="389" t="str">
        <f>IF($B35="","",IF(Penalties!$AM36=AF$2,1,""))</f>
        <v/>
      </c>
      <c r="AG36" s="389" t="str">
        <f>IF($B35="","",IF(Penalties!$AM36=AG$2,1,""))</f>
        <v/>
      </c>
      <c r="AH36" s="389" t="str">
        <f>IF($B35="","",IF(Penalties!$AM36=AH$2,1,""))</f>
        <v/>
      </c>
      <c r="AI36" s="389" t="str">
        <f>IF($B35="","",IF(Penalties!$AM36=AI$2,1,""))</f>
        <v/>
      </c>
      <c r="AJ36" s="391" t="str">
        <f>IF(SUM(X35:AI36)=0, "", IF(SUM(X35:AI35)=1, LOOKUP(1, X35:AI35, $X$2:$AI$2), LOOKUP(1, X36:AI36, $X$2:$AI$2)))</f>
        <v/>
      </c>
      <c r="AK36" s="64"/>
      <c r="AL36" s="64"/>
      <c r="AM36" s="64"/>
      <c r="AN36" s="64"/>
      <c r="AO36" s="64"/>
      <c r="AP36" s="64"/>
      <c r="AQ36" s="64"/>
      <c r="AR36" s="64"/>
      <c r="AS36" s="64"/>
      <c r="AT36" s="64"/>
      <c r="AU36" s="64"/>
      <c r="AV36" s="64"/>
      <c r="AW36" s="64"/>
      <c r="AX36" s="64"/>
    </row>
    <row r="37" spans="1:50" x14ac:dyDescent="0.3">
      <c r="A37" s="1201">
        <f>A35+1</f>
        <v>18</v>
      </c>
      <c r="B37" s="1202" t="str">
        <f>IF(IGRF!B31="","",IGRF!B31)</f>
        <v/>
      </c>
      <c r="C37" s="1203" t="str">
        <f>IF(IGRF!C31="","",IGRF!C31)</f>
        <v/>
      </c>
      <c r="D37" s="382" t="s">
        <v>5</v>
      </c>
      <c r="E37" s="382" t="str">
        <f>IF($B37="","",COUNTIF(Penalties!$B38:$J38,E$2))</f>
        <v/>
      </c>
      <c r="F37" s="382" t="str">
        <f>IF($B37="","",COUNTIF(Penalties!$B38:$J38,F$2))</f>
        <v/>
      </c>
      <c r="G37" s="382" t="str">
        <f>IF($B37="","",COUNTIF(Penalties!$B38:$J38,G$2))</f>
        <v/>
      </c>
      <c r="H37" s="382" t="str">
        <f>IF($B37="","",COUNTIF(Penalties!$B38:$J38,H$2))</f>
        <v/>
      </c>
      <c r="I37" s="382" t="str">
        <f>IF($B37="","",COUNTIF(Penalties!$B38:$J38,I$2))</f>
        <v/>
      </c>
      <c r="J37" s="382" t="str">
        <f>IF($B37="","",COUNTIF(Penalties!$B38:$J38,J$2))</f>
        <v/>
      </c>
      <c r="K37" s="382" t="str">
        <f>IF($B37="","",COUNTIF(Penalties!$B38:$J38,K$2))</f>
        <v/>
      </c>
      <c r="L37" s="382" t="str">
        <f>IF($B37="","",COUNTIF(Penalties!$B38:$J38,L$2))</f>
        <v/>
      </c>
      <c r="M37" s="382" t="str">
        <f>IF($B37="","",COUNTIF(Penalties!$B38:$J38,M$2))</f>
        <v/>
      </c>
      <c r="N37" s="382" t="str">
        <f>IF($B37="","",COUNTIF(Penalties!$B38:$J38,N$2))</f>
        <v/>
      </c>
      <c r="O37" s="382" t="str">
        <f>IF($B37="","",COUNTIF(Penalties!$B38:$J38,O$2))</f>
        <v/>
      </c>
      <c r="P37" s="382" t="str">
        <f>IF($B37="","",COUNTIF(Penalties!$B38:$J38,P$2))</f>
        <v/>
      </c>
      <c r="Q37" s="382" t="str">
        <f>IF($B37="","",COUNTIF(Penalties!$B38:$J38,Q$2))</f>
        <v/>
      </c>
      <c r="R37" s="382" t="str">
        <f>IF($B37="","",COUNTIF(Penalties!$B38:$J38,R$2))</f>
        <v/>
      </c>
      <c r="S37" s="382"/>
      <c r="T37" s="382"/>
      <c r="U37" s="392" t="str">
        <f>IF(B37="","",SUM(E37:T37))</f>
        <v/>
      </c>
      <c r="V37" s="393" t="str">
        <f>IF(B37="","",SUM(E37:T37)*0.5)</f>
        <v/>
      </c>
      <c r="W37" s="394" t="str">
        <f>IF($B37="","",IF(Penalties!$K38=W$2,1,""))</f>
        <v/>
      </c>
      <c r="X37" s="394" t="str">
        <f>IF($B37="","",IF(Penalties!$K38=X$2,1,""))</f>
        <v/>
      </c>
      <c r="Y37" s="394" t="str">
        <f>IF($B37="","",IF(Penalties!$K38=Y$2,1,""))</f>
        <v/>
      </c>
      <c r="Z37" s="394" t="str">
        <f>IF($B37="","",IF(Penalties!$K38=Z$2,1,""))</f>
        <v/>
      </c>
      <c r="AA37" s="394" t="str">
        <f>IF($B37="","",IF(Penalties!$K38=AA$2,1,""))</f>
        <v/>
      </c>
      <c r="AB37" s="394" t="str">
        <f>IF($B37="","",IF(Penalties!$K38=AB$2,1,""))</f>
        <v/>
      </c>
      <c r="AC37" s="394" t="str">
        <f>IF($B37="","",IF(Penalties!$K38=AC$2,1,""))</f>
        <v/>
      </c>
      <c r="AD37" s="394" t="str">
        <f>IF($B37="","",IF(Penalties!$K38=AD$2,1,""))</f>
        <v/>
      </c>
      <c r="AE37" s="394" t="str">
        <f>IF($B37="","",IF(Penalties!$K38=AE$2,1,""))</f>
        <v/>
      </c>
      <c r="AF37" s="394" t="str">
        <f>IF($B37="","",IF(Penalties!$K38=AF$2,1,""))</f>
        <v/>
      </c>
      <c r="AG37" s="394" t="str">
        <f>IF($B37="","",IF(Penalties!$K38=AG$2,1,""))</f>
        <v/>
      </c>
      <c r="AH37" s="394" t="str">
        <f>IF($B37="","",IF(Penalties!$K38=AH$2,1,""))</f>
        <v/>
      </c>
      <c r="AI37" s="394" t="str">
        <f>IF($B37="","",IF(Penalties!$K38=AI$2,1,""))</f>
        <v/>
      </c>
      <c r="AJ37" s="395"/>
      <c r="AK37" s="64"/>
      <c r="AL37" s="64"/>
      <c r="AM37" s="64"/>
      <c r="AN37" s="64"/>
      <c r="AO37" s="64"/>
      <c r="AP37" s="64"/>
      <c r="AQ37" s="64"/>
      <c r="AR37" s="64"/>
      <c r="AS37" s="64"/>
      <c r="AT37" s="64"/>
      <c r="AU37" s="64"/>
      <c r="AV37" s="64"/>
      <c r="AW37" s="64"/>
      <c r="AX37" s="64"/>
    </row>
    <row r="38" spans="1:50" ht="14.4" thickBot="1" x14ac:dyDescent="0.35">
      <c r="A38" s="1201"/>
      <c r="B38" s="1202"/>
      <c r="C38" s="1203"/>
      <c r="D38" s="382" t="s">
        <v>21</v>
      </c>
      <c r="E38" s="382" t="str">
        <f>IF($B37="","",COUNTIF(Penalties!$AD38:$AL38,E$2))</f>
        <v/>
      </c>
      <c r="F38" s="382" t="str">
        <f>IF($B37="","",COUNTIF(Penalties!$AD38:$AL38,F$2))</f>
        <v/>
      </c>
      <c r="G38" s="382" t="str">
        <f>IF($B37="","",COUNTIF(Penalties!$AD38:$AL38,G$2))</f>
        <v/>
      </c>
      <c r="H38" s="382" t="str">
        <f>IF($B37="","",COUNTIF(Penalties!$AD38:$AL38,H$2))</f>
        <v/>
      </c>
      <c r="I38" s="382" t="str">
        <f>IF($B37="","",COUNTIF(Penalties!$AD38:$AL38,I$2))</f>
        <v/>
      </c>
      <c r="J38" s="382" t="str">
        <f>IF($B37="","",COUNTIF(Penalties!$AD38:$AL38,J$2))</f>
        <v/>
      </c>
      <c r="K38" s="382" t="str">
        <f>IF($B37="","",COUNTIF(Penalties!$AD38:$AL38,K$2))</f>
        <v/>
      </c>
      <c r="L38" s="382" t="str">
        <f>IF($B37="","",COUNTIF(Penalties!$AD38:$AL38,L$2))</f>
        <v/>
      </c>
      <c r="M38" s="382" t="str">
        <f>IF($B37="","",COUNTIF(Penalties!$AD38:$AL38,M$2))</f>
        <v/>
      </c>
      <c r="N38" s="382" t="str">
        <f>IF($B37="","",COUNTIF(Penalties!$AD38:$AL38,N$2))</f>
        <v/>
      </c>
      <c r="O38" s="382" t="str">
        <f>IF($B37="","",COUNTIF(Penalties!$AD38:$AL38,O$2))</f>
        <v/>
      </c>
      <c r="P38" s="382" t="str">
        <f>IF($B37="","",COUNTIF(Penalties!$AD38:$AL38,P$2))</f>
        <v/>
      </c>
      <c r="Q38" s="382" t="str">
        <f>IF($B37="","",COUNTIF(Penalties!$AD38:$AL38,Q$2))</f>
        <v/>
      </c>
      <c r="R38" s="382" t="str">
        <f>IF($B37="","",COUNTIF(Penalties!$AD38:$AL38,R$2))</f>
        <v/>
      </c>
      <c r="S38" s="382"/>
      <c r="T38" s="382"/>
      <c r="U38" s="392" t="str">
        <f>IF(B37="","",SUM(E38:T38))</f>
        <v/>
      </c>
      <c r="V38" s="393" t="str">
        <f>IF(B37="","",SUM(E38:T38)*0.5)</f>
        <v/>
      </c>
      <c r="W38" s="394" t="str">
        <f>IF($B37="","",IF(Penalties!$AM38=W$2,1,""))</f>
        <v/>
      </c>
      <c r="X38" s="394" t="str">
        <f>IF($B37="","",IF(Penalties!$AM38=X$2,1,""))</f>
        <v/>
      </c>
      <c r="Y38" s="394" t="str">
        <f>IF($B37="","",IF(Penalties!$AM38=Y$2,1,""))</f>
        <v/>
      </c>
      <c r="Z38" s="394" t="str">
        <f>IF($B37="","",IF(Penalties!$AM38=Z$2,1,""))</f>
        <v/>
      </c>
      <c r="AA38" s="394" t="str">
        <f>IF($B37="","",IF(Penalties!$AM38=AA$2,1,""))</f>
        <v/>
      </c>
      <c r="AB38" s="394" t="str">
        <f>IF($B37="","",IF(Penalties!$AM38=AB$2,1,""))</f>
        <v/>
      </c>
      <c r="AC38" s="394" t="str">
        <f>IF($B37="","",IF(Penalties!$AM38=AC$2,1,""))</f>
        <v/>
      </c>
      <c r="AD38" s="394" t="str">
        <f>IF($B37="","",IF(Penalties!$AM38=AD$2,1,""))</f>
        <v/>
      </c>
      <c r="AE38" s="394" t="str">
        <f>IF($B37="","",IF(Penalties!$AM38=AE$2,1,""))</f>
        <v/>
      </c>
      <c r="AF38" s="394" t="str">
        <f>IF($B37="","",IF(Penalties!$AM38=AF$2,1,""))</f>
        <v/>
      </c>
      <c r="AG38" s="394" t="str">
        <f>IF($B37="","",IF(Penalties!$AM38=AG$2,1,""))</f>
        <v/>
      </c>
      <c r="AH38" s="394" t="str">
        <f>IF($B37="","",IF(Penalties!$AM38=AH$2,1,""))</f>
        <v/>
      </c>
      <c r="AI38" s="394" t="str">
        <f>IF($B37="","",IF(Penalties!$AM38=AI$2,1,""))</f>
        <v/>
      </c>
      <c r="AJ38" s="396" t="str">
        <f>IF(SUM(X37:AI38)=0, "", IF(SUM(X37:AI37)=1, LOOKUP(1, X37:AI37, $X$2:$AI$2), LOOKUP(1, X38:AI38, $X$2:$AI$2)))</f>
        <v/>
      </c>
      <c r="AK38" s="64"/>
      <c r="AL38" s="64"/>
      <c r="AM38" s="64"/>
      <c r="AN38" s="64"/>
      <c r="AO38" s="64"/>
      <c r="AP38" s="64"/>
      <c r="AQ38" s="64"/>
      <c r="AR38" s="64"/>
      <c r="AS38" s="64"/>
      <c r="AT38" s="64"/>
      <c r="AU38" s="64"/>
      <c r="AV38" s="64"/>
      <c r="AW38" s="64"/>
      <c r="AX38" s="64"/>
    </row>
    <row r="39" spans="1:50" x14ac:dyDescent="0.3">
      <c r="A39" s="1204">
        <f>A37+1</f>
        <v>19</v>
      </c>
      <c r="B39" s="1205" t="str">
        <f>IF(IGRF!B32="","",IGRF!B32)</f>
        <v/>
      </c>
      <c r="C39" s="1206" t="str">
        <f>IF(IGRF!C32="","",IGRF!C32)</f>
        <v/>
      </c>
      <c r="D39" s="381" t="s">
        <v>5</v>
      </c>
      <c r="E39" s="381" t="str">
        <f>IF($B39="","",COUNTIF(Penalties!$B40:$J40,E$2))</f>
        <v/>
      </c>
      <c r="F39" s="381" t="str">
        <f>IF($B39="","",COUNTIF(Penalties!$B40:$J40,F$2))</f>
        <v/>
      </c>
      <c r="G39" s="381" t="str">
        <f>IF($B39="","",COUNTIF(Penalties!$B40:$J40,G$2))</f>
        <v/>
      </c>
      <c r="H39" s="381" t="str">
        <f>IF($B39="","",COUNTIF(Penalties!$B40:$J40,H$2))</f>
        <v/>
      </c>
      <c r="I39" s="381" t="str">
        <f>IF($B39="","",COUNTIF(Penalties!$B40:$J40,I$2))</f>
        <v/>
      </c>
      <c r="J39" s="381" t="str">
        <f>IF($B39="","",COUNTIF(Penalties!$B40:$J40,J$2))</f>
        <v/>
      </c>
      <c r="K39" s="381" t="str">
        <f>IF($B39="","",COUNTIF(Penalties!$B40:$J40,K$2))</f>
        <v/>
      </c>
      <c r="L39" s="381" t="str">
        <f>IF($B39="","",COUNTIF(Penalties!$B40:$J40,L$2))</f>
        <v/>
      </c>
      <c r="M39" s="381" t="str">
        <f>IF($B39="","",COUNTIF(Penalties!$B40:$J40,M$2))</f>
        <v/>
      </c>
      <c r="N39" s="381" t="str">
        <f>IF($B39="","",COUNTIF(Penalties!$B40:$J40,N$2))</f>
        <v/>
      </c>
      <c r="O39" s="381" t="str">
        <f>IF($B39="","",COUNTIF(Penalties!$B40:$J40,O$2))</f>
        <v/>
      </c>
      <c r="P39" s="381" t="str">
        <f>IF($B39="","",COUNTIF(Penalties!$B40:$J40,P$2))</f>
        <v/>
      </c>
      <c r="Q39" s="381" t="str">
        <f>IF($B39="","",COUNTIF(Penalties!$B40:$J40,Q$2))</f>
        <v/>
      </c>
      <c r="R39" s="381" t="str">
        <f>IF($B39="","",COUNTIF(Penalties!$B40:$J40,R$2))</f>
        <v/>
      </c>
      <c r="U39" s="387" t="str">
        <f>IF(B39="","",SUM(E39:T39))</f>
        <v/>
      </c>
      <c r="V39" s="388" t="str">
        <f>IF(B39="","",SUM(E39:T39)*0.5)</f>
        <v/>
      </c>
      <c r="W39" s="389" t="str">
        <f>IF($B39="","",IF(Penalties!$K40=W$2,1,""))</f>
        <v/>
      </c>
      <c r="X39" s="389" t="str">
        <f>IF($B39="","",IF(Penalties!$K40=X$2,1,""))</f>
        <v/>
      </c>
      <c r="Y39" s="389" t="str">
        <f>IF($B39="","",IF(Penalties!$K40=Y$2,1,""))</f>
        <v/>
      </c>
      <c r="Z39" s="389" t="str">
        <f>IF($B39="","",IF(Penalties!$K40=Z$2,1,""))</f>
        <v/>
      </c>
      <c r="AA39" s="389" t="str">
        <f>IF($B39="","",IF(Penalties!$K40=AA$2,1,""))</f>
        <v/>
      </c>
      <c r="AB39" s="389" t="str">
        <f>IF($B39="","",IF(Penalties!$K40=AB$2,1,""))</f>
        <v/>
      </c>
      <c r="AC39" s="389" t="str">
        <f>IF($B39="","",IF(Penalties!$K40=AC$2,1,""))</f>
        <v/>
      </c>
      <c r="AD39" s="389" t="str">
        <f>IF($B39="","",IF(Penalties!$K40=AD$2,1,""))</f>
        <v/>
      </c>
      <c r="AE39" s="389" t="str">
        <f>IF($B39="","",IF(Penalties!$K40=AE$2,1,""))</f>
        <v/>
      </c>
      <c r="AF39" s="389" t="str">
        <f>IF($B39="","",IF(Penalties!$K40=AF$2,1,""))</f>
        <v/>
      </c>
      <c r="AG39" s="389" t="str">
        <f>IF($B39="","",IF(Penalties!$K40=AG$2,1,""))</f>
        <v/>
      </c>
      <c r="AH39" s="389" t="str">
        <f>IF($B39="","",IF(Penalties!$K40=AH$2,1,""))</f>
        <v/>
      </c>
      <c r="AI39" s="389" t="str">
        <f>IF($B39="","",IF(Penalties!$K40=AI$2,1,""))</f>
        <v/>
      </c>
      <c r="AJ39" s="390"/>
      <c r="AK39" s="64"/>
      <c r="AL39" s="64"/>
      <c r="AM39" s="64"/>
      <c r="AN39" s="64"/>
      <c r="AO39" s="64"/>
      <c r="AP39" s="64"/>
      <c r="AQ39" s="64"/>
      <c r="AR39" s="64"/>
      <c r="AS39" s="64"/>
      <c r="AT39" s="64"/>
      <c r="AU39" s="64"/>
      <c r="AV39" s="64"/>
      <c r="AW39" s="64"/>
      <c r="AX39" s="64"/>
    </row>
    <row r="40" spans="1:50" x14ac:dyDescent="0.3">
      <c r="A40" s="1204"/>
      <c r="B40" s="1205"/>
      <c r="C40" s="1206"/>
      <c r="D40" s="381" t="s">
        <v>21</v>
      </c>
      <c r="E40" s="381" t="str">
        <f>IF($B39="","",COUNTIF(Penalties!$AD40:$AL40,E$2))</f>
        <v/>
      </c>
      <c r="F40" s="381" t="str">
        <f>IF($B39="","",COUNTIF(Penalties!$AD40:$AL40,F$2))</f>
        <v/>
      </c>
      <c r="G40" s="381" t="str">
        <f>IF($B39="","",COUNTIF(Penalties!$AD40:$AL40,G$2))</f>
        <v/>
      </c>
      <c r="H40" s="381" t="str">
        <f>IF($B39="","",COUNTIF(Penalties!$AD40:$AL40,H$2))</f>
        <v/>
      </c>
      <c r="I40" s="381" t="str">
        <f>IF($B39="","",COUNTIF(Penalties!$AD40:$AL40,I$2))</f>
        <v/>
      </c>
      <c r="J40" s="381" t="str">
        <f>IF($B39="","",COUNTIF(Penalties!$AD40:$AL40,J$2))</f>
        <v/>
      </c>
      <c r="K40" s="381" t="str">
        <f>IF($B39="","",COUNTIF(Penalties!$AD40:$AL40,K$2))</f>
        <v/>
      </c>
      <c r="L40" s="381" t="str">
        <f>IF($B39="","",COUNTIF(Penalties!$AD40:$AL40,L$2))</f>
        <v/>
      </c>
      <c r="M40" s="381" t="str">
        <f>IF($B39="","",COUNTIF(Penalties!$AD40:$AL40,M$2))</f>
        <v/>
      </c>
      <c r="N40" s="381" t="str">
        <f>IF($B39="","",COUNTIF(Penalties!$AD40:$AL40,N$2))</f>
        <v/>
      </c>
      <c r="O40" s="381" t="str">
        <f>IF($B39="","",COUNTIF(Penalties!$AD40:$AL40,O$2))</f>
        <v/>
      </c>
      <c r="P40" s="381" t="str">
        <f>IF($B39="","",COUNTIF(Penalties!$AD40:$AL40,P$2))</f>
        <v/>
      </c>
      <c r="Q40" s="381" t="str">
        <f>IF($B39="","",COUNTIF(Penalties!$AD40:$AL40,Q$2))</f>
        <v/>
      </c>
      <c r="R40" s="381" t="str">
        <f>IF($B39="","",COUNTIF(Penalties!$AD40:$AL40,R$2))</f>
        <v/>
      </c>
      <c r="U40" s="387" t="str">
        <f>IF(B39="","",SUM(E40:T40))</f>
        <v/>
      </c>
      <c r="V40" s="388" t="str">
        <f>IF(B39="","",SUM(E40:T40)*0.5)</f>
        <v/>
      </c>
      <c r="W40" s="389" t="str">
        <f>IF($B39="","",IF(Penalties!$AM40=W$2,1,""))</f>
        <v/>
      </c>
      <c r="X40" s="389" t="str">
        <f>IF($B39="","",IF(Penalties!$AM40=X$2,1,""))</f>
        <v/>
      </c>
      <c r="Y40" s="389" t="str">
        <f>IF($B39="","",IF(Penalties!$AM40=Y$2,1,""))</f>
        <v/>
      </c>
      <c r="Z40" s="389" t="str">
        <f>IF($B39="","",IF(Penalties!$AM40=Z$2,1,""))</f>
        <v/>
      </c>
      <c r="AA40" s="389" t="str">
        <f>IF($B39="","",IF(Penalties!$AM40=AA$2,1,""))</f>
        <v/>
      </c>
      <c r="AB40" s="389" t="str">
        <f>IF($B39="","",IF(Penalties!$AM40=AB$2,1,""))</f>
        <v/>
      </c>
      <c r="AC40" s="389" t="str">
        <f>IF($B39="","",IF(Penalties!$AM40=AC$2,1,""))</f>
        <v/>
      </c>
      <c r="AD40" s="389" t="str">
        <f>IF($B39="","",IF(Penalties!$AM40=AD$2,1,""))</f>
        <v/>
      </c>
      <c r="AE40" s="389" t="str">
        <f>IF($B39="","",IF(Penalties!$AM40=AE$2,1,""))</f>
        <v/>
      </c>
      <c r="AF40" s="389" t="str">
        <f>IF($B39="","",IF(Penalties!$AM40=AF$2,1,""))</f>
        <v/>
      </c>
      <c r="AG40" s="389" t="str">
        <f>IF($B39="","",IF(Penalties!$AM40=AG$2,1,""))</f>
        <v/>
      </c>
      <c r="AH40" s="389" t="str">
        <f>IF($B39="","",IF(Penalties!$AM40=AH$2,1,""))</f>
        <v/>
      </c>
      <c r="AI40" s="389" t="str">
        <f>IF($B39="","",IF(Penalties!$AM40=AI$2,1,""))</f>
        <v/>
      </c>
      <c r="AJ40" s="391" t="str">
        <f>IF(SUM(X39:AI40)=0, "", IF(SUM(X39:AI39)=1, LOOKUP(1, X39:AI39, $X$2:$AI$2), LOOKUP(1, X40:AI40, $X$2:$AI$2)))</f>
        <v/>
      </c>
      <c r="AK40" s="64"/>
      <c r="AL40" s="64"/>
      <c r="AM40" s="64"/>
      <c r="AN40" s="64"/>
      <c r="AO40" s="64"/>
      <c r="AP40" s="64"/>
      <c r="AQ40" s="64"/>
      <c r="AR40" s="64"/>
      <c r="AS40" s="64"/>
      <c r="AT40" s="64"/>
      <c r="AU40" s="64"/>
      <c r="AV40" s="64"/>
      <c r="AW40" s="64"/>
      <c r="AX40" s="64"/>
    </row>
    <row r="41" spans="1:50" x14ac:dyDescent="0.3">
      <c r="A41" s="1201">
        <f>A39+1</f>
        <v>20</v>
      </c>
      <c r="B41" s="1202" t="str">
        <f>IF(IGRF!B33="","",IGRF!B33)</f>
        <v/>
      </c>
      <c r="C41" s="1203" t="str">
        <f>IF(IGRF!C33="","",IGRF!C33)</f>
        <v/>
      </c>
      <c r="D41" s="382" t="s">
        <v>5</v>
      </c>
      <c r="E41" s="382" t="str">
        <f>IF($B41="","",COUNTIF(Penalties!$B42:$J42,E$2))</f>
        <v/>
      </c>
      <c r="F41" s="382" t="str">
        <f>IF($B41="","",COUNTIF(Penalties!$B42:$J42,F$2))</f>
        <v/>
      </c>
      <c r="G41" s="382" t="str">
        <f>IF($B41="","",COUNTIF(Penalties!$B42:$J42,G$2))</f>
        <v/>
      </c>
      <c r="H41" s="382" t="str">
        <f>IF($B41="","",COUNTIF(Penalties!$B42:$J42,H$2))</f>
        <v/>
      </c>
      <c r="I41" s="382" t="str">
        <f>IF($B41="","",COUNTIF(Penalties!$B42:$J42,I$2))</f>
        <v/>
      </c>
      <c r="J41" s="382" t="str">
        <f>IF($B41="","",COUNTIF(Penalties!$B42:$J42,J$2))</f>
        <v/>
      </c>
      <c r="K41" s="382" t="str">
        <f>IF($B41="","",COUNTIF(Penalties!$B42:$J42,K$2))</f>
        <v/>
      </c>
      <c r="L41" s="382" t="str">
        <f>IF($B41="","",COUNTIF(Penalties!$B42:$J42,L$2))</f>
        <v/>
      </c>
      <c r="M41" s="382" t="str">
        <f>IF($B41="","",COUNTIF(Penalties!$B42:$J42,M$2))</f>
        <v/>
      </c>
      <c r="N41" s="382" t="str">
        <f>IF($B41="","",COUNTIF(Penalties!$B42:$J42,N$2))</f>
        <v/>
      </c>
      <c r="O41" s="382" t="str">
        <f>IF($B41="","",COUNTIF(Penalties!$B42:$J42,O$2))</f>
        <v/>
      </c>
      <c r="P41" s="382" t="str">
        <f>IF($B41="","",COUNTIF(Penalties!$B42:$J42,P$2))</f>
        <v/>
      </c>
      <c r="Q41" s="382" t="str">
        <f>IF($B41="","",COUNTIF(Penalties!$B42:$J42,Q$2))</f>
        <v/>
      </c>
      <c r="R41" s="382" t="str">
        <f>IF($B41="","",COUNTIF(Penalties!$B42:$J42,R$2))</f>
        <v/>
      </c>
      <c r="S41" s="382"/>
      <c r="T41" s="382"/>
      <c r="U41" s="392" t="str">
        <f>IF(B41="","",SUM(E41:T41))</f>
        <v/>
      </c>
      <c r="V41" s="393" t="str">
        <f>IF(B41="","",SUM(E41:T41)*0.5)</f>
        <v/>
      </c>
      <c r="W41" s="394" t="str">
        <f>IF($B41="","",IF(Penalties!$K42=W$2,1,""))</f>
        <v/>
      </c>
      <c r="X41" s="394" t="str">
        <f>IF($B41="","",IF(Penalties!$K42=X$2,1,""))</f>
        <v/>
      </c>
      <c r="Y41" s="394" t="str">
        <f>IF($B41="","",IF(Penalties!$K42=Y$2,1,""))</f>
        <v/>
      </c>
      <c r="Z41" s="394" t="str">
        <f>IF($B41="","",IF(Penalties!$K42=Z$2,1,""))</f>
        <v/>
      </c>
      <c r="AA41" s="394" t="str">
        <f>IF($B41="","",IF(Penalties!$K42=AA$2,1,""))</f>
        <v/>
      </c>
      <c r="AB41" s="394" t="str">
        <f>IF($B41="","",IF(Penalties!$K42=AB$2,1,""))</f>
        <v/>
      </c>
      <c r="AC41" s="394" t="str">
        <f>IF($B41="","",IF(Penalties!$K42=AC$2,1,""))</f>
        <v/>
      </c>
      <c r="AD41" s="394" t="str">
        <f>IF($B41="","",IF(Penalties!$K42=AD$2,1,""))</f>
        <v/>
      </c>
      <c r="AE41" s="394" t="str">
        <f>IF($B41="","",IF(Penalties!$K42=AE$2,1,""))</f>
        <v/>
      </c>
      <c r="AF41" s="394" t="str">
        <f>IF($B41="","",IF(Penalties!$K42=AF$2,1,""))</f>
        <v/>
      </c>
      <c r="AG41" s="394" t="str">
        <f>IF($B41="","",IF(Penalties!$K42=AG$2,1,""))</f>
        <v/>
      </c>
      <c r="AH41" s="394" t="str">
        <f>IF($B41="","",IF(Penalties!$K42=AH$2,1,""))</f>
        <v/>
      </c>
      <c r="AI41" s="394" t="str">
        <f>IF($B41="","",IF(Penalties!$K42=AI$2,1,""))</f>
        <v/>
      </c>
      <c r="AJ41" s="395"/>
      <c r="AK41" s="64"/>
      <c r="AL41" s="64"/>
      <c r="AM41" s="64"/>
      <c r="AN41" s="64"/>
      <c r="AO41" s="64"/>
      <c r="AP41" s="64"/>
      <c r="AQ41" s="64"/>
      <c r="AR41" s="64"/>
      <c r="AS41" s="64"/>
      <c r="AT41" s="64"/>
      <c r="AU41" s="64"/>
      <c r="AV41" s="64"/>
      <c r="AW41" s="64"/>
      <c r="AX41" s="64"/>
    </row>
    <row r="42" spans="1:50" ht="12.75" customHeight="1" thickBot="1" x14ac:dyDescent="0.35">
      <c r="A42" s="1201"/>
      <c r="B42" s="1202"/>
      <c r="C42" s="1203"/>
      <c r="D42" s="382" t="s">
        <v>21</v>
      </c>
      <c r="E42" s="382" t="str">
        <f>IF($B41="","",COUNTIF(Penalties!$AD42:$AL42,E$2))</f>
        <v/>
      </c>
      <c r="F42" s="382" t="str">
        <f>IF($B41="","",COUNTIF(Penalties!$AD42:$AL42,F$2))</f>
        <v/>
      </c>
      <c r="G42" s="382" t="str">
        <f>IF($B41="","",COUNTIF(Penalties!$AD42:$AL42,G$2))</f>
        <v/>
      </c>
      <c r="H42" s="382" t="str">
        <f>IF($B41="","",COUNTIF(Penalties!$AD42:$AL42,H$2))</f>
        <v/>
      </c>
      <c r="I42" s="382" t="str">
        <f>IF($B41="","",COUNTIF(Penalties!$AD42:$AL42,I$2))</f>
        <v/>
      </c>
      <c r="J42" s="382" t="str">
        <f>IF($B41="","",COUNTIF(Penalties!$AD42:$AL42,J$2))</f>
        <v/>
      </c>
      <c r="K42" s="382" t="str">
        <f>IF($B41="","",COUNTIF(Penalties!$AD42:$AL42,K$2))</f>
        <v/>
      </c>
      <c r="L42" s="382" t="str">
        <f>IF($B41="","",COUNTIF(Penalties!$AD42:$AL42,L$2))</f>
        <v/>
      </c>
      <c r="M42" s="382" t="str">
        <f>IF($B41="","",COUNTIF(Penalties!$AD42:$AL42,M$2))</f>
        <v/>
      </c>
      <c r="N42" s="382" t="str">
        <f>IF($B41="","",COUNTIF(Penalties!$AD42:$AL42,N$2))</f>
        <v/>
      </c>
      <c r="O42" s="382" t="str">
        <f>IF($B41="","",COUNTIF(Penalties!$AD42:$AL42,O$2))</f>
        <v/>
      </c>
      <c r="P42" s="382" t="str">
        <f>IF($B41="","",COUNTIF(Penalties!$AD42:$AL42,P$2))</f>
        <v/>
      </c>
      <c r="Q42" s="382" t="str">
        <f>IF($B41="","",COUNTIF(Penalties!$AD42:$AL42,Q$2))</f>
        <v/>
      </c>
      <c r="R42" s="382" t="str">
        <f>IF($B41="","",COUNTIF(Penalties!$AD42:$AL42,R$2))</f>
        <v/>
      </c>
      <c r="S42" s="382"/>
      <c r="T42" s="382"/>
      <c r="U42" s="392" t="str">
        <f>IF(B41="","",SUM(E42:T42))</f>
        <v/>
      </c>
      <c r="V42" s="393" t="str">
        <f>IF(B41="","",SUM(E42:T42)*0.5)</f>
        <v/>
      </c>
      <c r="W42" s="394" t="str">
        <f>IF($B41="","",IF(Penalties!$AM42=W$2,1,""))</f>
        <v/>
      </c>
      <c r="X42" s="394" t="str">
        <f>IF($B41="","",IF(Penalties!$AM42=X$2,1,""))</f>
        <v/>
      </c>
      <c r="Y42" s="394" t="str">
        <f>IF($B41="","",IF(Penalties!$AM42=Y$2,1,""))</f>
        <v/>
      </c>
      <c r="Z42" s="394" t="str">
        <f>IF($B41="","",IF(Penalties!$AM42=Z$2,1,""))</f>
        <v/>
      </c>
      <c r="AA42" s="394" t="str">
        <f>IF($B41="","",IF(Penalties!$AM42=AA$2,1,""))</f>
        <v/>
      </c>
      <c r="AB42" s="394" t="str">
        <f>IF($B41="","",IF(Penalties!$AM42=AB$2,1,""))</f>
        <v/>
      </c>
      <c r="AC42" s="394" t="str">
        <f>IF($B41="","",IF(Penalties!$AM42=AC$2,1,""))</f>
        <v/>
      </c>
      <c r="AD42" s="394" t="str">
        <f>IF($B41="","",IF(Penalties!$AM42=AD$2,1,""))</f>
        <v/>
      </c>
      <c r="AE42" s="394" t="str">
        <f>IF($B41="","",IF(Penalties!$AM42=AE$2,1,""))</f>
        <v/>
      </c>
      <c r="AF42" s="394" t="str">
        <f>IF($B41="","",IF(Penalties!$AM42=AF$2,1,""))</f>
        <v/>
      </c>
      <c r="AG42" s="394" t="str">
        <f>IF($B41="","",IF(Penalties!$AM42=AG$2,1,""))</f>
        <v/>
      </c>
      <c r="AH42" s="394" t="str">
        <f>IF($B41="","",IF(Penalties!$AM42=AH$2,1,""))</f>
        <v/>
      </c>
      <c r="AI42" s="394" t="str">
        <f>IF($B41="","",IF(Penalties!$AM42=AI$2,1,""))</f>
        <v/>
      </c>
      <c r="AJ42" s="397" t="str">
        <f>IF(SUM(X41:AI42)=0, "", IF(SUM(X41:AI41)=1, LOOKUP(1, X41:AI41, $X$2:$AI$2), LOOKUP(1, X42:AI42, $X$2:$AI$2)))</f>
        <v/>
      </c>
      <c r="AK42" s="64"/>
      <c r="AL42" s="64"/>
      <c r="AM42" s="64"/>
      <c r="AN42" s="64"/>
      <c r="AO42" s="64"/>
      <c r="AP42" s="64"/>
      <c r="AQ42" s="64"/>
      <c r="AR42" s="64"/>
      <c r="AS42" s="64"/>
      <c r="AT42" s="64"/>
      <c r="AU42" s="64"/>
      <c r="AV42" s="64"/>
      <c r="AW42" s="64"/>
      <c r="AX42" s="64"/>
    </row>
    <row r="43" spans="1:50" ht="12.75" customHeight="1" x14ac:dyDescent="0.3">
      <c r="A43" s="1209" t="s">
        <v>278</v>
      </c>
      <c r="B43" s="1209"/>
      <c r="C43" s="1209"/>
      <c r="D43" s="398" t="s">
        <v>5</v>
      </c>
      <c r="E43" s="399"/>
      <c r="F43" s="399"/>
      <c r="G43" s="399"/>
      <c r="H43" s="399"/>
      <c r="I43" s="399"/>
      <c r="J43" s="399"/>
      <c r="K43" s="399"/>
      <c r="L43" s="399"/>
      <c r="M43" s="399"/>
      <c r="N43" s="399"/>
      <c r="O43" s="399"/>
      <c r="P43" s="399"/>
      <c r="Q43" s="399"/>
      <c r="R43" s="399"/>
      <c r="S43" s="399"/>
      <c r="T43" s="399"/>
      <c r="U43" s="392"/>
      <c r="V43" s="393"/>
      <c r="W43" s="389" t="str">
        <f>IF(Penalties!$C44=W$2,1,"")</f>
        <v/>
      </c>
      <c r="X43" s="389" t="str">
        <f>IF(Penalties!$C44=X$2,1,"")</f>
        <v/>
      </c>
      <c r="Y43" s="389" t="str">
        <f>IF(Penalties!$C44=Y$2,1,"")</f>
        <v/>
      </c>
      <c r="Z43" s="389" t="str">
        <f>IF(Penalties!$C44=Z$2,1,"")</f>
        <v/>
      </c>
      <c r="AA43" s="389" t="str">
        <f>IF(Penalties!$C44=AA$2,1,"")</f>
        <v/>
      </c>
      <c r="AB43" s="389" t="str">
        <f>IF(Penalties!$C44=AB$2,1,"")</f>
        <v/>
      </c>
      <c r="AC43" s="389" t="str">
        <f>IF(Penalties!$C44=AC$2,1,"")</f>
        <v/>
      </c>
      <c r="AD43" s="389" t="str">
        <f>IF(Penalties!$C44=AD$2,1,"")</f>
        <v/>
      </c>
      <c r="AE43" s="389" t="str">
        <f>IF(Penalties!$C44=AE$2,1,"")</f>
        <v/>
      </c>
      <c r="AF43" s="389" t="str">
        <f>IF(Penalties!$C44=AF$2,1,"")</f>
        <v/>
      </c>
      <c r="AG43" s="389" t="str">
        <f>IF(Penalties!$C44=AG$2,1,"")</f>
        <v/>
      </c>
      <c r="AH43" s="389" t="str">
        <f>IF(Penalties!$C44=AH$2,1,"")</f>
        <v/>
      </c>
      <c r="AI43" s="389" t="str">
        <f>IF(Penalties!$C44=AI$2,1,"")</f>
        <v/>
      </c>
      <c r="AJ43" s="390"/>
      <c r="AK43" s="64"/>
      <c r="AL43" s="64"/>
      <c r="AM43" s="64"/>
      <c r="AN43" s="64"/>
      <c r="AO43" s="64"/>
      <c r="AP43" s="64"/>
      <c r="AQ43" s="64"/>
      <c r="AR43" s="64"/>
      <c r="AS43" s="64"/>
      <c r="AT43" s="64"/>
      <c r="AU43" s="64"/>
      <c r="AV43" s="64"/>
      <c r="AW43" s="64"/>
      <c r="AX43" s="64"/>
    </row>
    <row r="44" spans="1:50" ht="12.75" customHeight="1" x14ac:dyDescent="0.3">
      <c r="A44" s="1209"/>
      <c r="B44" s="1209"/>
      <c r="C44" s="1209"/>
      <c r="D44" s="398" t="s">
        <v>21</v>
      </c>
      <c r="E44" s="399"/>
      <c r="F44" s="399"/>
      <c r="G44" s="399"/>
      <c r="H44" s="399"/>
      <c r="I44" s="399"/>
      <c r="J44" s="399"/>
      <c r="K44" s="399"/>
      <c r="L44" s="399"/>
      <c r="M44" s="399"/>
      <c r="N44" s="399"/>
      <c r="O44" s="399"/>
      <c r="P44" s="399"/>
      <c r="Q44" s="399"/>
      <c r="R44" s="399"/>
      <c r="S44" s="399"/>
      <c r="T44" s="399"/>
      <c r="U44" s="392"/>
      <c r="V44" s="393"/>
      <c r="W44" s="389" t="str">
        <f>IF(Penalties!$AE44=W$2,1,"")</f>
        <v/>
      </c>
      <c r="X44" s="389" t="str">
        <f>IF(Penalties!$AE44=X$2,1,"")</f>
        <v/>
      </c>
      <c r="Y44" s="389" t="str">
        <f>IF(Penalties!$AE44=Y$2,1,"")</f>
        <v/>
      </c>
      <c r="Z44" s="389" t="str">
        <f>IF(Penalties!$AE44=Z$2,1,"")</f>
        <v/>
      </c>
      <c r="AA44" s="389" t="str">
        <f>IF(Penalties!$AE44=AA$2,1,"")</f>
        <v/>
      </c>
      <c r="AB44" s="389" t="str">
        <f>IF(Penalties!$AE44=AB$2,1,"")</f>
        <v/>
      </c>
      <c r="AC44" s="389" t="str">
        <f>IF(Penalties!$AE44=AC$2,1,"")</f>
        <v/>
      </c>
      <c r="AD44" s="389" t="str">
        <f>IF(Penalties!$AE44=AD$2,1,"")</f>
        <v/>
      </c>
      <c r="AE44" s="389" t="str">
        <f>IF(Penalties!$AE44=AE$2,1,"")</f>
        <v/>
      </c>
      <c r="AF44" s="389" t="str">
        <f>IF(Penalties!$AE44=AF$2,1,"")</f>
        <v/>
      </c>
      <c r="AG44" s="389" t="str">
        <f>IF(Penalties!$AE44=AG$2,1,"")</f>
        <v/>
      </c>
      <c r="AH44" s="389" t="str">
        <f>IF(Penalties!$AE44=AH$2,1,"")</f>
        <v/>
      </c>
      <c r="AI44" s="389" t="str">
        <f>IF(Penalties!$AE44=AI$2,1,"")</f>
        <v/>
      </c>
      <c r="AJ44" s="391" t="str">
        <f>IF(SUM(X43:AI44)=0, "", IF(SUM(X43:AI43)=1, LOOKUP(1, X43:AI43, $X$2:$AI$2), LOOKUP(1, X44:AI44, $X$2:$AI$2)))</f>
        <v/>
      </c>
      <c r="AK44" s="64"/>
      <c r="AL44" s="64"/>
      <c r="AM44" s="64"/>
      <c r="AN44" s="64"/>
      <c r="AO44" s="64"/>
      <c r="AP44" s="64"/>
      <c r="AQ44" s="64"/>
      <c r="AR44" s="64"/>
      <c r="AS44" s="64"/>
      <c r="AT44" s="64"/>
      <c r="AU44" s="64"/>
      <c r="AV44" s="64"/>
      <c r="AW44" s="64"/>
      <c r="AX44" s="64"/>
    </row>
    <row r="45" spans="1:50" ht="12.75" customHeight="1" x14ac:dyDescent="0.3">
      <c r="A45" s="1210" t="s">
        <v>278</v>
      </c>
      <c r="B45" s="1210"/>
      <c r="C45" s="1210"/>
      <c r="D45" s="382" t="s">
        <v>5</v>
      </c>
      <c r="E45" s="399"/>
      <c r="F45" s="399"/>
      <c r="G45" s="399"/>
      <c r="H45" s="399"/>
      <c r="I45" s="399"/>
      <c r="J45" s="399"/>
      <c r="K45" s="399"/>
      <c r="L45" s="399"/>
      <c r="M45" s="399"/>
      <c r="N45" s="399"/>
      <c r="O45" s="399"/>
      <c r="P45" s="399"/>
      <c r="Q45" s="399"/>
      <c r="R45" s="399"/>
      <c r="S45" s="399"/>
      <c r="T45" s="399"/>
      <c r="U45" s="392"/>
      <c r="V45" s="393"/>
      <c r="W45" s="394" t="str">
        <f>IF(Penalties!$D44=W$2,1,"")</f>
        <v/>
      </c>
      <c r="X45" s="394" t="str">
        <f>IF(Penalties!$D44=X$2,1,"")</f>
        <v/>
      </c>
      <c r="Y45" s="394" t="str">
        <f>IF(Penalties!$D44=Y$2,1,"")</f>
        <v/>
      </c>
      <c r="Z45" s="394" t="str">
        <f>IF(Penalties!$D44=Z$2,1,"")</f>
        <v/>
      </c>
      <c r="AA45" s="394" t="str">
        <f>IF(Penalties!$D44=AA$2,1,"")</f>
        <v/>
      </c>
      <c r="AB45" s="394" t="str">
        <f>IF(Penalties!$D44=AB$2,1,"")</f>
        <v/>
      </c>
      <c r="AC45" s="394" t="str">
        <f>IF(Penalties!$D44=AC$2,1,"")</f>
        <v/>
      </c>
      <c r="AD45" s="394" t="str">
        <f>IF(Penalties!$D44=AD$2,1,"")</f>
        <v/>
      </c>
      <c r="AE45" s="394" t="str">
        <f>IF(Penalties!$D44=AE$2,1,"")</f>
        <v/>
      </c>
      <c r="AF45" s="394" t="str">
        <f>IF(Penalties!$D44=AF$2,1,"")</f>
        <v/>
      </c>
      <c r="AG45" s="394" t="str">
        <f>IF(Penalties!$D44=AG$2,1,"")</f>
        <v/>
      </c>
      <c r="AH45" s="394" t="str">
        <f>IF(Penalties!$D44=AH$2,1,"")</f>
        <v/>
      </c>
      <c r="AI45" s="394" t="str">
        <f>IF(Penalties!$D44=AI$2,1,"")</f>
        <v/>
      </c>
      <c r="AJ45" s="395"/>
      <c r="AK45" s="64"/>
      <c r="AL45" s="64"/>
      <c r="AM45" s="64"/>
      <c r="AN45" s="64"/>
      <c r="AO45" s="64"/>
      <c r="AP45" s="64"/>
      <c r="AQ45" s="64"/>
      <c r="AR45" s="64"/>
      <c r="AS45" s="64"/>
      <c r="AT45" s="64"/>
      <c r="AU45" s="64"/>
      <c r="AV45" s="64"/>
      <c r="AW45" s="64"/>
      <c r="AX45" s="64"/>
    </row>
    <row r="46" spans="1:50" ht="12.75" customHeight="1" thickBot="1" x14ac:dyDescent="0.35">
      <c r="A46" s="1210"/>
      <c r="B46" s="1210"/>
      <c r="C46" s="1210"/>
      <c r="D46" s="382" t="s">
        <v>21</v>
      </c>
      <c r="E46" s="399"/>
      <c r="F46" s="399"/>
      <c r="G46" s="399"/>
      <c r="H46" s="399"/>
      <c r="I46" s="399"/>
      <c r="J46" s="399"/>
      <c r="K46" s="399"/>
      <c r="L46" s="399"/>
      <c r="M46" s="399"/>
      <c r="N46" s="399"/>
      <c r="O46" s="399"/>
      <c r="P46" s="399"/>
      <c r="Q46" s="399"/>
      <c r="R46" s="399"/>
      <c r="S46" s="399"/>
      <c r="T46" s="399"/>
      <c r="U46" s="392"/>
      <c r="V46" s="393"/>
      <c r="W46" s="394" t="str">
        <f>IF(Penalties!$AF44=W$2,1,"")</f>
        <v/>
      </c>
      <c r="X46" s="394" t="str">
        <f>IF(Penalties!$AF44=X$2,1,"")</f>
        <v/>
      </c>
      <c r="Y46" s="394" t="str">
        <f>IF(Penalties!$AF44=Y$2,1,"")</f>
        <v/>
      </c>
      <c r="Z46" s="394" t="str">
        <f>IF(Penalties!$AF44=Z$2,1,"")</f>
        <v/>
      </c>
      <c r="AA46" s="394" t="str">
        <f>IF(Penalties!$AF44=AA$2,1,"")</f>
        <v/>
      </c>
      <c r="AB46" s="394" t="str">
        <f>IF(Penalties!$AF44=AB$2,1,"")</f>
        <v/>
      </c>
      <c r="AC46" s="394" t="str">
        <f>IF(Penalties!$AF44=AC$2,1,"")</f>
        <v/>
      </c>
      <c r="AD46" s="394" t="str">
        <f>IF(Penalties!$AF44=AD$2,1,"")</f>
        <v/>
      </c>
      <c r="AE46" s="394" t="str">
        <f>IF(Penalties!$AF44=AE$2,1,"")</f>
        <v/>
      </c>
      <c r="AF46" s="394" t="str">
        <f>IF(Penalties!$AF44=AF$2,1,"")</f>
        <v/>
      </c>
      <c r="AG46" s="394" t="str">
        <f>IF(Penalties!$AF44=AG$2,1,"")</f>
        <v/>
      </c>
      <c r="AH46" s="394" t="str">
        <f>IF(Penalties!$AF44=AH$2,1,"")</f>
        <v/>
      </c>
      <c r="AI46" s="394" t="str">
        <f>IF(Penalties!$AF44=AI$2,1,"")</f>
        <v/>
      </c>
      <c r="AJ46" s="397" t="str">
        <f>IF(SUM(X45:AI46)=0, "", IF(SUM(X45:AI45)=1, LOOKUP(1, X45:AI45, $X$2:$AI$2), LOOKUP(1, X46:AI46, $X$2:$AI$2)))</f>
        <v/>
      </c>
      <c r="AK46" s="64"/>
      <c r="AL46" s="64"/>
      <c r="AM46" s="64"/>
      <c r="AN46" s="64"/>
      <c r="AO46" s="64"/>
      <c r="AP46" s="64"/>
      <c r="AQ46" s="64"/>
      <c r="AR46" s="64"/>
      <c r="AS46" s="64"/>
      <c r="AT46" s="64"/>
      <c r="AU46" s="64"/>
      <c r="AV46" s="64"/>
      <c r="AW46" s="64"/>
      <c r="AX46" s="64"/>
    </row>
    <row r="47" spans="1:50" ht="12.75" customHeight="1" x14ac:dyDescent="0.3">
      <c r="A47" s="1211" t="s">
        <v>6</v>
      </c>
      <c r="B47" s="1211"/>
      <c r="C47" s="1211" t="s">
        <v>26</v>
      </c>
      <c r="D47" s="400" t="s">
        <v>5</v>
      </c>
      <c r="E47" s="400">
        <f t="shared" ref="E47:AG48" si="0">SUM(E3,E5,E7,E9,E11,E13,E15,E17,E19,E21,E23,E25,E27,E29,E31,E33,E35,E37,E39,E41)</f>
        <v>1</v>
      </c>
      <c r="F47" s="400">
        <f t="shared" si="0"/>
        <v>1</v>
      </c>
      <c r="G47" s="400">
        <f t="shared" si="0"/>
        <v>1</v>
      </c>
      <c r="H47" s="400">
        <f t="shared" si="0"/>
        <v>0</v>
      </c>
      <c r="I47" s="400">
        <f t="shared" si="0"/>
        <v>0</v>
      </c>
      <c r="J47" s="400">
        <f t="shared" si="0"/>
        <v>5</v>
      </c>
      <c r="K47" s="400">
        <f t="shared" si="0"/>
        <v>0</v>
      </c>
      <c r="L47" s="400">
        <f t="shared" si="0"/>
        <v>0</v>
      </c>
      <c r="M47" s="400">
        <f t="shared" si="0"/>
        <v>0</v>
      </c>
      <c r="N47" s="400">
        <f t="shared" si="0"/>
        <v>1</v>
      </c>
      <c r="O47" s="400">
        <f t="shared" si="0"/>
        <v>0</v>
      </c>
      <c r="P47" s="400">
        <f t="shared" si="0"/>
        <v>3</v>
      </c>
      <c r="Q47" s="400">
        <f t="shared" si="0"/>
        <v>0</v>
      </c>
      <c r="R47" s="400">
        <f>SUM(R3,R5,R7,R9,R11,R13,R15,R17,R19,R21,R23,R25,R27,R29,R31,R33,R35,R37,R39,R41)</f>
        <v>0</v>
      </c>
      <c r="S47" s="400">
        <f t="shared" si="0"/>
        <v>0</v>
      </c>
      <c r="T47" s="400">
        <f t="shared" si="0"/>
        <v>0</v>
      </c>
      <c r="U47" s="385">
        <f t="shared" si="0"/>
        <v>12</v>
      </c>
      <c r="V47" s="401">
        <f t="shared" si="0"/>
        <v>6</v>
      </c>
      <c r="W47" s="402">
        <f t="shared" si="0"/>
        <v>0</v>
      </c>
      <c r="X47" s="402">
        <f t="shared" si="0"/>
        <v>0</v>
      </c>
      <c r="Y47" s="402">
        <f t="shared" si="0"/>
        <v>0</v>
      </c>
      <c r="Z47" s="402">
        <f t="shared" si="0"/>
        <v>0</v>
      </c>
      <c r="AA47" s="402">
        <f t="shared" si="0"/>
        <v>0</v>
      </c>
      <c r="AB47" s="402">
        <f t="shared" si="0"/>
        <v>0</v>
      </c>
      <c r="AC47" s="402">
        <f t="shared" si="0"/>
        <v>0</v>
      </c>
      <c r="AD47" s="402">
        <f t="shared" si="0"/>
        <v>0</v>
      </c>
      <c r="AE47" s="402">
        <f t="shared" si="0"/>
        <v>0</v>
      </c>
      <c r="AF47" s="402">
        <f t="shared" si="0"/>
        <v>0</v>
      </c>
      <c r="AG47" s="402">
        <f t="shared" si="0"/>
        <v>0</v>
      </c>
      <c r="AH47" s="402">
        <f>SUM(AH3,AH5,AH7,AH9,AH11,AH13,AH15,AH17,AH19,AH21,AH23,AH25,AH27,AH29,AH31,AH33,AH35,AH37,AH39,AH41,AH43,AH45)</f>
        <v>0</v>
      </c>
      <c r="AI47" s="402">
        <f>SUM(AI3,AI5,AI7,AI9,AI11,AI13,AI15,AI17,AI19,AI21,AI23,AI25,AI27,AI29,AI31,AI33,AI35,AI37,AI39,AI41,AI43,AI45)</f>
        <v>0</v>
      </c>
      <c r="AJ47" s="403"/>
      <c r="AN47" s="64"/>
      <c r="AO47" s="64"/>
      <c r="AP47" s="64"/>
      <c r="AQ47" s="64"/>
      <c r="AR47" s="64"/>
      <c r="AS47" s="64"/>
      <c r="AT47" s="64"/>
      <c r="AU47" s="64"/>
      <c r="AV47" s="64"/>
      <c r="AW47" s="64"/>
      <c r="AX47" s="64"/>
    </row>
    <row r="48" spans="1:50" x14ac:dyDescent="0.3">
      <c r="A48" s="1211"/>
      <c r="B48" s="1211"/>
      <c r="C48" s="1211"/>
      <c r="D48" s="400" t="s">
        <v>21</v>
      </c>
      <c r="E48" s="400">
        <f t="shared" si="0"/>
        <v>0</v>
      </c>
      <c r="F48" s="400">
        <f t="shared" si="0"/>
        <v>1</v>
      </c>
      <c r="G48" s="400">
        <f t="shared" si="0"/>
        <v>0</v>
      </c>
      <c r="H48" s="400">
        <f t="shared" si="0"/>
        <v>0</v>
      </c>
      <c r="I48" s="400">
        <f t="shared" si="0"/>
        <v>0</v>
      </c>
      <c r="J48" s="400">
        <f t="shared" si="0"/>
        <v>5</v>
      </c>
      <c r="K48" s="400">
        <f t="shared" si="0"/>
        <v>0</v>
      </c>
      <c r="L48" s="400">
        <f t="shared" si="0"/>
        <v>3</v>
      </c>
      <c r="M48" s="400">
        <f t="shared" si="0"/>
        <v>2</v>
      </c>
      <c r="N48" s="400">
        <f t="shared" si="0"/>
        <v>4</v>
      </c>
      <c r="O48" s="400">
        <f t="shared" si="0"/>
        <v>0</v>
      </c>
      <c r="P48" s="400">
        <f t="shared" si="0"/>
        <v>1</v>
      </c>
      <c r="Q48" s="400">
        <f t="shared" si="0"/>
        <v>0</v>
      </c>
      <c r="R48" s="400">
        <f>SUM(R4,R6,R8,R10,R12,R14,R16,R18,R20,R22,R24,R26,R28,R30,R32,R34,R36,R38,R40,R42)</f>
        <v>0</v>
      </c>
      <c r="S48" s="400">
        <f t="shared" si="0"/>
        <v>0</v>
      </c>
      <c r="T48" s="400">
        <f t="shared" si="0"/>
        <v>0</v>
      </c>
      <c r="U48" s="385">
        <f t="shared" si="0"/>
        <v>16</v>
      </c>
      <c r="V48" s="401">
        <f t="shared" si="0"/>
        <v>8</v>
      </c>
      <c r="W48" s="402">
        <f t="shared" si="0"/>
        <v>0</v>
      </c>
      <c r="X48" s="402">
        <f t="shared" si="0"/>
        <v>0</v>
      </c>
      <c r="Y48" s="402">
        <f t="shared" si="0"/>
        <v>0</v>
      </c>
      <c r="Z48" s="402">
        <f t="shared" si="0"/>
        <v>0</v>
      </c>
      <c r="AA48" s="402">
        <f t="shared" si="0"/>
        <v>0</v>
      </c>
      <c r="AB48" s="402">
        <f t="shared" si="0"/>
        <v>0</v>
      </c>
      <c r="AC48" s="402">
        <f t="shared" si="0"/>
        <v>0</v>
      </c>
      <c r="AD48" s="402">
        <f t="shared" si="0"/>
        <v>0</v>
      </c>
      <c r="AE48" s="402">
        <f t="shared" si="0"/>
        <v>0</v>
      </c>
      <c r="AF48" s="402">
        <f t="shared" si="0"/>
        <v>0</v>
      </c>
      <c r="AG48" s="402">
        <f t="shared" si="0"/>
        <v>0</v>
      </c>
      <c r="AH48" s="402">
        <f>SUM(AH4,AH6,AH8,AH10,AH12,AH14,AH16,AH18,AH20,AH22,AH24,AH26,AH28,AH30,AH32,AH34,AH36,AH38,AH40,AH42,AH44,AH46)</f>
        <v>0</v>
      </c>
      <c r="AI48" s="402">
        <f>SUM(AI4,AI6,AI8,AI10,AI12,AI14,AI16,AI18,AI20,AI22,AI24,AI26,AI28,AI30,AI32,AI34,AI36,AI38,AI40,AI42,AI44,AI46)</f>
        <v>0</v>
      </c>
      <c r="AJ48" s="64"/>
      <c r="AK48" s="64"/>
      <c r="AL48" s="64"/>
      <c r="AM48" s="64"/>
      <c r="AN48" s="64"/>
      <c r="AO48" s="64"/>
      <c r="AP48" s="64"/>
      <c r="AQ48" s="64"/>
      <c r="AR48" s="64"/>
      <c r="AS48" s="64"/>
      <c r="AT48" s="64"/>
      <c r="AU48" s="64"/>
      <c r="AV48" s="64"/>
      <c r="AW48" s="64"/>
      <c r="AX48" s="64"/>
    </row>
    <row r="49" spans="1:50" x14ac:dyDescent="0.3">
      <c r="A49" s="1211"/>
      <c r="B49" s="1211"/>
      <c r="C49" s="1211"/>
      <c r="D49" s="385" t="s">
        <v>7</v>
      </c>
      <c r="E49" s="385">
        <f t="shared" ref="E49:AI49" si="1">SUM(E47,E48)</f>
        <v>1</v>
      </c>
      <c r="F49" s="385">
        <f t="shared" si="1"/>
        <v>2</v>
      </c>
      <c r="G49" s="385">
        <f t="shared" si="1"/>
        <v>1</v>
      </c>
      <c r="H49" s="385">
        <f t="shared" si="1"/>
        <v>0</v>
      </c>
      <c r="I49" s="385">
        <f t="shared" si="1"/>
        <v>0</v>
      </c>
      <c r="J49" s="385">
        <f t="shared" si="1"/>
        <v>10</v>
      </c>
      <c r="K49" s="385">
        <f t="shared" si="1"/>
        <v>0</v>
      </c>
      <c r="L49" s="385">
        <f t="shared" si="1"/>
        <v>3</v>
      </c>
      <c r="M49" s="385">
        <f t="shared" si="1"/>
        <v>2</v>
      </c>
      <c r="N49" s="385">
        <f t="shared" si="1"/>
        <v>5</v>
      </c>
      <c r="O49" s="385">
        <f t="shared" si="1"/>
        <v>0</v>
      </c>
      <c r="P49" s="385">
        <f t="shared" si="1"/>
        <v>4</v>
      </c>
      <c r="Q49" s="385">
        <f t="shared" si="1"/>
        <v>0</v>
      </c>
      <c r="R49" s="385">
        <f>SUM(R47,R48)</f>
        <v>0</v>
      </c>
      <c r="S49" s="385">
        <f t="shared" si="1"/>
        <v>0</v>
      </c>
      <c r="T49" s="385">
        <f t="shared" si="1"/>
        <v>0</v>
      </c>
      <c r="U49" s="404">
        <f t="shared" si="1"/>
        <v>28</v>
      </c>
      <c r="V49" s="405">
        <f t="shared" si="1"/>
        <v>14</v>
      </c>
      <c r="W49" s="402">
        <f t="shared" si="1"/>
        <v>0</v>
      </c>
      <c r="X49" s="402">
        <f t="shared" si="1"/>
        <v>0</v>
      </c>
      <c r="Y49" s="402">
        <f t="shared" si="1"/>
        <v>0</v>
      </c>
      <c r="Z49" s="402">
        <f t="shared" si="1"/>
        <v>0</v>
      </c>
      <c r="AA49" s="402">
        <f t="shared" si="1"/>
        <v>0</v>
      </c>
      <c r="AB49" s="402">
        <f t="shared" si="1"/>
        <v>0</v>
      </c>
      <c r="AC49" s="402">
        <f t="shared" si="1"/>
        <v>0</v>
      </c>
      <c r="AD49" s="402">
        <f t="shared" si="1"/>
        <v>0</v>
      </c>
      <c r="AE49" s="402">
        <f t="shared" si="1"/>
        <v>0</v>
      </c>
      <c r="AF49" s="402">
        <f t="shared" si="1"/>
        <v>0</v>
      </c>
      <c r="AG49" s="402">
        <f t="shared" si="1"/>
        <v>0</v>
      </c>
      <c r="AH49" s="402">
        <f>SUM(AH47,AH48)</f>
        <v>0</v>
      </c>
      <c r="AI49" s="402">
        <f t="shared" si="1"/>
        <v>0</v>
      </c>
      <c r="AJ49" s="64"/>
      <c r="AK49" s="64"/>
      <c r="AL49" s="64"/>
      <c r="AM49" s="64"/>
      <c r="AN49" s="64"/>
      <c r="AO49" s="64"/>
      <c r="AP49" s="64"/>
      <c r="AQ49" s="64"/>
      <c r="AR49" s="64"/>
      <c r="AS49" s="64"/>
      <c r="AT49" s="64"/>
      <c r="AU49" s="64"/>
      <c r="AV49" s="64"/>
      <c r="AW49" s="64"/>
      <c r="AX49" s="64"/>
    </row>
    <row r="53" spans="1:50" ht="14.4" thickBot="1" x14ac:dyDescent="0.35"/>
    <row r="54" spans="1:50" ht="12.75" customHeight="1" x14ac:dyDescent="0.3">
      <c r="E54" s="458" t="s">
        <v>310</v>
      </c>
      <c r="F54" s="459"/>
      <c r="G54" s="460"/>
      <c r="H54" s="460"/>
      <c r="I54" s="460"/>
      <c r="J54" s="383"/>
      <c r="K54" s="383"/>
      <c r="L54" s="383"/>
      <c r="M54" s="383"/>
      <c r="N54" s="383"/>
      <c r="O54" s="383"/>
      <c r="P54" s="383"/>
      <c r="Q54" s="383"/>
      <c r="R54" s="383"/>
      <c r="S54" s="383"/>
      <c r="T54" s="383"/>
      <c r="U54" s="383"/>
      <c r="V54" s="1207" t="s">
        <v>257</v>
      </c>
      <c r="W54" s="1208" t="s">
        <v>170</v>
      </c>
      <c r="X54" s="1208"/>
      <c r="Y54" s="1208"/>
      <c r="Z54" s="1208"/>
      <c r="AA54" s="1208"/>
      <c r="AB54" s="1208"/>
      <c r="AC54" s="1208"/>
      <c r="AD54" s="1208"/>
      <c r="AE54" s="1208"/>
      <c r="AF54" s="1208"/>
      <c r="AG54" s="1208"/>
      <c r="AH54" s="1208"/>
      <c r="AI54" s="1208"/>
      <c r="AJ54" s="1208"/>
      <c r="AK54" s="64"/>
      <c r="AL54" s="64"/>
      <c r="AM54" s="64"/>
      <c r="AN54" s="64"/>
      <c r="AO54" s="64"/>
      <c r="AP54" s="64"/>
      <c r="AQ54" s="64"/>
      <c r="AR54" s="64"/>
      <c r="AS54" s="64"/>
      <c r="AT54" s="64"/>
      <c r="AU54" s="64"/>
      <c r="AV54" s="64"/>
      <c r="AW54" s="64"/>
      <c r="AX54" s="64"/>
    </row>
    <row r="55" spans="1:50" ht="14.4" thickBot="1" x14ac:dyDescent="0.35">
      <c r="A55" s="384" t="s">
        <v>8</v>
      </c>
      <c r="B55" s="384" t="s">
        <v>24</v>
      </c>
      <c r="C55" s="384" t="s">
        <v>25</v>
      </c>
      <c r="D55" s="384"/>
      <c r="E55" s="384" t="s">
        <v>128</v>
      </c>
      <c r="F55" s="384" t="s">
        <v>119</v>
      </c>
      <c r="G55" s="384" t="s">
        <v>111</v>
      </c>
      <c r="H55" s="384" t="s">
        <v>122</v>
      </c>
      <c r="I55" s="384" t="s">
        <v>116</v>
      </c>
      <c r="J55" s="384" t="s">
        <v>117</v>
      </c>
      <c r="K55" s="384" t="s">
        <v>113</v>
      </c>
      <c r="L55" s="384" t="s">
        <v>124</v>
      </c>
      <c r="M55" s="384" t="s">
        <v>115</v>
      </c>
      <c r="N55" s="384" t="s">
        <v>430</v>
      </c>
      <c r="O55" s="384" t="s">
        <v>125</v>
      </c>
      <c r="P55" s="384" t="s">
        <v>114</v>
      </c>
      <c r="Q55" s="384" t="s">
        <v>127</v>
      </c>
      <c r="R55" s="384" t="s">
        <v>121</v>
      </c>
      <c r="S55" s="384"/>
      <c r="T55" s="384"/>
      <c r="U55" s="385" t="s">
        <v>7</v>
      </c>
      <c r="V55" s="1207"/>
      <c r="W55" s="386" t="s">
        <v>277</v>
      </c>
      <c r="X55" s="386" t="s">
        <v>128</v>
      </c>
      <c r="Y55" s="386" t="s">
        <v>119</v>
      </c>
      <c r="Z55" s="386" t="s">
        <v>111</v>
      </c>
      <c r="AA55" s="386" t="s">
        <v>122</v>
      </c>
      <c r="AB55" s="386" t="s">
        <v>116</v>
      </c>
      <c r="AC55" s="386" t="s">
        <v>117</v>
      </c>
      <c r="AD55" s="386" t="s">
        <v>113</v>
      </c>
      <c r="AE55" s="386" t="s">
        <v>124</v>
      </c>
      <c r="AF55" s="386" t="s">
        <v>115</v>
      </c>
      <c r="AG55" s="386" t="s">
        <v>430</v>
      </c>
      <c r="AH55" s="386" t="s">
        <v>125</v>
      </c>
      <c r="AI55" s="386" t="s">
        <v>127</v>
      </c>
      <c r="AJ55" s="386"/>
      <c r="AK55" s="64"/>
      <c r="AL55" s="64"/>
      <c r="AM55" s="64"/>
      <c r="AN55" s="64"/>
      <c r="AO55" s="64"/>
      <c r="AP55" s="64"/>
      <c r="AQ55" s="64"/>
      <c r="AR55" s="64"/>
      <c r="AS55" s="64"/>
      <c r="AT55" s="64"/>
      <c r="AU55" s="64"/>
      <c r="AV55" s="64"/>
      <c r="AW55" s="64"/>
      <c r="AX55" s="64"/>
    </row>
    <row r="56" spans="1:50" x14ac:dyDescent="0.3">
      <c r="A56" s="1204">
        <v>1</v>
      </c>
      <c r="B56" s="1205" t="str">
        <f>IF(IGRF!I14="","",IGRF!I14)</f>
        <v>12</v>
      </c>
      <c r="C56" s="1206" t="str">
        <f>IF(IGRF!J14="","",IGRF!J14)</f>
        <v>Zorra</v>
      </c>
      <c r="D56" s="381" t="s">
        <v>5</v>
      </c>
      <c r="E56" s="381">
        <f>IF($B56="","",COUNTIF(Penalties!$Q4:$Y4,E$55))</f>
        <v>0</v>
      </c>
      <c r="F56" s="381">
        <f>IF($B56="","",COUNTIF(Penalties!$Q4:$Y4,F$55))</f>
        <v>0</v>
      </c>
      <c r="G56" s="381">
        <f>IF($B56="","",COUNTIF(Penalties!$Q4:$Y4,G$55))</f>
        <v>0</v>
      </c>
      <c r="H56" s="381">
        <f>IF($B56="","",COUNTIF(Penalties!$Q4:$Y4,H$55))</f>
        <v>0</v>
      </c>
      <c r="I56" s="381">
        <f>IF($B56="","",COUNTIF(Penalties!$Q4:$Y4,I$55))</f>
        <v>0</v>
      </c>
      <c r="J56" s="381">
        <f>IF($B56="","",COUNTIF(Penalties!$Q4:$Y4,J$55))</f>
        <v>0</v>
      </c>
      <c r="K56" s="381">
        <f>IF($B56="","",COUNTIF(Penalties!$Q4:$Y4,K$55))</f>
        <v>0</v>
      </c>
      <c r="L56" s="381">
        <f>IF($B56="","",COUNTIF(Penalties!$Q4:$Y4,L$55))</f>
        <v>0</v>
      </c>
      <c r="M56" s="381">
        <f>IF($B56="","",COUNTIF(Penalties!$Q4:$Y4,M$55))</f>
        <v>0</v>
      </c>
      <c r="N56" s="381">
        <f>IF($B56="","",COUNTIF(Penalties!$Q4:$Y4,N$55))</f>
        <v>0</v>
      </c>
      <c r="O56" s="381">
        <f>IF($B56="","",COUNTIF(Penalties!$Q4:$Y4,O$55))</f>
        <v>0</v>
      </c>
      <c r="P56" s="381">
        <f>IF($B56="","",COUNTIF(Penalties!$Q4:$Y4,P$55))</f>
        <v>0</v>
      </c>
      <c r="Q56" s="381">
        <f>IF($B56="","",COUNTIF(Penalties!$Q4:$Y4,Q$55))</f>
        <v>0</v>
      </c>
      <c r="R56" s="381">
        <f>IF($B56="","",COUNTIF(Penalties!$Q4:$Y4,R$55))</f>
        <v>0</v>
      </c>
      <c r="U56" s="387">
        <f>IF(B56="","",SUM(E56:T56))</f>
        <v>0</v>
      </c>
      <c r="V56" s="388">
        <f>IF(B56="","",SUM(E56:T56)*0.5)</f>
        <v>0</v>
      </c>
      <c r="W56" s="389" t="str">
        <f>IF($B56="","",IF(Penalties!$Z4=W$55,1,""))</f>
        <v/>
      </c>
      <c r="X56" s="389" t="str">
        <f>IF($B56="","",IF(Penalties!$Z4=X$55,1,""))</f>
        <v/>
      </c>
      <c r="Y56" s="389" t="str">
        <f>IF($B56="","",IF(Penalties!$Z4=Y$55,1,""))</f>
        <v/>
      </c>
      <c r="Z56" s="389" t="str">
        <f>IF($B56="","",IF(Penalties!$Z4=Z$55,1,""))</f>
        <v/>
      </c>
      <c r="AA56" s="389" t="str">
        <f>IF($B56="","",IF(Penalties!$Z4=AA$55,1,""))</f>
        <v/>
      </c>
      <c r="AB56" s="389" t="str">
        <f>IF($B56="","",IF(Penalties!$Z4=AB$55,1,""))</f>
        <v/>
      </c>
      <c r="AC56" s="389" t="str">
        <f>IF($B56="","",IF(Penalties!$Z4=AC$55,1,""))</f>
        <v/>
      </c>
      <c r="AD56" s="389" t="str">
        <f>IF($B56="","",IF(Penalties!$Z4=AD$55,1,""))</f>
        <v/>
      </c>
      <c r="AE56" s="389" t="str">
        <f>IF($B56="","",IF(Penalties!$Z4=AE$55,1,""))</f>
        <v/>
      </c>
      <c r="AF56" s="389" t="str">
        <f>IF($B56="","",IF(Penalties!$Z4=AF$55,1,""))</f>
        <v/>
      </c>
      <c r="AG56" s="389" t="str">
        <f>IF($B56="","",IF(Penalties!$Z4=AG$55,1,""))</f>
        <v/>
      </c>
      <c r="AH56" s="389" t="str">
        <f>IF($B56="","",IF(Penalties!$Z4=AH$55,1,""))</f>
        <v/>
      </c>
      <c r="AI56" s="389" t="str">
        <f>IF($B56="","",IF(Penalties!$Z4=AI$55,1,""))</f>
        <v/>
      </c>
      <c r="AJ56" s="390"/>
      <c r="AK56" s="64"/>
      <c r="AL56" s="64"/>
      <c r="AM56" s="64"/>
      <c r="AN56" s="64"/>
      <c r="AO56" s="64"/>
      <c r="AP56" s="64"/>
      <c r="AQ56" s="64"/>
      <c r="AR56" s="64"/>
      <c r="AS56" s="64"/>
      <c r="AT56" s="64"/>
      <c r="AU56" s="64"/>
      <c r="AV56" s="64"/>
      <c r="AW56" s="64"/>
      <c r="AX56" s="64"/>
    </row>
    <row r="57" spans="1:50" x14ac:dyDescent="0.3">
      <c r="A57" s="1204"/>
      <c r="B57" s="1205"/>
      <c r="C57" s="1206"/>
      <c r="D57" s="381" t="s">
        <v>21</v>
      </c>
      <c r="E57" s="381">
        <f>IF($B56="","",COUNTIF(Penalties!$AS4:$BA4,E$55))</f>
        <v>0</v>
      </c>
      <c r="F57" s="381">
        <f>IF($B56="","",COUNTIF(Penalties!$AS4:$BA4,F$55))</f>
        <v>0</v>
      </c>
      <c r="G57" s="381">
        <f>IF($B56="","",COUNTIF(Penalties!$AS4:$BA4,G$55))</f>
        <v>0</v>
      </c>
      <c r="H57" s="381">
        <f>IF($B56="","",COUNTIF(Penalties!$AS4:$BA4,H$55))</f>
        <v>0</v>
      </c>
      <c r="I57" s="381">
        <f>IF($B56="","",COUNTIF(Penalties!$AS4:$BA4,I$55))</f>
        <v>0</v>
      </c>
      <c r="J57" s="381">
        <f>IF($B56="","",COUNTIF(Penalties!$AS4:$BA4,J$55))</f>
        <v>0</v>
      </c>
      <c r="K57" s="381">
        <f>IF($B56="","",COUNTIF(Penalties!$AS4:$BA4,K$55))</f>
        <v>0</v>
      </c>
      <c r="L57" s="381">
        <f>IF($B56="","",COUNTIF(Penalties!$AS4:$BA4,L$55))</f>
        <v>0</v>
      </c>
      <c r="M57" s="381">
        <f>IF($B56="","",COUNTIF(Penalties!$AS4:$BA4,M$55))</f>
        <v>0</v>
      </c>
      <c r="N57" s="381">
        <f>IF($B56="","",COUNTIF(Penalties!$AS4:$BA4,N$55))</f>
        <v>0</v>
      </c>
      <c r="O57" s="381">
        <f>IF($B56="","",COUNTIF(Penalties!$AS4:$BA4,O$55))</f>
        <v>0</v>
      </c>
      <c r="P57" s="381">
        <f>IF($B56="","",COUNTIF(Penalties!$AS4:$BA4,P$55))</f>
        <v>3</v>
      </c>
      <c r="Q57" s="381">
        <f>IF($B56="","",COUNTIF(Penalties!$AS4:$BA4,Q$55))</f>
        <v>0</v>
      </c>
      <c r="R57" s="381">
        <f>IF($B56="","",COUNTIF(Penalties!$AS4:$BA4,R$55))</f>
        <v>0</v>
      </c>
      <c r="U57" s="387">
        <f>IF(B56="","",SUM(E57:T57))</f>
        <v>3</v>
      </c>
      <c r="V57" s="388">
        <f>IF(B56="","",SUM(E57:T57)*0.5)</f>
        <v>1.5</v>
      </c>
      <c r="W57" s="389" t="str">
        <f>IF($B56="","",IF(Penalties!$BB4=W$55,1,""))</f>
        <v/>
      </c>
      <c r="X57" s="389" t="str">
        <f>IF($B56="","",IF(Penalties!$BB4=X$55,1,""))</f>
        <v/>
      </c>
      <c r="Y57" s="389" t="str">
        <f>IF($B56="","",IF(Penalties!$BB4=Y$55,1,""))</f>
        <v/>
      </c>
      <c r="Z57" s="389" t="str">
        <f>IF($B56="","",IF(Penalties!$BB4=Z$55,1,""))</f>
        <v/>
      </c>
      <c r="AA57" s="389" t="str">
        <f>IF($B56="","",IF(Penalties!$BB4=AA$55,1,""))</f>
        <v/>
      </c>
      <c r="AB57" s="389" t="str">
        <f>IF($B56="","",IF(Penalties!$BB4=AB$55,1,""))</f>
        <v/>
      </c>
      <c r="AC57" s="389" t="str">
        <f>IF($B56="","",IF(Penalties!$BB4=AC$55,1,""))</f>
        <v/>
      </c>
      <c r="AD57" s="389" t="str">
        <f>IF($B56="","",IF(Penalties!$BB4=AD$55,1,""))</f>
        <v/>
      </c>
      <c r="AE57" s="389" t="str">
        <f>IF($B56="","",IF(Penalties!$BB4=AE$55,1,""))</f>
        <v/>
      </c>
      <c r="AF57" s="389" t="str">
        <f>IF($B56="","",IF(Penalties!$BB4=AF$55,1,""))</f>
        <v/>
      </c>
      <c r="AG57" s="389" t="str">
        <f>IF($B56="","",IF(Penalties!$BB4=AG$55,1,""))</f>
        <v/>
      </c>
      <c r="AH57" s="389" t="str">
        <f>IF($B56="","",IF(Penalties!$BB4=AH$55,1,""))</f>
        <v/>
      </c>
      <c r="AI57" s="389" t="str">
        <f>IF($B56="","",IF(Penalties!$BB4=AI$55,1,""))</f>
        <v/>
      </c>
      <c r="AJ57" s="391" t="str">
        <f>IF(SUM(X56:AI57)=0, "", IF(SUM(X56:AI56)=1, LOOKUP(1, X56:AI56, $X$55:$AI$55), LOOKUP(1, X57:AI57, $X$55:$AI$55)))</f>
        <v/>
      </c>
      <c r="AK57" s="64"/>
      <c r="AL57" s="64"/>
      <c r="AM57" s="64"/>
      <c r="AN57" s="64"/>
      <c r="AO57" s="64"/>
      <c r="AP57" s="64"/>
      <c r="AQ57" s="64"/>
      <c r="AR57" s="64"/>
      <c r="AS57" s="64"/>
      <c r="AT57" s="64"/>
      <c r="AU57" s="64"/>
      <c r="AV57" s="64"/>
      <c r="AW57" s="64"/>
      <c r="AX57" s="64"/>
    </row>
    <row r="58" spans="1:50" x14ac:dyDescent="0.3">
      <c r="A58" s="1201">
        <f>A56+1</f>
        <v>2</v>
      </c>
      <c r="B58" s="1202" t="str">
        <f>IF(IGRF!I15="","",IGRF!I15)</f>
        <v>16</v>
      </c>
      <c r="C58" s="1203" t="str">
        <f>IF(IGRF!J15="","",IGRF!J15)</f>
        <v>Dodge n Burn</v>
      </c>
      <c r="D58" s="382" t="s">
        <v>5</v>
      </c>
      <c r="E58" s="382">
        <f>IF($B58="","",COUNTIF(Penalties!$Q6:$Y6,E$55))</f>
        <v>0</v>
      </c>
      <c r="F58" s="382">
        <f>IF($B58="","",COUNTIF(Penalties!$Q6:$Y6,F$55))</f>
        <v>0</v>
      </c>
      <c r="G58" s="382">
        <f>IF($B58="","",COUNTIF(Penalties!$Q6:$Y6,G$55))</f>
        <v>0</v>
      </c>
      <c r="H58" s="382">
        <f>IF($B58="","",COUNTIF(Penalties!$Q6:$Y6,H$55))</f>
        <v>0</v>
      </c>
      <c r="I58" s="382">
        <f>IF($B58="","",COUNTIF(Penalties!$Q6:$Y6,I$55))</f>
        <v>0</v>
      </c>
      <c r="J58" s="382">
        <f>IF($B58="","",COUNTIF(Penalties!$Q6:$Y6,J$55))</f>
        <v>0</v>
      </c>
      <c r="K58" s="382">
        <f>IF($B58="","",COUNTIF(Penalties!$Q6:$Y6,K$55))</f>
        <v>0</v>
      </c>
      <c r="L58" s="382">
        <f>IF($B58="","",COUNTIF(Penalties!$Q6:$Y6,L$55))</f>
        <v>0</v>
      </c>
      <c r="M58" s="382">
        <f>IF($B58="","",COUNTIF(Penalties!$Q6:$Y6,M$55))</f>
        <v>0</v>
      </c>
      <c r="N58" s="382">
        <f>IF($B58="","",COUNTIF(Penalties!$Q6:$Y6,N$55))</f>
        <v>0</v>
      </c>
      <c r="O58" s="382">
        <f>IF($B58="","",COUNTIF(Penalties!$Q6:$Y6,O$55))</f>
        <v>0</v>
      </c>
      <c r="P58" s="382">
        <f>IF($B58="","",COUNTIF(Penalties!$Q6:$Y6,P$55))</f>
        <v>0</v>
      </c>
      <c r="Q58" s="382">
        <f>IF($B58="","",COUNTIF(Penalties!$Q6:$Y6,Q$55))</f>
        <v>0</v>
      </c>
      <c r="R58" s="382">
        <f>IF($B58="","",COUNTIF(Penalties!$Q6:$Y6,R$55))</f>
        <v>0</v>
      </c>
      <c r="S58" s="382"/>
      <c r="T58" s="382"/>
      <c r="U58" s="392">
        <f>IF(B58="","",SUM(E58:T58))</f>
        <v>0</v>
      </c>
      <c r="V58" s="393">
        <f>IF(B58="","",SUM(E58:T58)*0.5)</f>
        <v>0</v>
      </c>
      <c r="W58" s="394" t="str">
        <f>IF($B58="","",IF(Penalties!$Z6=W$55,1,""))</f>
        <v/>
      </c>
      <c r="X58" s="394" t="str">
        <f>IF($B58="","",IF(Penalties!$Z6=X$55,1,""))</f>
        <v/>
      </c>
      <c r="Y58" s="394" t="str">
        <f>IF($B58="","",IF(Penalties!$Z6=Y$55,1,""))</f>
        <v/>
      </c>
      <c r="Z58" s="394" t="str">
        <f>IF($B58="","",IF(Penalties!$Z6=Z$55,1,""))</f>
        <v/>
      </c>
      <c r="AA58" s="394" t="str">
        <f>IF($B58="","",IF(Penalties!$Z6=AA$55,1,""))</f>
        <v/>
      </c>
      <c r="AB58" s="394" t="str">
        <f>IF($B58="","",IF(Penalties!$Z6=AB$55,1,""))</f>
        <v/>
      </c>
      <c r="AC58" s="394" t="str">
        <f>IF($B58="","",IF(Penalties!$Z6=AC$55,1,""))</f>
        <v/>
      </c>
      <c r="AD58" s="394" t="str">
        <f>IF($B58="","",IF(Penalties!$Z6=AD$55,1,""))</f>
        <v/>
      </c>
      <c r="AE58" s="394" t="str">
        <f>IF($B58="","",IF(Penalties!$Z6=AE$55,1,""))</f>
        <v/>
      </c>
      <c r="AF58" s="394" t="str">
        <f>IF($B58="","",IF(Penalties!$Z6=AF$55,1,""))</f>
        <v/>
      </c>
      <c r="AG58" s="394" t="str">
        <f>IF($B58="","",IF(Penalties!$Z6=AG$55,1,""))</f>
        <v/>
      </c>
      <c r="AH58" s="394" t="str">
        <f>IF($B58="","",IF(Penalties!$Z6=AH$55,1,""))</f>
        <v/>
      </c>
      <c r="AI58" s="394" t="str">
        <f>IF($B58="","",IF(Penalties!$Z6=AI$55,1,""))</f>
        <v/>
      </c>
      <c r="AJ58" s="395"/>
      <c r="AK58" s="64"/>
      <c r="AL58" s="64"/>
      <c r="AM58" s="64"/>
      <c r="AN58" s="64"/>
      <c r="AO58" s="64"/>
      <c r="AP58" s="64"/>
      <c r="AQ58" s="64"/>
      <c r="AR58" s="64"/>
      <c r="AS58" s="64"/>
      <c r="AT58" s="64"/>
      <c r="AU58" s="64"/>
      <c r="AV58" s="64"/>
      <c r="AW58" s="64"/>
      <c r="AX58" s="64"/>
    </row>
    <row r="59" spans="1:50" ht="14.4" thickBot="1" x14ac:dyDescent="0.35">
      <c r="A59" s="1201"/>
      <c r="B59" s="1202"/>
      <c r="C59" s="1203"/>
      <c r="D59" s="382" t="s">
        <v>21</v>
      </c>
      <c r="E59" s="382">
        <f>IF($B58="","",COUNTIF(Penalties!$AS6:$BA6,E$55))</f>
        <v>0</v>
      </c>
      <c r="F59" s="382">
        <f>IF($B58="","",COUNTIF(Penalties!$AS6:$BA6,F$55))</f>
        <v>0</v>
      </c>
      <c r="G59" s="382">
        <f>IF($B58="","",COUNTIF(Penalties!$AS6:$BA6,G$55))</f>
        <v>0</v>
      </c>
      <c r="H59" s="382">
        <f>IF($B58="","",COUNTIF(Penalties!$AS6:$BA6,H$55))</f>
        <v>0</v>
      </c>
      <c r="I59" s="382">
        <f>IF($B58="","",COUNTIF(Penalties!$AS6:$BA6,I$55))</f>
        <v>0</v>
      </c>
      <c r="J59" s="382">
        <f>IF($B58="","",COUNTIF(Penalties!$AS6:$BA6,J$55))</f>
        <v>0</v>
      </c>
      <c r="K59" s="382">
        <f>IF($B58="","",COUNTIF(Penalties!$AS6:$BA6,K$55))</f>
        <v>0</v>
      </c>
      <c r="L59" s="382">
        <f>IF($B58="","",COUNTIF(Penalties!$AS6:$BA6,L$55))</f>
        <v>0</v>
      </c>
      <c r="M59" s="382">
        <f>IF($B58="","",COUNTIF(Penalties!$AS6:$BA6,M$55))</f>
        <v>0</v>
      </c>
      <c r="N59" s="382">
        <f>IF($B58="","",COUNTIF(Penalties!$AS6:$BA6,N$55))</f>
        <v>0</v>
      </c>
      <c r="O59" s="382">
        <f>IF($B58="","",COUNTIF(Penalties!$AS6:$BA6,O$55))</f>
        <v>0</v>
      </c>
      <c r="P59" s="382">
        <f>IF($B58="","",COUNTIF(Penalties!$AS6:$BA6,P$55))</f>
        <v>0</v>
      </c>
      <c r="Q59" s="382">
        <f>IF($B58="","",COUNTIF(Penalties!$AS6:$BA6,Q$55))</f>
        <v>0</v>
      </c>
      <c r="R59" s="382">
        <f>IF($B58="","",COUNTIF(Penalties!$AS6:$BA6,R$55))</f>
        <v>0</v>
      </c>
      <c r="S59" s="382"/>
      <c r="T59" s="382"/>
      <c r="U59" s="392">
        <f>IF(B58="","",SUM(E59:T59))</f>
        <v>0</v>
      </c>
      <c r="V59" s="393">
        <f>IF(B58="","",SUM(E59:T59)*0.5)</f>
        <v>0</v>
      </c>
      <c r="W59" s="394" t="str">
        <f>IF($B58="","",IF(Penalties!$BB6=W$55,1,""))</f>
        <v/>
      </c>
      <c r="X59" s="394" t="str">
        <f>IF($B58="","",IF(Penalties!$BB6=X$55,1,""))</f>
        <v/>
      </c>
      <c r="Y59" s="394" t="str">
        <f>IF($B58="","",IF(Penalties!$BB6=Y$55,1,""))</f>
        <v/>
      </c>
      <c r="Z59" s="394" t="str">
        <f>IF($B58="","",IF(Penalties!$BB6=Z$55,1,""))</f>
        <v/>
      </c>
      <c r="AA59" s="394" t="str">
        <f>IF($B58="","",IF(Penalties!$BB6=AA$55,1,""))</f>
        <v/>
      </c>
      <c r="AB59" s="394" t="str">
        <f>IF($B58="","",IF(Penalties!$BB6=AB$55,1,""))</f>
        <v/>
      </c>
      <c r="AC59" s="394" t="str">
        <f>IF($B58="","",IF(Penalties!$BB6=AC$55,1,""))</f>
        <v/>
      </c>
      <c r="AD59" s="394" t="str">
        <f>IF($B58="","",IF(Penalties!$BB6=AD$55,1,""))</f>
        <v/>
      </c>
      <c r="AE59" s="394" t="str">
        <f>IF($B58="","",IF(Penalties!$BB6=AE$55,1,""))</f>
        <v/>
      </c>
      <c r="AF59" s="394" t="str">
        <f>IF($B58="","",IF(Penalties!$BB6=AF$55,1,""))</f>
        <v/>
      </c>
      <c r="AG59" s="394" t="str">
        <f>IF($B58="","",IF(Penalties!$BB6=AG$55,1,""))</f>
        <v/>
      </c>
      <c r="AH59" s="394" t="str">
        <f>IF($B58="","",IF(Penalties!$BB6=AH$55,1,""))</f>
        <v/>
      </c>
      <c r="AI59" s="394" t="str">
        <f>IF($B58="","",IF(Penalties!$BB6=AI$55,1,""))</f>
        <v/>
      </c>
      <c r="AJ59" s="396" t="str">
        <f>IF(SUM(X58:AI59)=0, "", IF(SUM(X58:AI58)=1, LOOKUP(1, X58:AI58, $X$55:$AI$55), LOOKUP(1, X59:AI59, $X$55:$AI$55)))</f>
        <v/>
      </c>
      <c r="AK59" s="64"/>
      <c r="AL59" s="64"/>
      <c r="AM59" s="64"/>
      <c r="AN59" s="64"/>
      <c r="AO59" s="64"/>
      <c r="AP59" s="64"/>
      <c r="AQ59" s="64"/>
      <c r="AR59" s="64"/>
      <c r="AS59" s="64"/>
      <c r="AT59" s="64"/>
      <c r="AU59" s="64"/>
      <c r="AV59" s="64"/>
      <c r="AW59" s="64"/>
      <c r="AX59" s="64"/>
    </row>
    <row r="60" spans="1:50" x14ac:dyDescent="0.3">
      <c r="A60" s="1204">
        <f>A58+1</f>
        <v>3</v>
      </c>
      <c r="B60" s="1205" t="str">
        <f>IF(IGRF!I16="","",IGRF!I16)</f>
        <v>17</v>
      </c>
      <c r="C60" s="1206" t="str">
        <f>IF(IGRF!J16="","",IGRF!J16)</f>
        <v>Yinzey Lohan</v>
      </c>
      <c r="D60" s="381" t="s">
        <v>5</v>
      </c>
      <c r="E60" s="381">
        <f>IF($B60="","",COUNTIF(Penalties!$Q8:$Y8,E$55))</f>
        <v>0</v>
      </c>
      <c r="F60" s="381">
        <f>IF($B60="","",COUNTIF(Penalties!$Q8:$Y8,F$55))</f>
        <v>0</v>
      </c>
      <c r="G60" s="381">
        <f>IF($B60="","",COUNTIF(Penalties!$Q8:$Y8,G$55))</f>
        <v>0</v>
      </c>
      <c r="H60" s="381">
        <f>IF($B60="","",COUNTIF(Penalties!$Q8:$Y8,H$55))</f>
        <v>0</v>
      </c>
      <c r="I60" s="381">
        <f>IF($B60="","",COUNTIF(Penalties!$Q8:$Y8,I$55))</f>
        <v>0</v>
      </c>
      <c r="J60" s="381">
        <f>IF($B60="","",COUNTIF(Penalties!$Q8:$Y8,J$55))</f>
        <v>0</v>
      </c>
      <c r="K60" s="381">
        <f>IF($B60="","",COUNTIF(Penalties!$Q8:$Y8,K$55))</f>
        <v>0</v>
      </c>
      <c r="L60" s="381">
        <f>IF($B60="","",COUNTIF(Penalties!$Q8:$Y8,L$55))</f>
        <v>0</v>
      </c>
      <c r="M60" s="381">
        <f>IF($B60="","",COUNTIF(Penalties!$Q8:$Y8,M$55))</f>
        <v>0</v>
      </c>
      <c r="N60" s="381">
        <f>IF($B60="","",COUNTIF(Penalties!$Q8:$Y8,N$55))</f>
        <v>0</v>
      </c>
      <c r="O60" s="381">
        <f>IF($B60="","",COUNTIF(Penalties!$Q8:$Y8,O$55))</f>
        <v>0</v>
      </c>
      <c r="P60" s="381">
        <f>IF($B60="","",COUNTIF(Penalties!$Q8:$Y8,P$55))</f>
        <v>0</v>
      </c>
      <c r="Q60" s="381">
        <f>IF($B60="","",COUNTIF(Penalties!$Q8:$Y8,Q$55))</f>
        <v>0</v>
      </c>
      <c r="R60" s="381">
        <f>IF($B60="","",COUNTIF(Penalties!$Q8:$Y8,R$55))</f>
        <v>0</v>
      </c>
      <c r="U60" s="387">
        <f>IF(B60="","",SUM(E60:T60))</f>
        <v>0</v>
      </c>
      <c r="V60" s="388">
        <f>IF(B60="","",SUM(E60:T60)*0.5)</f>
        <v>0</v>
      </c>
      <c r="W60" s="389" t="str">
        <f>IF($B60="","",IF(Penalties!$Z8=W$55,1,""))</f>
        <v/>
      </c>
      <c r="X60" s="389" t="str">
        <f>IF($B60="","",IF(Penalties!$Z8=X$55,1,""))</f>
        <v/>
      </c>
      <c r="Y60" s="389" t="str">
        <f>IF($B60="","",IF(Penalties!$Z8=Y$55,1,""))</f>
        <v/>
      </c>
      <c r="Z60" s="389" t="str">
        <f>IF($B60="","",IF(Penalties!$Z8=Z$55,1,""))</f>
        <v/>
      </c>
      <c r="AA60" s="389" t="str">
        <f>IF($B60="","",IF(Penalties!$Z8=AA$55,1,""))</f>
        <v/>
      </c>
      <c r="AB60" s="389" t="str">
        <f>IF($B60="","",IF(Penalties!$Z8=AB$55,1,""))</f>
        <v/>
      </c>
      <c r="AC60" s="389" t="str">
        <f>IF($B60="","",IF(Penalties!$Z8=AC$55,1,""))</f>
        <v/>
      </c>
      <c r="AD60" s="389" t="str">
        <f>IF($B60="","",IF(Penalties!$Z8=AD$55,1,""))</f>
        <v/>
      </c>
      <c r="AE60" s="389" t="str">
        <f>IF($B60="","",IF(Penalties!$Z8=AE$55,1,""))</f>
        <v/>
      </c>
      <c r="AF60" s="389" t="str">
        <f>IF($B60="","",IF(Penalties!$Z8=AF$55,1,""))</f>
        <v/>
      </c>
      <c r="AG60" s="389" t="str">
        <f>IF($B60="","",IF(Penalties!$Z8=AG$55,1,""))</f>
        <v/>
      </c>
      <c r="AH60" s="389" t="str">
        <f>IF($B60="","",IF(Penalties!$Z8=AH$55,1,""))</f>
        <v/>
      </c>
      <c r="AI60" s="389" t="str">
        <f>IF($B60="","",IF(Penalties!$Z8=AI$55,1,""))</f>
        <v/>
      </c>
      <c r="AJ60" s="390"/>
      <c r="AK60" s="64"/>
      <c r="AL60" s="64"/>
      <c r="AM60" s="64"/>
      <c r="AN60" s="64"/>
      <c r="AO60" s="64"/>
      <c r="AP60" s="64"/>
      <c r="AQ60" s="64"/>
      <c r="AR60" s="64"/>
      <c r="AS60" s="64"/>
      <c r="AT60" s="64"/>
      <c r="AU60" s="64"/>
      <c r="AV60" s="64"/>
      <c r="AW60" s="64"/>
      <c r="AX60" s="64"/>
    </row>
    <row r="61" spans="1:50" x14ac:dyDescent="0.3">
      <c r="A61" s="1204"/>
      <c r="B61" s="1205"/>
      <c r="C61" s="1206"/>
      <c r="D61" s="381" t="s">
        <v>21</v>
      </c>
      <c r="E61" s="381">
        <f>IF($B60="","",COUNTIF(Penalties!$AS8:$BA8,E$55))</f>
        <v>0</v>
      </c>
      <c r="F61" s="381">
        <f>IF($B60="","",COUNTIF(Penalties!$AS8:$BA8,F$55))</f>
        <v>0</v>
      </c>
      <c r="G61" s="381">
        <f>IF($B60="","",COUNTIF(Penalties!$AS8:$BA8,G$55))</f>
        <v>0</v>
      </c>
      <c r="H61" s="381">
        <f>IF($B60="","",COUNTIF(Penalties!$AS8:$BA8,H$55))</f>
        <v>0</v>
      </c>
      <c r="I61" s="381">
        <f>IF($B60="","",COUNTIF(Penalties!$AS8:$BA8,I$55))</f>
        <v>0</v>
      </c>
      <c r="J61" s="381">
        <f>IF($B60="","",COUNTIF(Penalties!$AS8:$BA8,J$55))</f>
        <v>0</v>
      </c>
      <c r="K61" s="381">
        <f>IF($B60="","",COUNTIF(Penalties!$AS8:$BA8,K$55))</f>
        <v>0</v>
      </c>
      <c r="L61" s="381">
        <f>IF($B60="","",COUNTIF(Penalties!$AS8:$BA8,L$55))</f>
        <v>0</v>
      </c>
      <c r="M61" s="381">
        <f>IF($B60="","",COUNTIF(Penalties!$AS8:$BA8,M$55))</f>
        <v>0</v>
      </c>
      <c r="N61" s="381">
        <f>IF($B60="","",COUNTIF(Penalties!$AS8:$BA8,N$55))</f>
        <v>1</v>
      </c>
      <c r="O61" s="381">
        <f>IF($B60="","",COUNTIF(Penalties!$AS8:$BA8,O$55))</f>
        <v>0</v>
      </c>
      <c r="P61" s="381">
        <f>IF($B60="","",COUNTIF(Penalties!$AS8:$BA8,P$55))</f>
        <v>0</v>
      </c>
      <c r="Q61" s="381">
        <f>IF($B60="","",COUNTIF(Penalties!$AS8:$BA8,Q$55))</f>
        <v>0</v>
      </c>
      <c r="R61" s="381">
        <f>IF($B60="","",COUNTIF(Penalties!$AS8:$BA8,R$55))</f>
        <v>0</v>
      </c>
      <c r="U61" s="387">
        <f>IF(B60="","",SUM(E61:T61))</f>
        <v>1</v>
      </c>
      <c r="V61" s="388">
        <f>IF(B60="","",SUM(E61:T61)*0.5)</f>
        <v>0.5</v>
      </c>
      <c r="W61" s="389" t="str">
        <f>IF($B60="","",IF(Penalties!$BB8=W$55,1,""))</f>
        <v/>
      </c>
      <c r="X61" s="389" t="str">
        <f>IF($B60="","",IF(Penalties!$BB8=X$55,1,""))</f>
        <v/>
      </c>
      <c r="Y61" s="389" t="str">
        <f>IF($B60="","",IF(Penalties!$BB8=Y$55,1,""))</f>
        <v/>
      </c>
      <c r="Z61" s="389" t="str">
        <f>IF($B60="","",IF(Penalties!$BB8=Z$55,1,""))</f>
        <v/>
      </c>
      <c r="AA61" s="389" t="str">
        <f>IF($B60="","",IF(Penalties!$BB8=AA$55,1,""))</f>
        <v/>
      </c>
      <c r="AB61" s="389" t="str">
        <f>IF($B60="","",IF(Penalties!$BB8=AB$55,1,""))</f>
        <v/>
      </c>
      <c r="AC61" s="389" t="str">
        <f>IF($B60="","",IF(Penalties!$BB8=AC$55,1,""))</f>
        <v/>
      </c>
      <c r="AD61" s="389" t="str">
        <f>IF($B60="","",IF(Penalties!$BB8=AD$55,1,""))</f>
        <v/>
      </c>
      <c r="AE61" s="389" t="str">
        <f>IF($B60="","",IF(Penalties!$BB8=AE$55,1,""))</f>
        <v/>
      </c>
      <c r="AF61" s="389" t="str">
        <f>IF($B60="","",IF(Penalties!$BB8=AF$55,1,""))</f>
        <v/>
      </c>
      <c r="AG61" s="389" t="str">
        <f>IF($B60="","",IF(Penalties!$BB8=AG$55,1,""))</f>
        <v/>
      </c>
      <c r="AH61" s="389" t="str">
        <f>IF($B60="","",IF(Penalties!$BB8=AH$55,1,""))</f>
        <v/>
      </c>
      <c r="AI61" s="389" t="str">
        <f>IF($B60="","",IF(Penalties!$BB8=AI$55,1,""))</f>
        <v/>
      </c>
      <c r="AJ61" s="391" t="str">
        <f>IF(SUM(X60:AI61)=0, "", IF(SUM(X60:AI60)=1, LOOKUP(1, X60:AI60, $X$55:$AI$55), LOOKUP(1, X61:AI61, $X$55:$AI$55)))</f>
        <v/>
      </c>
      <c r="AK61" s="64"/>
      <c r="AL61" s="64"/>
      <c r="AM61" s="64"/>
      <c r="AN61" s="64"/>
      <c r="AO61" s="64"/>
      <c r="AP61" s="64"/>
      <c r="AQ61" s="64"/>
      <c r="AR61" s="64"/>
      <c r="AS61" s="64"/>
      <c r="AT61" s="64"/>
      <c r="AU61" s="64"/>
      <c r="AV61" s="64"/>
      <c r="AW61" s="64"/>
      <c r="AX61" s="64"/>
    </row>
    <row r="62" spans="1:50" x14ac:dyDescent="0.3">
      <c r="A62" s="1201">
        <f>A60+1</f>
        <v>4</v>
      </c>
      <c r="B62" s="1202" t="str">
        <f>IF(IGRF!I17="","",IGRF!I17)</f>
        <v>2</v>
      </c>
      <c r="C62" s="1203" t="str">
        <f>IF(IGRF!J17="","",IGRF!J17)</f>
        <v>Stark Raven</v>
      </c>
      <c r="D62" s="382" t="s">
        <v>5</v>
      </c>
      <c r="E62" s="382">
        <f>IF($B62="","",COUNTIF(Penalties!$Q10:$Y10,E$55))</f>
        <v>0</v>
      </c>
      <c r="F62" s="382">
        <f>IF($B62="","",COUNTIF(Penalties!$Q10:$Y10,F$55))</f>
        <v>0</v>
      </c>
      <c r="G62" s="382">
        <f>IF($B62="","",COUNTIF(Penalties!$Q10:$Y10,G$55))</f>
        <v>0</v>
      </c>
      <c r="H62" s="382">
        <f>IF($B62="","",COUNTIF(Penalties!$Q10:$Y10,H$55))</f>
        <v>0</v>
      </c>
      <c r="I62" s="382">
        <f>IF($B62="","",COUNTIF(Penalties!$Q10:$Y10,I$55))</f>
        <v>0</v>
      </c>
      <c r="J62" s="382">
        <f>IF($B62="","",COUNTIF(Penalties!$Q10:$Y10,J$55))</f>
        <v>0</v>
      </c>
      <c r="K62" s="382">
        <f>IF($B62="","",COUNTIF(Penalties!$Q10:$Y10,K$55))</f>
        <v>0</v>
      </c>
      <c r="L62" s="382">
        <f>IF($B62="","",COUNTIF(Penalties!$Q10:$Y10,L$55))</f>
        <v>0</v>
      </c>
      <c r="M62" s="382">
        <f>IF($B62="","",COUNTIF(Penalties!$Q10:$Y10,M$55))</f>
        <v>0</v>
      </c>
      <c r="N62" s="382">
        <f>IF($B62="","",COUNTIF(Penalties!$Q10:$Y10,N$55))</f>
        <v>0</v>
      </c>
      <c r="O62" s="382">
        <f>IF($B62="","",COUNTIF(Penalties!$Q10:$Y10,O$55))</f>
        <v>0</v>
      </c>
      <c r="P62" s="382">
        <f>IF($B62="","",COUNTIF(Penalties!$Q10:$Y10,P$55))</f>
        <v>0</v>
      </c>
      <c r="Q62" s="382">
        <f>IF($B62="","",COUNTIF(Penalties!$Q10:$Y10,Q$55))</f>
        <v>0</v>
      </c>
      <c r="R62" s="382">
        <f>IF($B62="","",COUNTIF(Penalties!$Q10:$Y10,R$55))</f>
        <v>0</v>
      </c>
      <c r="S62" s="382"/>
      <c r="T62" s="382"/>
      <c r="U62" s="392">
        <f>IF(B62="","",SUM(E62:T62))</f>
        <v>0</v>
      </c>
      <c r="V62" s="393">
        <f>IF(B62="","",SUM(E62:T62)*0.5)</f>
        <v>0</v>
      </c>
      <c r="W62" s="394" t="str">
        <f>IF($B62="","",IF(Penalties!$Z10=W$55,1,""))</f>
        <v/>
      </c>
      <c r="X62" s="394" t="str">
        <f>IF($B62="","",IF(Penalties!$Z10=X$55,1,""))</f>
        <v/>
      </c>
      <c r="Y62" s="394" t="str">
        <f>IF($B62="","",IF(Penalties!$Z10=Y$55,1,""))</f>
        <v/>
      </c>
      <c r="Z62" s="394" t="str">
        <f>IF($B62="","",IF(Penalties!$Z10=Z$55,1,""))</f>
        <v/>
      </c>
      <c r="AA62" s="394" t="str">
        <f>IF($B62="","",IF(Penalties!$Z10=AA$55,1,""))</f>
        <v/>
      </c>
      <c r="AB62" s="394" t="str">
        <f>IF($B62="","",IF(Penalties!$Z10=AB$55,1,""))</f>
        <v/>
      </c>
      <c r="AC62" s="394" t="str">
        <f>IF($B62="","",IF(Penalties!$Z10=AC$55,1,""))</f>
        <v/>
      </c>
      <c r="AD62" s="394" t="str">
        <f>IF($B62="","",IF(Penalties!$Z10=AD$55,1,""))</f>
        <v/>
      </c>
      <c r="AE62" s="394" t="str">
        <f>IF($B62="","",IF(Penalties!$Z10=AE$55,1,""))</f>
        <v/>
      </c>
      <c r="AF62" s="394" t="str">
        <f>IF($B62="","",IF(Penalties!$Z10=AF$55,1,""))</f>
        <v/>
      </c>
      <c r="AG62" s="394" t="str">
        <f>IF($B62="","",IF(Penalties!$Z10=AG$55,1,""))</f>
        <v/>
      </c>
      <c r="AH62" s="394" t="str">
        <f>IF($B62="","",IF(Penalties!$Z10=AH$55,1,""))</f>
        <v/>
      </c>
      <c r="AI62" s="394" t="str">
        <f>IF($B62="","",IF(Penalties!$Z10=AI$55,1,""))</f>
        <v/>
      </c>
      <c r="AJ62" s="395"/>
      <c r="AK62" s="64"/>
      <c r="AL62" s="64"/>
      <c r="AM62" s="64"/>
      <c r="AN62" s="64"/>
      <c r="AO62" s="64"/>
      <c r="AP62" s="64"/>
      <c r="AQ62" s="64"/>
      <c r="AR62" s="64"/>
      <c r="AS62" s="64"/>
      <c r="AT62" s="64"/>
      <c r="AU62" s="64"/>
      <c r="AV62" s="64"/>
      <c r="AW62" s="64"/>
      <c r="AX62" s="64"/>
    </row>
    <row r="63" spans="1:50" ht="14.4" thickBot="1" x14ac:dyDescent="0.35">
      <c r="A63" s="1201"/>
      <c r="B63" s="1202"/>
      <c r="C63" s="1203"/>
      <c r="D63" s="382" t="s">
        <v>21</v>
      </c>
      <c r="E63" s="382">
        <f>IF($B62="","",COUNTIF(Penalties!$AS10:$BA10,E$55))</f>
        <v>0</v>
      </c>
      <c r="F63" s="382">
        <f>IF($B62="","",COUNTIF(Penalties!$AS10:$BA10,F$55))</f>
        <v>0</v>
      </c>
      <c r="G63" s="382">
        <f>IF($B62="","",COUNTIF(Penalties!$AS10:$BA10,G$55))</f>
        <v>0</v>
      </c>
      <c r="H63" s="382">
        <f>IF($B62="","",COUNTIF(Penalties!$AS10:$BA10,H$55))</f>
        <v>0</v>
      </c>
      <c r="I63" s="382">
        <f>IF($B62="","",COUNTIF(Penalties!$AS10:$BA10,I$55))</f>
        <v>0</v>
      </c>
      <c r="J63" s="382">
        <f>IF($B62="","",COUNTIF(Penalties!$AS10:$BA10,J$55))</f>
        <v>0</v>
      </c>
      <c r="K63" s="382">
        <f>IF($B62="","",COUNTIF(Penalties!$AS10:$BA10,K$55))</f>
        <v>0</v>
      </c>
      <c r="L63" s="382">
        <f>IF($B62="","",COUNTIF(Penalties!$AS10:$BA10,L$55))</f>
        <v>0</v>
      </c>
      <c r="M63" s="382">
        <f>IF($B62="","",COUNTIF(Penalties!$AS10:$BA10,M$55))</f>
        <v>0</v>
      </c>
      <c r="N63" s="382">
        <f>IF($B62="","",COUNTIF(Penalties!$AS10:$BA10,N$55))</f>
        <v>1</v>
      </c>
      <c r="O63" s="382">
        <f>IF($B62="","",COUNTIF(Penalties!$AS10:$BA10,O$55))</f>
        <v>0</v>
      </c>
      <c r="P63" s="382">
        <f>IF($B62="","",COUNTIF(Penalties!$AS10:$BA10,P$55))</f>
        <v>0</v>
      </c>
      <c r="Q63" s="382">
        <f>IF($B62="","",COUNTIF(Penalties!$AS10:$BA10,Q$55))</f>
        <v>0</v>
      </c>
      <c r="R63" s="382">
        <f>IF($B62="","",COUNTIF(Penalties!$AS10:$BA10,R$55))</f>
        <v>0</v>
      </c>
      <c r="S63" s="382"/>
      <c r="T63" s="382"/>
      <c r="U63" s="392">
        <f>IF(B62="","",SUM(E63:T63))</f>
        <v>1</v>
      </c>
      <c r="V63" s="393">
        <f>IF(B62="","",SUM(E63:T63)*0.5)</f>
        <v>0.5</v>
      </c>
      <c r="W63" s="394" t="str">
        <f>IF($B62="","",IF(Penalties!$BB10=W$55,1,""))</f>
        <v/>
      </c>
      <c r="X63" s="394" t="str">
        <f>IF($B62="","",IF(Penalties!$BB10=X$55,1,""))</f>
        <v/>
      </c>
      <c r="Y63" s="394" t="str">
        <f>IF($B62="","",IF(Penalties!$BB10=Y$55,1,""))</f>
        <v/>
      </c>
      <c r="Z63" s="394" t="str">
        <f>IF($B62="","",IF(Penalties!$BB10=Z$55,1,""))</f>
        <v/>
      </c>
      <c r="AA63" s="394" t="str">
        <f>IF($B62="","",IF(Penalties!$BB10=AA$55,1,""))</f>
        <v/>
      </c>
      <c r="AB63" s="394" t="str">
        <f>IF($B62="","",IF(Penalties!$BB10=AB$55,1,""))</f>
        <v/>
      </c>
      <c r="AC63" s="394" t="str">
        <f>IF($B62="","",IF(Penalties!$BB10=AC$55,1,""))</f>
        <v/>
      </c>
      <c r="AD63" s="394" t="str">
        <f>IF($B62="","",IF(Penalties!$BB10=AD$55,1,""))</f>
        <v/>
      </c>
      <c r="AE63" s="394" t="str">
        <f>IF($B62="","",IF(Penalties!$BB10=AE$55,1,""))</f>
        <v/>
      </c>
      <c r="AF63" s="394" t="str">
        <f>IF($B62="","",IF(Penalties!$BB10=AF$55,1,""))</f>
        <v/>
      </c>
      <c r="AG63" s="394" t="str">
        <f>IF($B62="","",IF(Penalties!$BB10=AG$55,1,""))</f>
        <v/>
      </c>
      <c r="AH63" s="394" t="str">
        <f>IF($B62="","",IF(Penalties!$BB10=AH$55,1,""))</f>
        <v/>
      </c>
      <c r="AI63" s="394" t="str">
        <f>IF($B62="","",IF(Penalties!$BB10=AI$55,1,""))</f>
        <v/>
      </c>
      <c r="AJ63" s="396" t="str">
        <f>IF(SUM(X62:AI63)=0, "", IF(SUM(X62:AI62)=1, LOOKUP(1, X62:AI62, $X$55:$AI$55), LOOKUP(1, X63:AI63, $X$55:$AI$55)))</f>
        <v/>
      </c>
      <c r="AK63" s="64"/>
      <c r="AL63" s="64"/>
      <c r="AM63" s="64"/>
      <c r="AN63" s="64"/>
      <c r="AO63" s="64"/>
      <c r="AP63" s="64"/>
      <c r="AQ63" s="64"/>
      <c r="AR63" s="64"/>
      <c r="AS63" s="64"/>
      <c r="AT63" s="64"/>
      <c r="AU63" s="64"/>
      <c r="AV63" s="64"/>
      <c r="AW63" s="64"/>
      <c r="AX63" s="64"/>
    </row>
    <row r="64" spans="1:50" x14ac:dyDescent="0.3">
      <c r="A64" s="1204">
        <f>A62+1</f>
        <v>5</v>
      </c>
      <c r="B64" s="1205" t="str">
        <f>IF(IGRF!I18="","",IGRF!I18)</f>
        <v>219</v>
      </c>
      <c r="C64" s="1206" t="str">
        <f>IF(IGRF!J18="","",IGRF!J18)</f>
        <v>Dakota Slamming</v>
      </c>
      <c r="D64" s="381" t="s">
        <v>5</v>
      </c>
      <c r="E64" s="381">
        <f>IF($B64="","",COUNTIF(Penalties!$Q12:$Y12,E$55))</f>
        <v>0</v>
      </c>
      <c r="F64" s="381">
        <f>IF($B64="","",COUNTIF(Penalties!$Q12:$Y12,F$55))</f>
        <v>0</v>
      </c>
      <c r="G64" s="381">
        <f>IF($B64="","",COUNTIF(Penalties!$Q12:$Y12,G$55))</f>
        <v>0</v>
      </c>
      <c r="H64" s="381">
        <f>IF($B64="","",COUNTIF(Penalties!$Q12:$Y12,H$55))</f>
        <v>0</v>
      </c>
      <c r="I64" s="381">
        <f>IF($B64="","",COUNTIF(Penalties!$Q12:$Y12,I$55))</f>
        <v>0</v>
      </c>
      <c r="J64" s="381">
        <f>IF($B64="","",COUNTIF(Penalties!$Q12:$Y12,J$55))</f>
        <v>0</v>
      </c>
      <c r="K64" s="381">
        <f>IF($B64="","",COUNTIF(Penalties!$Q12:$Y12,K$55))</f>
        <v>0</v>
      </c>
      <c r="L64" s="381">
        <f>IF($B64="","",COUNTIF(Penalties!$Q12:$Y12,L$55))</f>
        <v>0</v>
      </c>
      <c r="M64" s="381">
        <f>IF($B64="","",COUNTIF(Penalties!$Q12:$Y12,M$55))</f>
        <v>0</v>
      </c>
      <c r="N64" s="381">
        <f>IF($B64="","",COUNTIF(Penalties!$Q12:$Y12,N$55))</f>
        <v>0</v>
      </c>
      <c r="O64" s="381">
        <f>IF($B64="","",COUNTIF(Penalties!$Q12:$Y12,O$55))</f>
        <v>0</v>
      </c>
      <c r="P64" s="381">
        <f>IF($B64="","",COUNTIF(Penalties!$Q12:$Y12,P$55))</f>
        <v>0</v>
      </c>
      <c r="Q64" s="381">
        <f>IF($B64="","",COUNTIF(Penalties!$Q12:$Y12,Q$55))</f>
        <v>0</v>
      </c>
      <c r="R64" s="381">
        <f>IF($B64="","",COUNTIF(Penalties!$Q12:$Y12,R$55))</f>
        <v>0</v>
      </c>
      <c r="U64" s="387">
        <f>IF(B64="","",SUM(E64:T64))</f>
        <v>0</v>
      </c>
      <c r="V64" s="388">
        <f>IF(B64="","",SUM(E64:T64)*0.5)</f>
        <v>0</v>
      </c>
      <c r="W64" s="389" t="str">
        <f>IF($B64="","",IF(Penalties!$Z12=W$55,1,""))</f>
        <v/>
      </c>
      <c r="X64" s="389" t="str">
        <f>IF($B64="","",IF(Penalties!$Z12=X$55,1,""))</f>
        <v/>
      </c>
      <c r="Y64" s="389" t="str">
        <f>IF($B64="","",IF(Penalties!$Z12=Y$55,1,""))</f>
        <v/>
      </c>
      <c r="Z64" s="389" t="str">
        <f>IF($B64="","",IF(Penalties!$Z12=Z$55,1,""))</f>
        <v/>
      </c>
      <c r="AA64" s="389" t="str">
        <f>IF($B64="","",IF(Penalties!$Z12=AA$55,1,""))</f>
        <v/>
      </c>
      <c r="AB64" s="389" t="str">
        <f>IF($B64="","",IF(Penalties!$Z12=AB$55,1,""))</f>
        <v/>
      </c>
      <c r="AC64" s="389" t="str">
        <f>IF($B64="","",IF(Penalties!$Z12=AC$55,1,""))</f>
        <v/>
      </c>
      <c r="AD64" s="389" t="str">
        <f>IF($B64="","",IF(Penalties!$Z12=AD$55,1,""))</f>
        <v/>
      </c>
      <c r="AE64" s="389" t="str">
        <f>IF($B64="","",IF(Penalties!$Z12=AE$55,1,""))</f>
        <v/>
      </c>
      <c r="AF64" s="389" t="str">
        <f>IF($B64="","",IF(Penalties!$Z12=AF$55,1,""))</f>
        <v/>
      </c>
      <c r="AG64" s="389" t="str">
        <f>IF($B64="","",IF(Penalties!$Z12=AG$55,1,""))</f>
        <v/>
      </c>
      <c r="AH64" s="389" t="str">
        <f>IF($B64="","",IF(Penalties!$Z12=AH$55,1,""))</f>
        <v/>
      </c>
      <c r="AI64" s="389" t="str">
        <f>IF($B64="","",IF(Penalties!$Z12=AI$55,1,""))</f>
        <v/>
      </c>
      <c r="AJ64" s="390"/>
      <c r="AK64" s="64"/>
      <c r="AL64" s="64"/>
      <c r="AM64" s="64"/>
      <c r="AN64" s="64"/>
      <c r="AO64" s="64"/>
      <c r="AP64" s="64"/>
      <c r="AQ64" s="64"/>
      <c r="AR64" s="64"/>
      <c r="AS64" s="64"/>
      <c r="AT64" s="64"/>
      <c r="AU64" s="64"/>
      <c r="AV64" s="64"/>
      <c r="AW64" s="64"/>
      <c r="AX64" s="64"/>
    </row>
    <row r="65" spans="1:50" x14ac:dyDescent="0.3">
      <c r="A65" s="1204"/>
      <c r="B65" s="1205"/>
      <c r="C65" s="1206"/>
      <c r="D65" s="381" t="s">
        <v>21</v>
      </c>
      <c r="E65" s="381">
        <f>IF($B64="","",COUNTIF(Penalties!$AS12:$BA12,E$55))</f>
        <v>0</v>
      </c>
      <c r="F65" s="381">
        <f>IF($B64="","",COUNTIF(Penalties!$AS12:$BA12,F$55))</f>
        <v>0</v>
      </c>
      <c r="G65" s="381">
        <f>IF($B64="","",COUNTIF(Penalties!$AS12:$BA12,G$55))</f>
        <v>0</v>
      </c>
      <c r="H65" s="381">
        <f>IF($B64="","",COUNTIF(Penalties!$AS12:$BA12,H$55))</f>
        <v>0</v>
      </c>
      <c r="I65" s="381">
        <f>IF($B64="","",COUNTIF(Penalties!$AS12:$BA12,I$55))</f>
        <v>0</v>
      </c>
      <c r="J65" s="381">
        <f>IF($B64="","",COUNTIF(Penalties!$AS12:$BA12,J$55))</f>
        <v>0</v>
      </c>
      <c r="K65" s="381">
        <f>IF($B64="","",COUNTIF(Penalties!$AS12:$BA12,K$55))</f>
        <v>0</v>
      </c>
      <c r="L65" s="381">
        <f>IF($B64="","",COUNTIF(Penalties!$AS12:$BA12,L$55))</f>
        <v>0</v>
      </c>
      <c r="M65" s="381">
        <f>IF($B64="","",COUNTIF(Penalties!$AS12:$BA12,M$55))</f>
        <v>0</v>
      </c>
      <c r="N65" s="381">
        <f>IF($B64="","",COUNTIF(Penalties!$AS12:$BA12,N$55))</f>
        <v>0</v>
      </c>
      <c r="O65" s="381">
        <f>IF($B64="","",COUNTIF(Penalties!$AS12:$BA12,O$55))</f>
        <v>1</v>
      </c>
      <c r="P65" s="381">
        <f>IF($B64="","",COUNTIF(Penalties!$AS12:$BA12,P$55))</f>
        <v>0</v>
      </c>
      <c r="Q65" s="381">
        <f>IF($B64="","",COUNTIF(Penalties!$AS12:$BA12,Q$55))</f>
        <v>0</v>
      </c>
      <c r="R65" s="381">
        <f>IF($B64="","",COUNTIF(Penalties!$AS12:$BA12,R$55))</f>
        <v>0</v>
      </c>
      <c r="U65" s="387">
        <f>IF(B64="","",SUM(E65:T65))</f>
        <v>1</v>
      </c>
      <c r="V65" s="388">
        <f>IF(B64="","",SUM(E65:T65)*0.5)</f>
        <v>0.5</v>
      </c>
      <c r="W65" s="389" t="str">
        <f>IF($B64="","",IF(Penalties!$BB12=W$55,1,""))</f>
        <v/>
      </c>
      <c r="X65" s="389" t="str">
        <f>IF($B64="","",IF(Penalties!$BB12=X$55,1,""))</f>
        <v/>
      </c>
      <c r="Y65" s="389" t="str">
        <f>IF($B64="","",IF(Penalties!$BB12=Y$55,1,""))</f>
        <v/>
      </c>
      <c r="Z65" s="389" t="str">
        <f>IF($B64="","",IF(Penalties!$BB12=Z$55,1,""))</f>
        <v/>
      </c>
      <c r="AA65" s="389" t="str">
        <f>IF($B64="","",IF(Penalties!$BB12=AA$55,1,""))</f>
        <v/>
      </c>
      <c r="AB65" s="389" t="str">
        <f>IF($B64="","",IF(Penalties!$BB12=AB$55,1,""))</f>
        <v/>
      </c>
      <c r="AC65" s="389" t="str">
        <f>IF($B64="","",IF(Penalties!$BB12=AC$55,1,""))</f>
        <v/>
      </c>
      <c r="AD65" s="389" t="str">
        <f>IF($B64="","",IF(Penalties!$BB12=AD$55,1,""))</f>
        <v/>
      </c>
      <c r="AE65" s="389" t="str">
        <f>IF($B64="","",IF(Penalties!$BB12=AE$55,1,""))</f>
        <v/>
      </c>
      <c r="AF65" s="389" t="str">
        <f>IF($B64="","",IF(Penalties!$BB12=AF$55,1,""))</f>
        <v/>
      </c>
      <c r="AG65" s="389" t="str">
        <f>IF($B64="","",IF(Penalties!$BB12=AG$55,1,""))</f>
        <v/>
      </c>
      <c r="AH65" s="389" t="str">
        <f>IF($B64="","",IF(Penalties!$BB12=AH$55,1,""))</f>
        <v/>
      </c>
      <c r="AI65" s="389" t="str">
        <f>IF($B64="","",IF(Penalties!$BB12=AI$55,1,""))</f>
        <v/>
      </c>
      <c r="AJ65" s="391" t="str">
        <f>IF(SUM(X64:AI65)=0, "", IF(SUM(X64:AI64)=1, LOOKUP(1, X64:AI64, $X$55:$AI$55), LOOKUP(1, X65:AI65, $X$55:$AI$55)))</f>
        <v/>
      </c>
      <c r="AK65" s="64"/>
      <c r="AL65" s="64"/>
      <c r="AM65" s="64"/>
      <c r="AN65" s="64"/>
      <c r="AO65" s="64"/>
      <c r="AP65" s="64"/>
      <c r="AQ65" s="64"/>
      <c r="AR65" s="64"/>
      <c r="AS65" s="64"/>
      <c r="AT65" s="64"/>
      <c r="AU65" s="64"/>
      <c r="AV65" s="64"/>
      <c r="AW65" s="64"/>
      <c r="AX65" s="64"/>
    </row>
    <row r="66" spans="1:50" x14ac:dyDescent="0.3">
      <c r="A66" s="1201">
        <f>A64+1</f>
        <v>6</v>
      </c>
      <c r="B66" s="1202" t="str">
        <f>IF(IGRF!I19="","",IGRF!I19)</f>
        <v>22</v>
      </c>
      <c r="C66" s="1203" t="str">
        <f>IF(IGRF!J19="","",IGRF!J19)</f>
        <v>Dammit Jammit</v>
      </c>
      <c r="D66" s="382" t="s">
        <v>5</v>
      </c>
      <c r="E66" s="382">
        <f>IF($B66="","",COUNTIF(Penalties!$Q14:$Y14,E$55))</f>
        <v>0</v>
      </c>
      <c r="F66" s="382">
        <f>IF($B66="","",COUNTIF(Penalties!$Q14:$Y14,F$55))</f>
        <v>0</v>
      </c>
      <c r="G66" s="382">
        <f>IF($B66="","",COUNTIF(Penalties!$Q14:$Y14,G$55))</f>
        <v>0</v>
      </c>
      <c r="H66" s="382">
        <f>IF($B66="","",COUNTIF(Penalties!$Q14:$Y14,H$55))</f>
        <v>0</v>
      </c>
      <c r="I66" s="382">
        <f>IF($B66="","",COUNTIF(Penalties!$Q14:$Y14,I$55))</f>
        <v>0</v>
      </c>
      <c r="J66" s="382">
        <f>IF($B66="","",COUNTIF(Penalties!$Q14:$Y14,J$55))</f>
        <v>0</v>
      </c>
      <c r="K66" s="382">
        <f>IF($B66="","",COUNTIF(Penalties!$Q14:$Y14,K$55))</f>
        <v>0</v>
      </c>
      <c r="L66" s="382">
        <f>IF($B66="","",COUNTIF(Penalties!$Q14:$Y14,L$55))</f>
        <v>0</v>
      </c>
      <c r="M66" s="382">
        <f>IF($B66="","",COUNTIF(Penalties!$Q14:$Y14,M$55))</f>
        <v>0</v>
      </c>
      <c r="N66" s="382">
        <f>IF($B66="","",COUNTIF(Penalties!$Q14:$Y14,N$55))</f>
        <v>1</v>
      </c>
      <c r="O66" s="382">
        <f>IF($B66="","",COUNTIF(Penalties!$Q14:$Y14,O$55))</f>
        <v>0</v>
      </c>
      <c r="P66" s="382">
        <f>IF($B66="","",COUNTIF(Penalties!$Q14:$Y14,P$55))</f>
        <v>0</v>
      </c>
      <c r="Q66" s="382">
        <f>IF($B66="","",COUNTIF(Penalties!$Q14:$Y14,Q$55))</f>
        <v>0</v>
      </c>
      <c r="R66" s="382">
        <f>IF($B66="","",COUNTIF(Penalties!$Q14:$Y14,R$55))</f>
        <v>0</v>
      </c>
      <c r="S66" s="382"/>
      <c r="T66" s="382"/>
      <c r="U66" s="392">
        <f>IF(B66="","",SUM(E66:T66))</f>
        <v>1</v>
      </c>
      <c r="V66" s="393">
        <f>IF(B66="","",SUM(E66:T66)*0.5)</f>
        <v>0.5</v>
      </c>
      <c r="W66" s="394" t="str">
        <f>IF($B66="","",IF(Penalties!$Z14=W$55,1,""))</f>
        <v/>
      </c>
      <c r="X66" s="394" t="str">
        <f>IF($B66="","",IF(Penalties!$Z14=X$55,1,""))</f>
        <v/>
      </c>
      <c r="Y66" s="394" t="str">
        <f>IF($B66="","",IF(Penalties!$Z14=Y$55,1,""))</f>
        <v/>
      </c>
      <c r="Z66" s="394" t="str">
        <f>IF($B66="","",IF(Penalties!$Z14=Z$55,1,""))</f>
        <v/>
      </c>
      <c r="AA66" s="394" t="str">
        <f>IF($B66="","",IF(Penalties!$Z14=AA$55,1,""))</f>
        <v/>
      </c>
      <c r="AB66" s="394" t="str">
        <f>IF($B66="","",IF(Penalties!$Z14=AB$55,1,""))</f>
        <v/>
      </c>
      <c r="AC66" s="394" t="str">
        <f>IF($B66="","",IF(Penalties!$Z14=AC$55,1,""))</f>
        <v/>
      </c>
      <c r="AD66" s="394" t="str">
        <f>IF($B66="","",IF(Penalties!$Z14=AD$55,1,""))</f>
        <v/>
      </c>
      <c r="AE66" s="394" t="str">
        <f>IF($B66="","",IF(Penalties!$Z14=AE$55,1,""))</f>
        <v/>
      </c>
      <c r="AF66" s="394" t="str">
        <f>IF($B66="","",IF(Penalties!$Z14=AF$55,1,""))</f>
        <v/>
      </c>
      <c r="AG66" s="394" t="str">
        <f>IF($B66="","",IF(Penalties!$Z14=AG$55,1,""))</f>
        <v/>
      </c>
      <c r="AH66" s="394" t="str">
        <f>IF($B66="","",IF(Penalties!$Z14=AH$55,1,""))</f>
        <v/>
      </c>
      <c r="AI66" s="394" t="str">
        <f>IF($B66="","",IF(Penalties!$Z14=AI$55,1,""))</f>
        <v/>
      </c>
      <c r="AJ66" s="395"/>
      <c r="AK66" s="64"/>
      <c r="AL66" s="64"/>
      <c r="AM66" s="64"/>
      <c r="AN66" s="64"/>
      <c r="AO66" s="64"/>
      <c r="AP66" s="64"/>
      <c r="AQ66" s="64"/>
      <c r="AR66" s="64"/>
      <c r="AS66" s="64"/>
      <c r="AT66" s="64"/>
      <c r="AU66" s="64"/>
      <c r="AV66" s="64"/>
      <c r="AW66" s="64"/>
      <c r="AX66" s="64"/>
    </row>
    <row r="67" spans="1:50" ht="14.4" thickBot="1" x14ac:dyDescent="0.35">
      <c r="A67" s="1201"/>
      <c r="B67" s="1202"/>
      <c r="C67" s="1203"/>
      <c r="D67" s="382" t="s">
        <v>21</v>
      </c>
      <c r="E67" s="382">
        <f>IF($B66="","",COUNTIF(Penalties!$AS14:$BA14,E$55))</f>
        <v>0</v>
      </c>
      <c r="F67" s="382">
        <f>IF($B66="","",COUNTIF(Penalties!$AS14:$BA14,F$55))</f>
        <v>0</v>
      </c>
      <c r="G67" s="382">
        <f>IF($B66="","",COUNTIF(Penalties!$AS14:$BA14,G$55))</f>
        <v>0</v>
      </c>
      <c r="H67" s="382">
        <f>IF($B66="","",COUNTIF(Penalties!$AS14:$BA14,H$55))</f>
        <v>0</v>
      </c>
      <c r="I67" s="382">
        <f>IF($B66="","",COUNTIF(Penalties!$AS14:$BA14,I$55))</f>
        <v>0</v>
      </c>
      <c r="J67" s="382">
        <f>IF($B66="","",COUNTIF(Penalties!$AS14:$BA14,J$55))</f>
        <v>0</v>
      </c>
      <c r="K67" s="382">
        <f>IF($B66="","",COUNTIF(Penalties!$AS14:$BA14,K$55))</f>
        <v>0</v>
      </c>
      <c r="L67" s="382">
        <f>IF($B66="","",COUNTIF(Penalties!$AS14:$BA14,L$55))</f>
        <v>0</v>
      </c>
      <c r="M67" s="382">
        <f>IF($B66="","",COUNTIF(Penalties!$AS14:$BA14,M$55))</f>
        <v>0</v>
      </c>
      <c r="N67" s="382">
        <f>IF($B66="","",COUNTIF(Penalties!$AS14:$BA14,N$55))</f>
        <v>1</v>
      </c>
      <c r="O67" s="382">
        <f>IF($B66="","",COUNTIF(Penalties!$AS14:$BA14,O$55))</f>
        <v>0</v>
      </c>
      <c r="P67" s="382">
        <f>IF($B66="","",COUNTIF(Penalties!$AS14:$BA14,P$55))</f>
        <v>0</v>
      </c>
      <c r="Q67" s="382">
        <f>IF($B66="","",COUNTIF(Penalties!$AS14:$BA14,Q$55))</f>
        <v>0</v>
      </c>
      <c r="R67" s="382">
        <f>IF($B66="","",COUNTIF(Penalties!$AS14:$BA14,R$55))</f>
        <v>0</v>
      </c>
      <c r="S67" s="382"/>
      <c r="T67" s="382"/>
      <c r="U67" s="392">
        <f>IF(B66="","",SUM(E67:T67))</f>
        <v>1</v>
      </c>
      <c r="V67" s="393">
        <f>IF(B66="","",SUM(E67:T67)*0.5)</f>
        <v>0.5</v>
      </c>
      <c r="W67" s="394" t="str">
        <f>IF($B66="","",IF(Penalties!$BB14=W$55,1,""))</f>
        <v/>
      </c>
      <c r="X67" s="394" t="str">
        <f>IF($B66="","",IF(Penalties!$BB14=X$55,1,""))</f>
        <v/>
      </c>
      <c r="Y67" s="394" t="str">
        <f>IF($B66="","",IF(Penalties!$BB14=Y$55,1,""))</f>
        <v/>
      </c>
      <c r="Z67" s="394" t="str">
        <f>IF($B66="","",IF(Penalties!$BB14=Z$55,1,""))</f>
        <v/>
      </c>
      <c r="AA67" s="394" t="str">
        <f>IF($B66="","",IF(Penalties!$BB14=AA$55,1,""))</f>
        <v/>
      </c>
      <c r="AB67" s="394" t="str">
        <f>IF($B66="","",IF(Penalties!$BB14=AB$55,1,""))</f>
        <v/>
      </c>
      <c r="AC67" s="394" t="str">
        <f>IF($B66="","",IF(Penalties!$BB14=AC$55,1,""))</f>
        <v/>
      </c>
      <c r="AD67" s="394" t="str">
        <f>IF($B66="","",IF(Penalties!$BB14=AD$55,1,""))</f>
        <v/>
      </c>
      <c r="AE67" s="394" t="str">
        <f>IF($B66="","",IF(Penalties!$BB14=AE$55,1,""))</f>
        <v/>
      </c>
      <c r="AF67" s="394" t="str">
        <f>IF($B66="","",IF(Penalties!$BB14=AF$55,1,""))</f>
        <v/>
      </c>
      <c r="AG67" s="394" t="str">
        <f>IF($B66="","",IF(Penalties!$BB14=AG$55,1,""))</f>
        <v/>
      </c>
      <c r="AH67" s="394" t="str">
        <f>IF($B66="","",IF(Penalties!$BB14=AH$55,1,""))</f>
        <v/>
      </c>
      <c r="AI67" s="394" t="str">
        <f>IF($B66="","",IF(Penalties!$BB14=AI$55,1,""))</f>
        <v/>
      </c>
      <c r="AJ67" s="396" t="str">
        <f>IF(SUM(X66:AI67)=0, "", IF(SUM(X66:AI66)=1, LOOKUP(1, X66:AI66, $X$55:$AI$55), LOOKUP(1, X67:AI67, $X$55:$AI$55)))</f>
        <v/>
      </c>
      <c r="AK67" s="64"/>
      <c r="AL67" s="64"/>
      <c r="AM67" s="64"/>
      <c r="AN67" s="64"/>
      <c r="AO67" s="64"/>
      <c r="AP67" s="64"/>
      <c r="AQ67" s="64"/>
      <c r="AR67" s="64"/>
      <c r="AS67" s="64"/>
      <c r="AT67" s="64"/>
      <c r="AU67" s="64"/>
      <c r="AV67" s="64"/>
      <c r="AW67" s="64"/>
      <c r="AX67" s="64"/>
    </row>
    <row r="68" spans="1:50" x14ac:dyDescent="0.3">
      <c r="A68" s="1204">
        <f>A66+1</f>
        <v>7</v>
      </c>
      <c r="B68" s="1205" t="str">
        <f>IF(IGRF!I20="","",IGRF!I20)</f>
        <v>223</v>
      </c>
      <c r="C68" s="1206" t="str">
        <f>IF(IGRF!J20="","",IGRF!J20)</f>
        <v>Frida Killah</v>
      </c>
      <c r="D68" s="381" t="s">
        <v>5</v>
      </c>
      <c r="E68" s="381">
        <f>IF($B68="","",COUNTIF(Penalties!$Q16:$Y16,E$55))</f>
        <v>0</v>
      </c>
      <c r="F68" s="381">
        <f>IF($B68="","",COUNTIF(Penalties!$Q16:$Y16,F$55))</f>
        <v>0</v>
      </c>
      <c r="G68" s="381">
        <f>IF($B68="","",COUNTIF(Penalties!$Q16:$Y16,G$55))</f>
        <v>0</v>
      </c>
      <c r="H68" s="381">
        <f>IF($B68="","",COUNTIF(Penalties!$Q16:$Y16,H$55))</f>
        <v>0</v>
      </c>
      <c r="I68" s="381">
        <f>IF($B68="","",COUNTIF(Penalties!$Q16:$Y16,I$55))</f>
        <v>0</v>
      </c>
      <c r="J68" s="381">
        <f>IF($B68="","",COUNTIF(Penalties!$Q16:$Y16,J$55))</f>
        <v>0</v>
      </c>
      <c r="K68" s="381">
        <f>IF($B68="","",COUNTIF(Penalties!$Q16:$Y16,K$55))</f>
        <v>0</v>
      </c>
      <c r="L68" s="381">
        <f>IF($B68="","",COUNTIF(Penalties!$Q16:$Y16,L$55))</f>
        <v>0</v>
      </c>
      <c r="M68" s="381">
        <f>IF($B68="","",COUNTIF(Penalties!$Q16:$Y16,M$55))</f>
        <v>0</v>
      </c>
      <c r="N68" s="381">
        <f>IF($B68="","",COUNTIF(Penalties!$Q16:$Y16,N$55))</f>
        <v>0</v>
      </c>
      <c r="O68" s="381">
        <f>IF($B68="","",COUNTIF(Penalties!$Q16:$Y16,O$55))</f>
        <v>0</v>
      </c>
      <c r="P68" s="381">
        <f>IF($B68="","",COUNTIF(Penalties!$Q16:$Y16,P$55))</f>
        <v>0</v>
      </c>
      <c r="Q68" s="381">
        <f>IF($B68="","",COUNTIF(Penalties!$Q16:$Y16,Q$55))</f>
        <v>0</v>
      </c>
      <c r="R68" s="381">
        <f>IF($B68="","",COUNTIF(Penalties!$Q16:$Y16,R$55))</f>
        <v>0</v>
      </c>
      <c r="U68" s="387">
        <f>IF(B68="","",SUM(E68:T68))</f>
        <v>0</v>
      </c>
      <c r="V68" s="388">
        <f>IF(B68="","",SUM(E68:T68)*0.5)</f>
        <v>0</v>
      </c>
      <c r="W68" s="389" t="str">
        <f>IF($B68="","",IF(Penalties!$Z16=W$55,1,""))</f>
        <v/>
      </c>
      <c r="X68" s="389" t="str">
        <f>IF($B68="","",IF(Penalties!$Z16=X$55,1,""))</f>
        <v/>
      </c>
      <c r="Y68" s="389" t="str">
        <f>IF($B68="","",IF(Penalties!$Z16=Y$55,1,""))</f>
        <v/>
      </c>
      <c r="Z68" s="389" t="str">
        <f>IF($B68="","",IF(Penalties!$Z16=Z$55,1,""))</f>
        <v/>
      </c>
      <c r="AA68" s="389" t="str">
        <f>IF($B68="","",IF(Penalties!$Z16=AA$55,1,""))</f>
        <v/>
      </c>
      <c r="AB68" s="389" t="str">
        <f>IF($B68="","",IF(Penalties!$Z16=AB$55,1,""))</f>
        <v/>
      </c>
      <c r="AC68" s="389" t="str">
        <f>IF($B68="","",IF(Penalties!$Z16=AC$55,1,""))</f>
        <v/>
      </c>
      <c r="AD68" s="389" t="str">
        <f>IF($B68="","",IF(Penalties!$Z16=AD$55,1,""))</f>
        <v/>
      </c>
      <c r="AE68" s="389" t="str">
        <f>IF($B68="","",IF(Penalties!$Z16=AE$55,1,""))</f>
        <v/>
      </c>
      <c r="AF68" s="389" t="str">
        <f>IF($B68="","",IF(Penalties!$Z16=AF$55,1,""))</f>
        <v/>
      </c>
      <c r="AG68" s="389" t="str">
        <f>IF($B68="","",IF(Penalties!$Z16=AG$55,1,""))</f>
        <v/>
      </c>
      <c r="AH68" s="389" t="str">
        <f>IF($B68="","",IF(Penalties!$Z16=AH$55,1,""))</f>
        <v/>
      </c>
      <c r="AI68" s="389" t="str">
        <f>IF($B68="","",IF(Penalties!$Z16=AI$55,1,""))</f>
        <v/>
      </c>
      <c r="AJ68" s="390"/>
      <c r="AK68" s="64"/>
      <c r="AL68" s="64"/>
      <c r="AM68" s="64"/>
      <c r="AN68" s="64"/>
      <c r="AO68" s="64"/>
      <c r="AP68" s="64"/>
      <c r="AQ68" s="64"/>
      <c r="AR68" s="64"/>
      <c r="AS68" s="64"/>
      <c r="AT68" s="64"/>
      <c r="AU68" s="64"/>
      <c r="AV68" s="64"/>
      <c r="AW68" s="64"/>
      <c r="AX68" s="64"/>
    </row>
    <row r="69" spans="1:50" x14ac:dyDescent="0.3">
      <c r="A69" s="1204"/>
      <c r="B69" s="1205"/>
      <c r="C69" s="1206"/>
      <c r="D69" s="381" t="s">
        <v>21</v>
      </c>
      <c r="E69" s="381">
        <f>IF($B68="","",COUNTIF(Penalties!$AS16:$BA16,E$55))</f>
        <v>0</v>
      </c>
      <c r="F69" s="381">
        <f>IF($B68="","",COUNTIF(Penalties!$AS16:$BA16,F$55))</f>
        <v>0</v>
      </c>
      <c r="G69" s="381">
        <f>IF($B68="","",COUNTIF(Penalties!$AS16:$BA16,G$55))</f>
        <v>0</v>
      </c>
      <c r="H69" s="381">
        <f>IF($B68="","",COUNTIF(Penalties!$AS16:$BA16,H$55))</f>
        <v>0</v>
      </c>
      <c r="I69" s="381">
        <f>IF($B68="","",COUNTIF(Penalties!$AS16:$BA16,I$55))</f>
        <v>0</v>
      </c>
      <c r="J69" s="381">
        <f>IF($B68="","",COUNTIF(Penalties!$AS16:$BA16,J$55))</f>
        <v>0</v>
      </c>
      <c r="K69" s="381">
        <f>IF($B68="","",COUNTIF(Penalties!$AS16:$BA16,K$55))</f>
        <v>0</v>
      </c>
      <c r="L69" s="381">
        <f>IF($B68="","",COUNTIF(Penalties!$AS16:$BA16,L$55))</f>
        <v>0</v>
      </c>
      <c r="M69" s="381">
        <f>IF($B68="","",COUNTIF(Penalties!$AS16:$BA16,M$55))</f>
        <v>0</v>
      </c>
      <c r="N69" s="381">
        <f>IF($B68="","",COUNTIF(Penalties!$AS16:$BA16,N$55))</f>
        <v>0</v>
      </c>
      <c r="O69" s="381">
        <f>IF($B68="","",COUNTIF(Penalties!$AS16:$BA16,O$55))</f>
        <v>0</v>
      </c>
      <c r="P69" s="381">
        <f>IF($B68="","",COUNTIF(Penalties!$AS16:$BA16,P$55))</f>
        <v>0</v>
      </c>
      <c r="Q69" s="381">
        <f>IF($B68="","",COUNTIF(Penalties!$AS16:$BA16,Q$55))</f>
        <v>0</v>
      </c>
      <c r="R69" s="381">
        <f>IF($B68="","",COUNTIF(Penalties!$AS16:$BA16,R$55))</f>
        <v>0</v>
      </c>
      <c r="U69" s="387">
        <f>IF(B68="","",SUM(E69:T69))</f>
        <v>0</v>
      </c>
      <c r="V69" s="388">
        <f>IF(B68="","",SUM(E69:T69)*0.5)</f>
        <v>0</v>
      </c>
      <c r="W69" s="389" t="str">
        <f>IF($B68="","",IF(Penalties!$BB16=W$55,1,""))</f>
        <v/>
      </c>
      <c r="X69" s="389" t="str">
        <f>IF($B68="","",IF(Penalties!$BB16=X$55,1,""))</f>
        <v/>
      </c>
      <c r="Y69" s="389" t="str">
        <f>IF($B68="","",IF(Penalties!$BB16=Y$55,1,""))</f>
        <v/>
      </c>
      <c r="Z69" s="389" t="str">
        <f>IF($B68="","",IF(Penalties!$BB16=Z$55,1,""))</f>
        <v/>
      </c>
      <c r="AA69" s="389" t="str">
        <f>IF($B68="","",IF(Penalties!$BB16=AA$55,1,""))</f>
        <v/>
      </c>
      <c r="AB69" s="389" t="str">
        <f>IF($B68="","",IF(Penalties!$BB16=AB$55,1,""))</f>
        <v/>
      </c>
      <c r="AC69" s="389" t="str">
        <f>IF($B68="","",IF(Penalties!$BB16=AC$55,1,""))</f>
        <v/>
      </c>
      <c r="AD69" s="389" t="str">
        <f>IF($B68="","",IF(Penalties!$BB16=AD$55,1,""))</f>
        <v/>
      </c>
      <c r="AE69" s="389" t="str">
        <f>IF($B68="","",IF(Penalties!$BB16=AE$55,1,""))</f>
        <v/>
      </c>
      <c r="AF69" s="389" t="str">
        <f>IF($B68="","",IF(Penalties!$BB16=AF$55,1,""))</f>
        <v/>
      </c>
      <c r="AG69" s="389" t="str">
        <f>IF($B68="","",IF(Penalties!$BB16=AG$55,1,""))</f>
        <v/>
      </c>
      <c r="AH69" s="389" t="str">
        <f>IF($B68="","",IF(Penalties!$BB16=AH$55,1,""))</f>
        <v/>
      </c>
      <c r="AI69" s="389" t="str">
        <f>IF($B68="","",IF(Penalties!$BB16=AI$55,1,""))</f>
        <v/>
      </c>
      <c r="AJ69" s="391" t="str">
        <f>IF(SUM(X68:AI69)=0, "", IF(SUM(X68:AI68)=1, LOOKUP(1, X68:AI68, $X$55:$AI$55), LOOKUP(1, X69:AI69, $X$55:$AI$55)))</f>
        <v/>
      </c>
      <c r="AK69" s="64"/>
      <c r="AL69" s="64"/>
      <c r="AM69" s="64"/>
      <c r="AN69" s="64"/>
      <c r="AO69" s="64"/>
      <c r="AP69" s="64"/>
      <c r="AQ69" s="64"/>
      <c r="AR69" s="64"/>
      <c r="AS69" s="64"/>
      <c r="AT69" s="64"/>
      <c r="AU69" s="64"/>
      <c r="AV69" s="64"/>
      <c r="AW69" s="64"/>
      <c r="AX69" s="64"/>
    </row>
    <row r="70" spans="1:50" x14ac:dyDescent="0.3">
      <c r="A70" s="1201">
        <f>A68+1</f>
        <v>8</v>
      </c>
      <c r="B70" s="1202" t="str">
        <f>IF(IGRF!I21="","",IGRF!I21)</f>
        <v>23</v>
      </c>
      <c r="C70" s="1203" t="str">
        <f>IF(IGRF!J21="","",IGRF!J21)</f>
        <v>Towanda Woman</v>
      </c>
      <c r="D70" s="382" t="s">
        <v>5</v>
      </c>
      <c r="E70" s="382">
        <f>IF($B70="","",COUNTIF(Penalties!$Q18:$Y18,E$55))</f>
        <v>0</v>
      </c>
      <c r="F70" s="382">
        <f>IF($B70="","",COUNTIF(Penalties!$Q18:$Y18,F$55))</f>
        <v>0</v>
      </c>
      <c r="G70" s="382">
        <f>IF($B70="","",COUNTIF(Penalties!$Q18:$Y18,G$55))</f>
        <v>0</v>
      </c>
      <c r="H70" s="382">
        <f>IF($B70="","",COUNTIF(Penalties!$Q18:$Y18,H$55))</f>
        <v>0</v>
      </c>
      <c r="I70" s="382">
        <f>IF($B70="","",COUNTIF(Penalties!$Q18:$Y18,I$55))</f>
        <v>0</v>
      </c>
      <c r="J70" s="382">
        <f>IF($B70="","",COUNTIF(Penalties!$Q18:$Y18,J$55))</f>
        <v>0</v>
      </c>
      <c r="K70" s="382">
        <f>IF($B70="","",COUNTIF(Penalties!$Q18:$Y18,K$55))</f>
        <v>0</v>
      </c>
      <c r="L70" s="382">
        <f>IF($B70="","",COUNTIF(Penalties!$Q18:$Y18,L$55))</f>
        <v>0</v>
      </c>
      <c r="M70" s="382">
        <f>IF($B70="","",COUNTIF(Penalties!$Q18:$Y18,M$55))</f>
        <v>0</v>
      </c>
      <c r="N70" s="382">
        <f>IF($B70="","",COUNTIF(Penalties!$Q18:$Y18,N$55))</f>
        <v>0</v>
      </c>
      <c r="O70" s="382">
        <f>IF($B70="","",COUNTIF(Penalties!$Q18:$Y18,O$55))</f>
        <v>0</v>
      </c>
      <c r="P70" s="382">
        <f>IF($B70="","",COUNTIF(Penalties!$Q18:$Y18,P$55))</f>
        <v>0</v>
      </c>
      <c r="Q70" s="382">
        <f>IF($B70="","",COUNTIF(Penalties!$Q18:$Y18,Q$55))</f>
        <v>0</v>
      </c>
      <c r="R70" s="382">
        <f>IF($B70="","",COUNTIF(Penalties!$Q18:$Y18,R$55))</f>
        <v>0</v>
      </c>
      <c r="S70" s="382"/>
      <c r="T70" s="382"/>
      <c r="U70" s="392">
        <f>IF(B70="","",SUM(E70:T70))</f>
        <v>0</v>
      </c>
      <c r="V70" s="393">
        <f>IF(B70="","",SUM(E70:T70)*0.5)</f>
        <v>0</v>
      </c>
      <c r="W70" s="394" t="str">
        <f>IF($B70="","",IF(Penalties!$Z18=W$55,1,""))</f>
        <v/>
      </c>
      <c r="X70" s="394" t="str">
        <f>IF($B70="","",IF(Penalties!$Z18=X$55,1,""))</f>
        <v/>
      </c>
      <c r="Y70" s="394" t="str">
        <f>IF($B70="","",IF(Penalties!$Z18=Y$55,1,""))</f>
        <v/>
      </c>
      <c r="Z70" s="394" t="str">
        <f>IF($B70="","",IF(Penalties!$Z18=Z$55,1,""))</f>
        <v/>
      </c>
      <c r="AA70" s="394" t="str">
        <f>IF($B70="","",IF(Penalties!$Z18=AA$55,1,""))</f>
        <v/>
      </c>
      <c r="AB70" s="394" t="str">
        <f>IF($B70="","",IF(Penalties!$Z18=AB$55,1,""))</f>
        <v/>
      </c>
      <c r="AC70" s="394" t="str">
        <f>IF($B70="","",IF(Penalties!$Z18=AC$55,1,""))</f>
        <v/>
      </c>
      <c r="AD70" s="394" t="str">
        <f>IF($B70="","",IF(Penalties!$Z18=AD$55,1,""))</f>
        <v/>
      </c>
      <c r="AE70" s="394" t="str">
        <f>IF($B70="","",IF(Penalties!$Z18=AE$55,1,""))</f>
        <v/>
      </c>
      <c r="AF70" s="394" t="str">
        <f>IF($B70="","",IF(Penalties!$Z18=AF$55,1,""))</f>
        <v/>
      </c>
      <c r="AG70" s="394" t="str">
        <f>IF($B70="","",IF(Penalties!$Z18=AG$55,1,""))</f>
        <v/>
      </c>
      <c r="AH70" s="394" t="str">
        <f>IF($B70="","",IF(Penalties!$Z18=AH$55,1,""))</f>
        <v/>
      </c>
      <c r="AI70" s="394" t="str">
        <f>IF($B70="","",IF(Penalties!$Z18=AI$55,1,""))</f>
        <v/>
      </c>
      <c r="AJ70" s="395"/>
      <c r="AK70" s="64"/>
      <c r="AL70" s="64"/>
      <c r="AM70" s="64"/>
      <c r="AN70" s="64"/>
      <c r="AO70" s="64"/>
      <c r="AP70" s="64"/>
      <c r="AQ70" s="64"/>
      <c r="AR70" s="64"/>
      <c r="AS70" s="64"/>
      <c r="AT70" s="64"/>
      <c r="AU70" s="64"/>
      <c r="AV70" s="64"/>
      <c r="AW70" s="64"/>
      <c r="AX70" s="64"/>
    </row>
    <row r="71" spans="1:50" ht="14.4" thickBot="1" x14ac:dyDescent="0.35">
      <c r="A71" s="1201"/>
      <c r="B71" s="1202"/>
      <c r="C71" s="1203"/>
      <c r="D71" s="382" t="s">
        <v>21</v>
      </c>
      <c r="E71" s="382">
        <f>IF($B70="","",COUNTIF(Penalties!$AS18:$BA18,E$55))</f>
        <v>0</v>
      </c>
      <c r="F71" s="382">
        <f>IF($B70="","",COUNTIF(Penalties!$AS18:$BA18,F$55))</f>
        <v>0</v>
      </c>
      <c r="G71" s="382">
        <f>IF($B70="","",COUNTIF(Penalties!$AS18:$BA18,G$55))</f>
        <v>0</v>
      </c>
      <c r="H71" s="382">
        <f>IF($B70="","",COUNTIF(Penalties!$AS18:$BA18,H$55))</f>
        <v>0</v>
      </c>
      <c r="I71" s="382">
        <f>IF($B70="","",COUNTIF(Penalties!$AS18:$BA18,I$55))</f>
        <v>0</v>
      </c>
      <c r="J71" s="382">
        <f>IF($B70="","",COUNTIF(Penalties!$AS18:$BA18,J$55))</f>
        <v>0</v>
      </c>
      <c r="K71" s="382">
        <f>IF($B70="","",COUNTIF(Penalties!$AS18:$BA18,K$55))</f>
        <v>0</v>
      </c>
      <c r="L71" s="382">
        <f>IF($B70="","",COUNTIF(Penalties!$AS18:$BA18,L$55))</f>
        <v>0</v>
      </c>
      <c r="M71" s="382">
        <f>IF($B70="","",COUNTIF(Penalties!$AS18:$BA18,M$55))</f>
        <v>0</v>
      </c>
      <c r="N71" s="382">
        <f>IF($B70="","",COUNTIF(Penalties!$AS18:$BA18,N$55))</f>
        <v>0</v>
      </c>
      <c r="O71" s="382">
        <f>IF($B70="","",COUNTIF(Penalties!$AS18:$BA18,O$55))</f>
        <v>0</v>
      </c>
      <c r="P71" s="382">
        <f>IF($B70="","",COUNTIF(Penalties!$AS18:$BA18,P$55))</f>
        <v>0</v>
      </c>
      <c r="Q71" s="382">
        <f>IF($B70="","",COUNTIF(Penalties!$AS18:$BA18,Q$55))</f>
        <v>0</v>
      </c>
      <c r="R71" s="382">
        <f>IF($B70="","",COUNTIF(Penalties!$AS18:$BA18,R$55))</f>
        <v>0</v>
      </c>
      <c r="S71" s="382"/>
      <c r="T71" s="382"/>
      <c r="U71" s="392">
        <f>IF(B70="","",SUM(E71:T71))</f>
        <v>0</v>
      </c>
      <c r="V71" s="393">
        <f>IF(B70="","",SUM(E71:T71)*0.5)</f>
        <v>0</v>
      </c>
      <c r="W71" s="394" t="str">
        <f>IF($B70="","",IF(Penalties!$BB18=W$55,1,""))</f>
        <v/>
      </c>
      <c r="X71" s="394" t="str">
        <f>IF($B70="","",IF(Penalties!$BB18=X$55,1,""))</f>
        <v/>
      </c>
      <c r="Y71" s="394" t="str">
        <f>IF($B70="","",IF(Penalties!$BB18=Y$55,1,""))</f>
        <v/>
      </c>
      <c r="Z71" s="394" t="str">
        <f>IF($B70="","",IF(Penalties!$BB18=Z$55,1,""))</f>
        <v/>
      </c>
      <c r="AA71" s="394" t="str">
        <f>IF($B70="","",IF(Penalties!$BB18=AA$55,1,""))</f>
        <v/>
      </c>
      <c r="AB71" s="394" t="str">
        <f>IF($B70="","",IF(Penalties!$BB18=AB$55,1,""))</f>
        <v/>
      </c>
      <c r="AC71" s="394" t="str">
        <f>IF($B70="","",IF(Penalties!$BB18=AC$55,1,""))</f>
        <v/>
      </c>
      <c r="AD71" s="394" t="str">
        <f>IF($B70="","",IF(Penalties!$BB18=AD$55,1,""))</f>
        <v/>
      </c>
      <c r="AE71" s="394" t="str">
        <f>IF($B70="","",IF(Penalties!$BB18=AE$55,1,""))</f>
        <v/>
      </c>
      <c r="AF71" s="394" t="str">
        <f>IF($B70="","",IF(Penalties!$BB18=AF$55,1,""))</f>
        <v/>
      </c>
      <c r="AG71" s="394" t="str">
        <f>IF($B70="","",IF(Penalties!$BB18=AG$55,1,""))</f>
        <v/>
      </c>
      <c r="AH71" s="394" t="str">
        <f>IF($B70="","",IF(Penalties!$BB18=AH$55,1,""))</f>
        <v/>
      </c>
      <c r="AI71" s="394" t="str">
        <f>IF($B70="","",IF(Penalties!$BB18=AI$55,1,""))</f>
        <v/>
      </c>
      <c r="AJ71" s="396" t="str">
        <f>IF(SUM(X70:AI71)=0, "", IF(SUM(X70:AI70)=1, LOOKUP(1, X70:AI70, $X$55:$AI$55), LOOKUP(1, X71:AI71, $X$55:$AI$55)))</f>
        <v/>
      </c>
      <c r="AK71" s="64"/>
      <c r="AL71" s="64"/>
      <c r="AM71" s="64"/>
      <c r="AN71" s="64"/>
      <c r="AO71" s="64"/>
      <c r="AP71" s="64"/>
      <c r="AQ71" s="64"/>
      <c r="AR71" s="64"/>
      <c r="AS71" s="64"/>
      <c r="AT71" s="64"/>
      <c r="AU71" s="64"/>
      <c r="AV71" s="64"/>
      <c r="AW71" s="64"/>
      <c r="AX71" s="64"/>
    </row>
    <row r="72" spans="1:50" x14ac:dyDescent="0.3">
      <c r="A72" s="1204">
        <f>A70+1</f>
        <v>9</v>
      </c>
      <c r="B72" s="1205" t="str">
        <f>IF(IGRF!I22="","",IGRF!I22)</f>
        <v>25</v>
      </c>
      <c r="C72" s="1206" t="str">
        <f>IF(IGRF!J22="","",IGRF!J22)</f>
        <v>Ally McKill</v>
      </c>
      <c r="D72" s="381" t="s">
        <v>5</v>
      </c>
      <c r="E72" s="381">
        <f>IF($B72="","",COUNTIF(Penalties!$Q20:$Y20,E$55))</f>
        <v>0</v>
      </c>
      <c r="F72" s="381">
        <f>IF($B72="","",COUNTIF(Penalties!$Q20:$Y20,F$55))</f>
        <v>0</v>
      </c>
      <c r="G72" s="381">
        <f>IF($B72="","",COUNTIF(Penalties!$Q20:$Y20,G$55))</f>
        <v>0</v>
      </c>
      <c r="H72" s="381">
        <f>IF($B72="","",COUNTIF(Penalties!$Q20:$Y20,H$55))</f>
        <v>0</v>
      </c>
      <c r="I72" s="381">
        <f>IF($B72="","",COUNTIF(Penalties!$Q20:$Y20,I$55))</f>
        <v>0</v>
      </c>
      <c r="J72" s="381">
        <f>IF($B72="","",COUNTIF(Penalties!$Q20:$Y20,J$55))</f>
        <v>1</v>
      </c>
      <c r="K72" s="381">
        <f>IF($B72="","",COUNTIF(Penalties!$Q20:$Y20,K$55))</f>
        <v>0</v>
      </c>
      <c r="L72" s="381">
        <f>IF($B72="","",COUNTIF(Penalties!$Q20:$Y20,L$55))</f>
        <v>0</v>
      </c>
      <c r="M72" s="381">
        <f>IF($B72="","",COUNTIF(Penalties!$Q20:$Y20,M$55))</f>
        <v>0</v>
      </c>
      <c r="N72" s="381">
        <f>IF($B72="","",COUNTIF(Penalties!$Q20:$Y20,N$55))</f>
        <v>0</v>
      </c>
      <c r="O72" s="381">
        <f>IF($B72="","",COUNTIF(Penalties!$Q20:$Y20,O$55))</f>
        <v>0</v>
      </c>
      <c r="P72" s="381">
        <f>IF($B72="","",COUNTIF(Penalties!$Q20:$Y20,P$55))</f>
        <v>0</v>
      </c>
      <c r="Q72" s="381">
        <f>IF($B72="","",COUNTIF(Penalties!$Q20:$Y20,Q$55))</f>
        <v>0</v>
      </c>
      <c r="R72" s="381">
        <f>IF($B72="","",COUNTIF(Penalties!$Q20:$Y20,R$55))</f>
        <v>0</v>
      </c>
      <c r="U72" s="387">
        <f>IF(B72="","",SUM(E72:T72))</f>
        <v>1</v>
      </c>
      <c r="V72" s="388">
        <f>IF(B72="","",SUM(E72:T72)*0.5)</f>
        <v>0.5</v>
      </c>
      <c r="W72" s="389" t="str">
        <f>IF($B72="","",IF(Penalties!$Z20=W$55,1,""))</f>
        <v/>
      </c>
      <c r="X72" s="389" t="str">
        <f>IF($B72="","",IF(Penalties!$Z20=X$55,1,""))</f>
        <v/>
      </c>
      <c r="Y72" s="389" t="str">
        <f>IF($B72="","",IF(Penalties!$Z20=Y$55,1,""))</f>
        <v/>
      </c>
      <c r="Z72" s="389" t="str">
        <f>IF($B72="","",IF(Penalties!$Z20=Z$55,1,""))</f>
        <v/>
      </c>
      <c r="AA72" s="389" t="str">
        <f>IF($B72="","",IF(Penalties!$Z20=AA$55,1,""))</f>
        <v/>
      </c>
      <c r="AB72" s="389" t="str">
        <f>IF($B72="","",IF(Penalties!$Z20=AB$55,1,""))</f>
        <v/>
      </c>
      <c r="AC72" s="389" t="str">
        <f>IF($B72="","",IF(Penalties!$Z20=AC$55,1,""))</f>
        <v/>
      </c>
      <c r="AD72" s="389" t="str">
        <f>IF($B72="","",IF(Penalties!$Z20=AD$55,1,""))</f>
        <v/>
      </c>
      <c r="AE72" s="389" t="str">
        <f>IF($B72="","",IF(Penalties!$Z20=AE$55,1,""))</f>
        <v/>
      </c>
      <c r="AF72" s="389" t="str">
        <f>IF($B72="","",IF(Penalties!$Z20=AF$55,1,""))</f>
        <v/>
      </c>
      <c r="AG72" s="389" t="str">
        <f>IF($B72="","",IF(Penalties!$Z20=AG$55,1,""))</f>
        <v/>
      </c>
      <c r="AH72" s="389" t="str">
        <f>IF($B72="","",IF(Penalties!$Z20=AH$55,1,""))</f>
        <v/>
      </c>
      <c r="AI72" s="389" t="str">
        <f>IF($B72="","",IF(Penalties!$Z20=AI$55,1,""))</f>
        <v/>
      </c>
      <c r="AJ72" s="390"/>
      <c r="AK72" s="64"/>
      <c r="AL72" s="64"/>
      <c r="AM72" s="64"/>
      <c r="AN72" s="64"/>
      <c r="AO72" s="64"/>
      <c r="AP72" s="64"/>
      <c r="AQ72" s="64"/>
      <c r="AR72" s="64"/>
      <c r="AS72" s="64"/>
      <c r="AT72" s="64"/>
      <c r="AU72" s="64"/>
      <c r="AV72" s="64"/>
      <c r="AW72" s="64"/>
      <c r="AX72" s="64"/>
    </row>
    <row r="73" spans="1:50" x14ac:dyDescent="0.3">
      <c r="A73" s="1204"/>
      <c r="B73" s="1205"/>
      <c r="C73" s="1206"/>
      <c r="D73" s="381" t="s">
        <v>21</v>
      </c>
      <c r="E73" s="381">
        <f>IF($B72="","",COUNTIF(Penalties!$AS20:$BA20,E$55))</f>
        <v>0</v>
      </c>
      <c r="F73" s="381">
        <f>IF($B72="","",COUNTIF(Penalties!$AS20:$BA20,F$55))</f>
        <v>0</v>
      </c>
      <c r="G73" s="381">
        <f>IF($B72="","",COUNTIF(Penalties!$AS20:$BA20,G$55))</f>
        <v>0</v>
      </c>
      <c r="H73" s="381">
        <f>IF($B72="","",COUNTIF(Penalties!$AS20:$BA20,H$55))</f>
        <v>0</v>
      </c>
      <c r="I73" s="381">
        <f>IF($B72="","",COUNTIF(Penalties!$AS20:$BA20,I$55))</f>
        <v>0</v>
      </c>
      <c r="J73" s="381">
        <f>IF($B72="","",COUNTIF(Penalties!$AS20:$BA20,J$55))</f>
        <v>1</v>
      </c>
      <c r="K73" s="381">
        <f>IF($B72="","",COUNTIF(Penalties!$AS20:$BA20,K$55))</f>
        <v>0</v>
      </c>
      <c r="L73" s="381">
        <f>IF($B72="","",COUNTIF(Penalties!$AS20:$BA20,L$55))</f>
        <v>0</v>
      </c>
      <c r="M73" s="381">
        <f>IF($B72="","",COUNTIF(Penalties!$AS20:$BA20,M$55))</f>
        <v>0</v>
      </c>
      <c r="N73" s="381">
        <f>IF($B72="","",COUNTIF(Penalties!$AS20:$BA20,N$55))</f>
        <v>0</v>
      </c>
      <c r="O73" s="381">
        <f>IF($B72="","",COUNTIF(Penalties!$AS20:$BA20,O$55))</f>
        <v>0</v>
      </c>
      <c r="P73" s="381">
        <f>IF($B72="","",COUNTIF(Penalties!$AS20:$BA20,P$55))</f>
        <v>0</v>
      </c>
      <c r="Q73" s="381">
        <f>IF($B72="","",COUNTIF(Penalties!$AS20:$BA20,Q$55))</f>
        <v>0</v>
      </c>
      <c r="R73" s="381">
        <f>IF($B72="","",COUNTIF(Penalties!$AS20:$BA20,R$55))</f>
        <v>0</v>
      </c>
      <c r="U73" s="387">
        <f>IF(B72="","",SUM(E73:T73))</f>
        <v>1</v>
      </c>
      <c r="V73" s="388">
        <f>IF(B72="","",SUM(E73:T73)*0.5)</f>
        <v>0.5</v>
      </c>
      <c r="W73" s="389" t="str">
        <f>IF($B72="","",IF(Penalties!$BB20=W$55,1,""))</f>
        <v/>
      </c>
      <c r="X73" s="389" t="str">
        <f>IF($B72="","",IF(Penalties!$BB20=X$55,1,""))</f>
        <v/>
      </c>
      <c r="Y73" s="389" t="str">
        <f>IF($B72="","",IF(Penalties!$BB20=Y$55,1,""))</f>
        <v/>
      </c>
      <c r="Z73" s="389" t="str">
        <f>IF($B72="","",IF(Penalties!$BB20=Z$55,1,""))</f>
        <v/>
      </c>
      <c r="AA73" s="389" t="str">
        <f>IF($B72="","",IF(Penalties!$BB20=AA$55,1,""))</f>
        <v/>
      </c>
      <c r="AB73" s="389" t="str">
        <f>IF($B72="","",IF(Penalties!$BB20=AB$55,1,""))</f>
        <v/>
      </c>
      <c r="AC73" s="389" t="str">
        <f>IF($B72="","",IF(Penalties!$BB20=AC$55,1,""))</f>
        <v/>
      </c>
      <c r="AD73" s="389" t="str">
        <f>IF($B72="","",IF(Penalties!$BB20=AD$55,1,""))</f>
        <v/>
      </c>
      <c r="AE73" s="389" t="str">
        <f>IF($B72="","",IF(Penalties!$BB20=AE$55,1,""))</f>
        <v/>
      </c>
      <c r="AF73" s="389" t="str">
        <f>IF($B72="","",IF(Penalties!$BB20=AF$55,1,""))</f>
        <v/>
      </c>
      <c r="AG73" s="389" t="str">
        <f>IF($B72="","",IF(Penalties!$BB20=AG$55,1,""))</f>
        <v/>
      </c>
      <c r="AH73" s="389" t="str">
        <f>IF($B72="","",IF(Penalties!$BB20=AH$55,1,""))</f>
        <v/>
      </c>
      <c r="AI73" s="389" t="str">
        <f>IF($B72="","",IF(Penalties!$BB20=AI$55,1,""))</f>
        <v/>
      </c>
      <c r="AJ73" s="391" t="str">
        <f>IF(SUM(X72:AI73)=0, "", IF(SUM(X72:AI72)=1, LOOKUP(1, X72:AI72, $X$55:$AI$55), LOOKUP(1, X73:AI73, $X$55:$AI$55)))</f>
        <v/>
      </c>
      <c r="AK73" s="64"/>
      <c r="AL73" s="64"/>
      <c r="AM73" s="64"/>
      <c r="AN73" s="64"/>
      <c r="AO73" s="64"/>
      <c r="AP73" s="64"/>
      <c r="AQ73" s="64"/>
      <c r="AR73" s="64"/>
      <c r="AS73" s="64"/>
      <c r="AT73" s="64"/>
      <c r="AU73" s="64"/>
      <c r="AV73" s="64"/>
      <c r="AW73" s="64"/>
      <c r="AX73" s="64"/>
    </row>
    <row r="74" spans="1:50" x14ac:dyDescent="0.3">
      <c r="A74" s="1201">
        <f>A72+1</f>
        <v>10</v>
      </c>
      <c r="B74" s="1202" t="str">
        <f>IF(IGRF!I23="","",IGRF!I23)</f>
        <v>26</v>
      </c>
      <c r="C74" s="1203" t="str">
        <f>IF(IGRF!J23="","",IGRF!J23)</f>
        <v>Strange</v>
      </c>
      <c r="D74" s="382" t="s">
        <v>5</v>
      </c>
      <c r="E74" s="382">
        <f>IF($B74="","",COUNTIF(Penalties!$Q22:$Y22,E$55))</f>
        <v>0</v>
      </c>
      <c r="F74" s="382">
        <f>IF($B74="","",COUNTIF(Penalties!$Q22:$Y22,F$55))</f>
        <v>0</v>
      </c>
      <c r="G74" s="382">
        <f>IF($B74="","",COUNTIF(Penalties!$Q22:$Y22,G$55))</f>
        <v>0</v>
      </c>
      <c r="H74" s="382">
        <f>IF($B74="","",COUNTIF(Penalties!$Q22:$Y22,H$55))</f>
        <v>0</v>
      </c>
      <c r="I74" s="382">
        <f>IF($B74="","",COUNTIF(Penalties!$Q22:$Y22,I$55))</f>
        <v>0</v>
      </c>
      <c r="J74" s="382">
        <f>IF($B74="","",COUNTIF(Penalties!$Q22:$Y22,J$55))</f>
        <v>0</v>
      </c>
      <c r="K74" s="382">
        <f>IF($B74="","",COUNTIF(Penalties!$Q22:$Y22,K$55))</f>
        <v>0</v>
      </c>
      <c r="L74" s="382">
        <f>IF($B74="","",COUNTIF(Penalties!$Q22:$Y22,L$55))</f>
        <v>0</v>
      </c>
      <c r="M74" s="382">
        <f>IF($B74="","",COUNTIF(Penalties!$Q22:$Y22,M$55))</f>
        <v>0</v>
      </c>
      <c r="N74" s="382">
        <f>IF($B74="","",COUNTIF(Penalties!$Q22:$Y22,N$55))</f>
        <v>0</v>
      </c>
      <c r="O74" s="382">
        <f>IF($B74="","",COUNTIF(Penalties!$Q22:$Y22,O$55))</f>
        <v>0</v>
      </c>
      <c r="P74" s="382">
        <f>IF($B74="","",COUNTIF(Penalties!$Q22:$Y22,P$55))</f>
        <v>0</v>
      </c>
      <c r="Q74" s="382">
        <f>IF($B74="","",COUNTIF(Penalties!$Q22:$Y22,Q$55))</f>
        <v>0</v>
      </c>
      <c r="R74" s="382">
        <f>IF($B74="","",COUNTIF(Penalties!$Q22:$Y22,R$55))</f>
        <v>0</v>
      </c>
      <c r="S74" s="382"/>
      <c r="T74" s="382"/>
      <c r="U74" s="392">
        <f>IF(B74="","",SUM(E74:T74))</f>
        <v>0</v>
      </c>
      <c r="V74" s="393">
        <f>IF(B74="","",SUM(E74:T74)*0.5)</f>
        <v>0</v>
      </c>
      <c r="W74" s="394" t="str">
        <f>IF($B74="","",IF(Penalties!$Z22=W$55,1,""))</f>
        <v/>
      </c>
      <c r="X74" s="394" t="str">
        <f>IF($B74="","",IF(Penalties!$Z22=X$55,1,""))</f>
        <v/>
      </c>
      <c r="Y74" s="394" t="str">
        <f>IF($B74="","",IF(Penalties!$Z22=Y$55,1,""))</f>
        <v/>
      </c>
      <c r="Z74" s="394" t="str">
        <f>IF($B74="","",IF(Penalties!$Z22=Z$55,1,""))</f>
        <v/>
      </c>
      <c r="AA74" s="394" t="str">
        <f>IF($B74="","",IF(Penalties!$Z22=AA$55,1,""))</f>
        <v/>
      </c>
      <c r="AB74" s="394" t="str">
        <f>IF($B74="","",IF(Penalties!$Z22=AB$55,1,""))</f>
        <v/>
      </c>
      <c r="AC74" s="394" t="str">
        <f>IF($B74="","",IF(Penalties!$Z22=AC$55,1,""))</f>
        <v/>
      </c>
      <c r="AD74" s="394" t="str">
        <f>IF($B74="","",IF(Penalties!$Z22=AD$55,1,""))</f>
        <v/>
      </c>
      <c r="AE74" s="394" t="str">
        <f>IF($B74="","",IF(Penalties!$Z22=AE$55,1,""))</f>
        <v/>
      </c>
      <c r="AF74" s="394" t="str">
        <f>IF($B74="","",IF(Penalties!$Z22=AF$55,1,""))</f>
        <v/>
      </c>
      <c r="AG74" s="394" t="str">
        <f>IF($B74="","",IF(Penalties!$Z22=AG$55,1,""))</f>
        <v/>
      </c>
      <c r="AH74" s="394" t="str">
        <f>IF($B74="","",IF(Penalties!$Z22=AH$55,1,""))</f>
        <v/>
      </c>
      <c r="AI74" s="394" t="str">
        <f>IF($B74="","",IF(Penalties!$Z22=AI$55,1,""))</f>
        <v/>
      </c>
      <c r="AJ74" s="395"/>
      <c r="AK74" s="64"/>
      <c r="AL74" s="64"/>
      <c r="AM74" s="64"/>
      <c r="AN74" s="64"/>
      <c r="AO74" s="64"/>
      <c r="AP74" s="64"/>
      <c r="AQ74" s="64"/>
      <c r="AR74" s="64"/>
      <c r="AS74" s="64"/>
      <c r="AT74" s="64"/>
      <c r="AU74" s="64"/>
      <c r="AV74" s="64"/>
      <c r="AW74" s="64"/>
      <c r="AX74" s="64"/>
    </row>
    <row r="75" spans="1:50" ht="14.4" thickBot="1" x14ac:dyDescent="0.35">
      <c r="A75" s="1201"/>
      <c r="B75" s="1202"/>
      <c r="C75" s="1203"/>
      <c r="D75" s="382" t="s">
        <v>21</v>
      </c>
      <c r="E75" s="382">
        <f>IF($B74="","",COUNTIF(Penalties!$AS22:$BA22,E$55))</f>
        <v>0</v>
      </c>
      <c r="F75" s="382">
        <f>IF($B74="","",COUNTIF(Penalties!$AS22:$BA22,F$55))</f>
        <v>0</v>
      </c>
      <c r="G75" s="382">
        <f>IF($B74="","",COUNTIF(Penalties!$AS22:$BA22,G$55))</f>
        <v>1</v>
      </c>
      <c r="H75" s="382">
        <f>IF($B74="","",COUNTIF(Penalties!$AS22:$BA22,H$55))</f>
        <v>0</v>
      </c>
      <c r="I75" s="382">
        <f>IF($B74="","",COUNTIF(Penalties!$AS22:$BA22,I$55))</f>
        <v>0</v>
      </c>
      <c r="J75" s="382">
        <f>IF($B74="","",COUNTIF(Penalties!$AS22:$BA22,J$55))</f>
        <v>0</v>
      </c>
      <c r="K75" s="382">
        <f>IF($B74="","",COUNTIF(Penalties!$AS22:$BA22,K$55))</f>
        <v>0</v>
      </c>
      <c r="L75" s="382">
        <f>IF($B74="","",COUNTIF(Penalties!$AS22:$BA22,L$55))</f>
        <v>0</v>
      </c>
      <c r="M75" s="382">
        <f>IF($B74="","",COUNTIF(Penalties!$AS22:$BA22,M$55))</f>
        <v>0</v>
      </c>
      <c r="N75" s="382">
        <f>IF($B74="","",COUNTIF(Penalties!$AS22:$BA22,N$55))</f>
        <v>0</v>
      </c>
      <c r="O75" s="382">
        <f>IF($B74="","",COUNTIF(Penalties!$AS22:$BA22,O$55))</f>
        <v>0</v>
      </c>
      <c r="P75" s="382">
        <f>IF($B74="","",COUNTIF(Penalties!$AS22:$BA22,P$55))</f>
        <v>0</v>
      </c>
      <c r="Q75" s="382">
        <f>IF($B74="","",COUNTIF(Penalties!$AS22:$BA22,Q$55))</f>
        <v>0</v>
      </c>
      <c r="R75" s="382">
        <f>IF($B74="","",COUNTIF(Penalties!$AS22:$BA22,R$55))</f>
        <v>0</v>
      </c>
      <c r="S75" s="382"/>
      <c r="T75" s="382"/>
      <c r="U75" s="392">
        <f>IF(B74="","",SUM(E75:T75))</f>
        <v>1</v>
      </c>
      <c r="V75" s="393">
        <f>IF(B74="","",SUM(E75:T75)*0.5)</f>
        <v>0.5</v>
      </c>
      <c r="W75" s="394" t="str">
        <f>IF($B74="","",IF(Penalties!$BB22=W$55,1,""))</f>
        <v/>
      </c>
      <c r="X75" s="394" t="str">
        <f>IF($B74="","",IF(Penalties!$BB22=X$55,1,""))</f>
        <v/>
      </c>
      <c r="Y75" s="394" t="str">
        <f>IF($B74="","",IF(Penalties!$BB22=Y$55,1,""))</f>
        <v/>
      </c>
      <c r="Z75" s="394" t="str">
        <f>IF($B74="","",IF(Penalties!$BB22=Z$55,1,""))</f>
        <v/>
      </c>
      <c r="AA75" s="394" t="str">
        <f>IF($B74="","",IF(Penalties!$BB22=AA$55,1,""))</f>
        <v/>
      </c>
      <c r="AB75" s="394" t="str">
        <f>IF($B74="","",IF(Penalties!$BB22=AB$55,1,""))</f>
        <v/>
      </c>
      <c r="AC75" s="394" t="str">
        <f>IF($B74="","",IF(Penalties!$BB22=AC$55,1,""))</f>
        <v/>
      </c>
      <c r="AD75" s="394" t="str">
        <f>IF($B74="","",IF(Penalties!$BB22=AD$55,1,""))</f>
        <v/>
      </c>
      <c r="AE75" s="394" t="str">
        <f>IF($B74="","",IF(Penalties!$BB22=AE$55,1,""))</f>
        <v/>
      </c>
      <c r="AF75" s="394" t="str">
        <f>IF($B74="","",IF(Penalties!$BB22=AF$55,1,""))</f>
        <v/>
      </c>
      <c r="AG75" s="394" t="str">
        <f>IF($B74="","",IF(Penalties!$BB22=AG$55,1,""))</f>
        <v/>
      </c>
      <c r="AH75" s="394" t="str">
        <f>IF($B74="","",IF(Penalties!$BB22=AH$55,1,""))</f>
        <v/>
      </c>
      <c r="AI75" s="394" t="str">
        <f>IF($B74="","",IF(Penalties!$BB22=AI$55,1,""))</f>
        <v/>
      </c>
      <c r="AJ75" s="396" t="str">
        <f>IF(SUM(X74:AI75)=0, "", IF(SUM(X74:AI74)=1, LOOKUP(1, X74:AI74, $X$55:$AI$55), LOOKUP(1, X75:AI75, $X$55:$AI$55)))</f>
        <v/>
      </c>
      <c r="AK75" s="64"/>
      <c r="AL75" s="64"/>
      <c r="AM75" s="64"/>
      <c r="AN75" s="64"/>
      <c r="AO75" s="64"/>
      <c r="AP75" s="64"/>
      <c r="AQ75" s="64"/>
      <c r="AR75" s="64"/>
      <c r="AS75" s="64"/>
      <c r="AT75" s="64"/>
      <c r="AU75" s="64"/>
      <c r="AV75" s="64"/>
      <c r="AW75" s="64"/>
      <c r="AX75" s="64"/>
    </row>
    <row r="76" spans="1:50" x14ac:dyDescent="0.3">
      <c r="A76" s="1204">
        <f>A74+1</f>
        <v>11</v>
      </c>
      <c r="B76" s="1205" t="str">
        <f>IF(IGRF!I24="","",IGRF!I24)</f>
        <v>49</v>
      </c>
      <c r="C76" s="1206" t="str">
        <f>IF(IGRF!J24="","",IGRF!J24)</f>
        <v>Gnarly Manson</v>
      </c>
      <c r="D76" s="381" t="s">
        <v>5</v>
      </c>
      <c r="E76" s="381">
        <f>IF($B76="","",COUNTIF(Penalties!$Q24:$Y24,E$55))</f>
        <v>0</v>
      </c>
      <c r="F76" s="381">
        <f>IF($B76="","",COUNTIF(Penalties!$Q24:$Y24,F$55))</f>
        <v>1</v>
      </c>
      <c r="G76" s="381">
        <f>IF($B76="","",COUNTIF(Penalties!$Q24:$Y24,G$55))</f>
        <v>0</v>
      </c>
      <c r="H76" s="381">
        <f>IF($B76="","",COUNTIF(Penalties!$Q24:$Y24,H$55))</f>
        <v>0</v>
      </c>
      <c r="I76" s="381">
        <f>IF($B76="","",COUNTIF(Penalties!$Q24:$Y24,I$55))</f>
        <v>0</v>
      </c>
      <c r="J76" s="381">
        <f>IF($B76="","",COUNTIF(Penalties!$Q24:$Y24,J$55))</f>
        <v>0</v>
      </c>
      <c r="K76" s="381">
        <f>IF($B76="","",COUNTIF(Penalties!$Q24:$Y24,K$55))</f>
        <v>0</v>
      </c>
      <c r="L76" s="381">
        <f>IF($B76="","",COUNTIF(Penalties!$Q24:$Y24,L$55))</f>
        <v>0</v>
      </c>
      <c r="M76" s="381">
        <f>IF($B76="","",COUNTIF(Penalties!$Q24:$Y24,M$55))</f>
        <v>0</v>
      </c>
      <c r="N76" s="381">
        <f>IF($B76="","",COUNTIF(Penalties!$Q24:$Y24,N$55))</f>
        <v>0</v>
      </c>
      <c r="O76" s="381">
        <f>IF($B76="","",COUNTIF(Penalties!$Q24:$Y24,O$55))</f>
        <v>0</v>
      </c>
      <c r="P76" s="381">
        <f>IF($B76="","",COUNTIF(Penalties!$Q24:$Y24,P$55))</f>
        <v>0</v>
      </c>
      <c r="Q76" s="381">
        <f>IF($B76="","",COUNTIF(Penalties!$Q24:$Y24,Q$55))</f>
        <v>0</v>
      </c>
      <c r="R76" s="381">
        <f>IF($B76="","",COUNTIF(Penalties!$Q24:$Y24,R$55))</f>
        <v>0</v>
      </c>
      <c r="U76" s="387">
        <f>IF(B76="","",SUM(E76:T76))</f>
        <v>1</v>
      </c>
      <c r="V76" s="388">
        <f>IF(B76="","",SUM(E76:T76)*0.5)</f>
        <v>0.5</v>
      </c>
      <c r="W76" s="389" t="str">
        <f>IF($B76="","",IF(Penalties!$Z24=W$55,1,""))</f>
        <v/>
      </c>
      <c r="X76" s="389" t="str">
        <f>IF($B76="","",IF(Penalties!$Z24=X$55,1,""))</f>
        <v/>
      </c>
      <c r="Y76" s="389" t="str">
        <f>IF($B76="","",IF(Penalties!$Z24=Y$55,1,""))</f>
        <v/>
      </c>
      <c r="Z76" s="389" t="str">
        <f>IF($B76="","",IF(Penalties!$Z24=Z$55,1,""))</f>
        <v/>
      </c>
      <c r="AA76" s="389" t="str">
        <f>IF($B76="","",IF(Penalties!$Z24=AA$55,1,""))</f>
        <v/>
      </c>
      <c r="AB76" s="389" t="str">
        <f>IF($B76="","",IF(Penalties!$Z24=AB$55,1,""))</f>
        <v/>
      </c>
      <c r="AC76" s="389" t="str">
        <f>IF($B76="","",IF(Penalties!$Z24=AC$55,1,""))</f>
        <v/>
      </c>
      <c r="AD76" s="389" t="str">
        <f>IF($B76="","",IF(Penalties!$Z24=AD$55,1,""))</f>
        <v/>
      </c>
      <c r="AE76" s="389" t="str">
        <f>IF($B76="","",IF(Penalties!$Z24=AE$55,1,""))</f>
        <v/>
      </c>
      <c r="AF76" s="389" t="str">
        <f>IF($B76="","",IF(Penalties!$Z24=AF$55,1,""))</f>
        <v/>
      </c>
      <c r="AG76" s="389" t="str">
        <f>IF($B76="","",IF(Penalties!$Z24=AG$55,1,""))</f>
        <v/>
      </c>
      <c r="AH76" s="389" t="str">
        <f>IF($B76="","",IF(Penalties!$Z24=AH$55,1,""))</f>
        <v/>
      </c>
      <c r="AI76" s="389" t="str">
        <f>IF($B76="","",IF(Penalties!$Z24=AI$55,1,""))</f>
        <v/>
      </c>
      <c r="AJ76" s="390"/>
      <c r="AK76" s="64"/>
      <c r="AL76" s="64"/>
      <c r="AM76" s="64"/>
      <c r="AN76" s="64"/>
      <c r="AO76" s="64"/>
      <c r="AP76" s="64"/>
      <c r="AQ76" s="64"/>
      <c r="AR76" s="64"/>
      <c r="AS76" s="64"/>
      <c r="AT76" s="64"/>
      <c r="AU76" s="64"/>
      <c r="AV76" s="64"/>
      <c r="AW76" s="64"/>
      <c r="AX76" s="64"/>
    </row>
    <row r="77" spans="1:50" x14ac:dyDescent="0.3">
      <c r="A77" s="1204"/>
      <c r="B77" s="1205"/>
      <c r="C77" s="1206"/>
      <c r="D77" s="381" t="s">
        <v>21</v>
      </c>
      <c r="E77" s="381">
        <f>IF($B76="","",COUNTIF(Penalties!$AS24:$BA24,E$55))</f>
        <v>0</v>
      </c>
      <c r="F77" s="381">
        <f>IF($B76="","",COUNTIF(Penalties!$AS24:$BA24,F$55))</f>
        <v>1</v>
      </c>
      <c r="G77" s="381">
        <f>IF($B76="","",COUNTIF(Penalties!$AS24:$BA24,G$55))</f>
        <v>0</v>
      </c>
      <c r="H77" s="381">
        <f>IF($B76="","",COUNTIF(Penalties!$AS24:$BA24,H$55))</f>
        <v>0</v>
      </c>
      <c r="I77" s="381">
        <f>IF($B76="","",COUNTIF(Penalties!$AS24:$BA24,I$55))</f>
        <v>0</v>
      </c>
      <c r="J77" s="381">
        <f>IF($B76="","",COUNTIF(Penalties!$AS24:$BA24,J$55))</f>
        <v>0</v>
      </c>
      <c r="K77" s="381">
        <f>IF($B76="","",COUNTIF(Penalties!$AS24:$BA24,K$55))</f>
        <v>0</v>
      </c>
      <c r="L77" s="381">
        <f>IF($B76="","",COUNTIF(Penalties!$AS24:$BA24,L$55))</f>
        <v>0</v>
      </c>
      <c r="M77" s="381">
        <f>IF($B76="","",COUNTIF(Penalties!$AS24:$BA24,M$55))</f>
        <v>0</v>
      </c>
      <c r="N77" s="381">
        <f>IF($B76="","",COUNTIF(Penalties!$AS24:$BA24,N$55))</f>
        <v>0</v>
      </c>
      <c r="O77" s="381">
        <f>IF($B76="","",COUNTIF(Penalties!$AS24:$BA24,O$55))</f>
        <v>0</v>
      </c>
      <c r="P77" s="381">
        <f>IF($B76="","",COUNTIF(Penalties!$AS24:$BA24,P$55))</f>
        <v>0</v>
      </c>
      <c r="Q77" s="381">
        <f>IF($B76="","",COUNTIF(Penalties!$AS24:$BA24,Q$55))</f>
        <v>0</v>
      </c>
      <c r="R77" s="381">
        <f>IF($B76="","",COUNTIF(Penalties!$AS24:$BA24,R$55))</f>
        <v>0</v>
      </c>
      <c r="U77" s="387">
        <f>IF(B76="","",SUM(E77:T77))</f>
        <v>1</v>
      </c>
      <c r="V77" s="388">
        <f>IF(B76="","",SUM(E77:T77)*0.5)</f>
        <v>0.5</v>
      </c>
      <c r="W77" s="389" t="str">
        <f>IF($B76="","",IF(Penalties!$BB24=W$55,1,""))</f>
        <v/>
      </c>
      <c r="X77" s="389" t="str">
        <f>IF($B76="","",IF(Penalties!$BB24=X$55,1,""))</f>
        <v/>
      </c>
      <c r="Y77" s="389" t="str">
        <f>IF($B76="","",IF(Penalties!$BB24=Y$55,1,""))</f>
        <v/>
      </c>
      <c r="Z77" s="389" t="str">
        <f>IF($B76="","",IF(Penalties!$BB24=Z$55,1,""))</f>
        <v/>
      </c>
      <c r="AA77" s="389" t="str">
        <f>IF($B76="","",IF(Penalties!$BB24=AA$55,1,""))</f>
        <v/>
      </c>
      <c r="AB77" s="389" t="str">
        <f>IF($B76="","",IF(Penalties!$BB24=AB$55,1,""))</f>
        <v/>
      </c>
      <c r="AC77" s="389" t="str">
        <f>IF($B76="","",IF(Penalties!$BB24=AC$55,1,""))</f>
        <v/>
      </c>
      <c r="AD77" s="389" t="str">
        <f>IF($B76="","",IF(Penalties!$BB24=AD$55,1,""))</f>
        <v/>
      </c>
      <c r="AE77" s="389" t="str">
        <f>IF($B76="","",IF(Penalties!$BB24=AE$55,1,""))</f>
        <v/>
      </c>
      <c r="AF77" s="389" t="str">
        <f>IF($B76="","",IF(Penalties!$BB24=AF$55,1,""))</f>
        <v/>
      </c>
      <c r="AG77" s="389" t="str">
        <f>IF($B76="","",IF(Penalties!$BB24=AG$55,1,""))</f>
        <v/>
      </c>
      <c r="AH77" s="389" t="str">
        <f>IF($B76="","",IF(Penalties!$BB24=AH$55,1,""))</f>
        <v/>
      </c>
      <c r="AI77" s="389" t="str">
        <f>IF($B76="","",IF(Penalties!$BB24=AI$55,1,""))</f>
        <v/>
      </c>
      <c r="AJ77" s="391" t="str">
        <f>IF(SUM(X76:AI77)=0, "", IF(SUM(X76:AI76)=1, LOOKUP(1, X76:AI76, $X$55:$AI$55), LOOKUP(1, X77:AI77, $X$55:$AI$55)))</f>
        <v/>
      </c>
      <c r="AK77" s="64"/>
      <c r="AL77" s="64"/>
      <c r="AM77" s="64"/>
      <c r="AN77" s="64"/>
      <c r="AO77" s="64"/>
      <c r="AP77" s="64"/>
      <c r="AQ77" s="64"/>
      <c r="AR77" s="64"/>
      <c r="AS77" s="64"/>
      <c r="AT77" s="64"/>
      <c r="AU77" s="64"/>
      <c r="AV77" s="64"/>
      <c r="AW77" s="64"/>
      <c r="AX77" s="64"/>
    </row>
    <row r="78" spans="1:50" x14ac:dyDescent="0.3">
      <c r="A78" s="1201">
        <f>A76+1</f>
        <v>12</v>
      </c>
      <c r="B78" s="1202" t="str">
        <f>IF(IGRF!I25="","",IGRF!I25)</f>
        <v>78</v>
      </c>
      <c r="C78" s="1203" t="str">
        <f>IF(IGRF!J25="","",IGRF!J25)</f>
        <v>Debbie Scary</v>
      </c>
      <c r="D78" s="382" t="s">
        <v>5</v>
      </c>
      <c r="E78" s="382">
        <f>IF($B78="","",COUNTIF(Penalties!$Q26:$Y26,E$55))</f>
        <v>0</v>
      </c>
      <c r="F78" s="382">
        <f>IF($B78="","",COUNTIF(Penalties!$Q26:$Y26,F$55))</f>
        <v>0</v>
      </c>
      <c r="G78" s="382">
        <f>IF($B78="","",COUNTIF(Penalties!$Q26:$Y26,G$55))</f>
        <v>0</v>
      </c>
      <c r="H78" s="382">
        <f>IF($B78="","",COUNTIF(Penalties!$Q26:$Y26,H$55))</f>
        <v>0</v>
      </c>
      <c r="I78" s="382">
        <f>IF($B78="","",COUNTIF(Penalties!$Q26:$Y26,I$55))</f>
        <v>0</v>
      </c>
      <c r="J78" s="382">
        <f>IF($B78="","",COUNTIF(Penalties!$Q26:$Y26,J$55))</f>
        <v>0</v>
      </c>
      <c r="K78" s="382">
        <f>IF($B78="","",COUNTIF(Penalties!$Q26:$Y26,K$55))</f>
        <v>0</v>
      </c>
      <c r="L78" s="382">
        <f>IF($B78="","",COUNTIF(Penalties!$Q26:$Y26,L$55))</f>
        <v>0</v>
      </c>
      <c r="M78" s="382">
        <f>IF($B78="","",COUNTIF(Penalties!$Q26:$Y26,M$55))</f>
        <v>0</v>
      </c>
      <c r="N78" s="382">
        <f>IF($B78="","",COUNTIF(Penalties!$Q26:$Y26,N$55))</f>
        <v>0</v>
      </c>
      <c r="O78" s="382">
        <f>IF($B78="","",COUNTIF(Penalties!$Q26:$Y26,O$55))</f>
        <v>0</v>
      </c>
      <c r="P78" s="382">
        <f>IF($B78="","",COUNTIF(Penalties!$Q26:$Y26,P$55))</f>
        <v>0</v>
      </c>
      <c r="Q78" s="382">
        <f>IF($B78="","",COUNTIF(Penalties!$Q26:$Y26,Q$55))</f>
        <v>0</v>
      </c>
      <c r="R78" s="382">
        <f>IF($B78="","",COUNTIF(Penalties!$Q26:$Y26,R$55))</f>
        <v>0</v>
      </c>
      <c r="S78" s="382"/>
      <c r="T78" s="382"/>
      <c r="U78" s="392">
        <f>IF(B78="","",SUM(E78:T78))</f>
        <v>0</v>
      </c>
      <c r="V78" s="393">
        <f>IF(B78="","",SUM(E78:T78)*0.5)</f>
        <v>0</v>
      </c>
      <c r="W78" s="394" t="str">
        <f>IF($B78="","",IF(Penalties!$Z26=W$55,1,""))</f>
        <v/>
      </c>
      <c r="X78" s="394" t="str">
        <f>IF($B78="","",IF(Penalties!$Z26=X$55,1,""))</f>
        <v/>
      </c>
      <c r="Y78" s="394" t="str">
        <f>IF($B78="","",IF(Penalties!$Z26=Y$55,1,""))</f>
        <v/>
      </c>
      <c r="Z78" s="394" t="str">
        <f>IF($B78="","",IF(Penalties!$Z26=Z$55,1,""))</f>
        <v/>
      </c>
      <c r="AA78" s="394" t="str">
        <f>IF($B78="","",IF(Penalties!$Z26=AA$55,1,""))</f>
        <v/>
      </c>
      <c r="AB78" s="394" t="str">
        <f>IF($B78="","",IF(Penalties!$Z26=AB$55,1,""))</f>
        <v/>
      </c>
      <c r="AC78" s="394" t="str">
        <f>IF($B78="","",IF(Penalties!$Z26=AC$55,1,""))</f>
        <v/>
      </c>
      <c r="AD78" s="394" t="str">
        <f>IF($B78="","",IF(Penalties!$Z26=AD$55,1,""))</f>
        <v/>
      </c>
      <c r="AE78" s="394" t="str">
        <f>IF($B78="","",IF(Penalties!$Z26=AE$55,1,""))</f>
        <v/>
      </c>
      <c r="AF78" s="394" t="str">
        <f>IF($B78="","",IF(Penalties!$Z26=AF$55,1,""))</f>
        <v/>
      </c>
      <c r="AG78" s="394" t="str">
        <f>IF($B78="","",IF(Penalties!$Z26=AG$55,1,""))</f>
        <v/>
      </c>
      <c r="AH78" s="394" t="str">
        <f>IF($B78="","",IF(Penalties!$Z26=AH$55,1,""))</f>
        <v/>
      </c>
      <c r="AI78" s="394" t="str">
        <f>IF($B78="","",IF(Penalties!$Z26=AI$55,1,""))</f>
        <v/>
      </c>
      <c r="AJ78" s="395"/>
      <c r="AK78" s="64"/>
      <c r="AL78" s="64"/>
      <c r="AM78" s="64"/>
      <c r="AN78" s="64"/>
      <c r="AO78" s="64"/>
      <c r="AP78" s="64"/>
      <c r="AQ78" s="64"/>
      <c r="AR78" s="64"/>
      <c r="AS78" s="64"/>
      <c r="AT78" s="64"/>
      <c r="AU78" s="64"/>
      <c r="AV78" s="64"/>
      <c r="AW78" s="64"/>
      <c r="AX78" s="64"/>
    </row>
    <row r="79" spans="1:50" ht="14.4" thickBot="1" x14ac:dyDescent="0.35">
      <c r="A79" s="1201"/>
      <c r="B79" s="1202"/>
      <c r="C79" s="1203"/>
      <c r="D79" s="382" t="s">
        <v>21</v>
      </c>
      <c r="E79" s="382">
        <f>IF($B78="","",COUNTIF(Penalties!$AS26:$BA26,E$55))</f>
        <v>0</v>
      </c>
      <c r="F79" s="382">
        <f>IF($B78="","",COUNTIF(Penalties!$AS26:$BA26,F$55))</f>
        <v>0</v>
      </c>
      <c r="G79" s="382">
        <f>IF($B78="","",COUNTIF(Penalties!$AS26:$BA26,G$55))</f>
        <v>0</v>
      </c>
      <c r="H79" s="382">
        <f>IF($B78="","",COUNTIF(Penalties!$AS26:$BA26,H$55))</f>
        <v>0</v>
      </c>
      <c r="I79" s="382">
        <f>IF($B78="","",COUNTIF(Penalties!$AS26:$BA26,I$55))</f>
        <v>0</v>
      </c>
      <c r="J79" s="382">
        <f>IF($B78="","",COUNTIF(Penalties!$AS26:$BA26,J$55))</f>
        <v>0</v>
      </c>
      <c r="K79" s="382">
        <f>IF($B78="","",COUNTIF(Penalties!$AS26:$BA26,K$55))</f>
        <v>0</v>
      </c>
      <c r="L79" s="382">
        <f>IF($B78="","",COUNTIF(Penalties!$AS26:$BA26,L$55))</f>
        <v>0</v>
      </c>
      <c r="M79" s="382">
        <f>IF($B78="","",COUNTIF(Penalties!$AS26:$BA26,M$55))</f>
        <v>0</v>
      </c>
      <c r="N79" s="382">
        <f>IF($B78="","",COUNTIF(Penalties!$AS26:$BA26,N$55))</f>
        <v>0</v>
      </c>
      <c r="O79" s="382">
        <f>IF($B78="","",COUNTIF(Penalties!$AS26:$BA26,O$55))</f>
        <v>0</v>
      </c>
      <c r="P79" s="382">
        <f>IF($B78="","",COUNTIF(Penalties!$AS26:$BA26,P$55))</f>
        <v>0</v>
      </c>
      <c r="Q79" s="382">
        <f>IF($B78="","",COUNTIF(Penalties!$AS26:$BA26,Q$55))</f>
        <v>0</v>
      </c>
      <c r="R79" s="382">
        <f>IF($B78="","",COUNTIF(Penalties!$AS26:$BA26,R$55))</f>
        <v>0</v>
      </c>
      <c r="S79" s="382"/>
      <c r="T79" s="382"/>
      <c r="U79" s="392">
        <f>IF(B78="","",SUM(E79:T79))</f>
        <v>0</v>
      </c>
      <c r="V79" s="393">
        <f>IF(B78="","",SUM(E79:T79)*0.5)</f>
        <v>0</v>
      </c>
      <c r="W79" s="394" t="str">
        <f>IF($B78="","",IF(Penalties!$BB26=W$55,1,""))</f>
        <v/>
      </c>
      <c r="X79" s="394" t="str">
        <f>IF($B78="","",IF(Penalties!$BB26=X$55,1,""))</f>
        <v/>
      </c>
      <c r="Y79" s="394" t="str">
        <f>IF($B78="","",IF(Penalties!$BB26=Y$55,1,""))</f>
        <v/>
      </c>
      <c r="Z79" s="394" t="str">
        <f>IF($B78="","",IF(Penalties!$BB26=Z$55,1,""))</f>
        <v/>
      </c>
      <c r="AA79" s="394" t="str">
        <f>IF($B78="","",IF(Penalties!$BB26=AA$55,1,""))</f>
        <v/>
      </c>
      <c r="AB79" s="394" t="str">
        <f>IF($B78="","",IF(Penalties!$BB26=AB$55,1,""))</f>
        <v/>
      </c>
      <c r="AC79" s="394" t="str">
        <f>IF($B78="","",IF(Penalties!$BB26=AC$55,1,""))</f>
        <v/>
      </c>
      <c r="AD79" s="394" t="str">
        <f>IF($B78="","",IF(Penalties!$BB26=AD$55,1,""))</f>
        <v/>
      </c>
      <c r="AE79" s="394" t="str">
        <f>IF($B78="","",IF(Penalties!$BB26=AE$55,1,""))</f>
        <v/>
      </c>
      <c r="AF79" s="394" t="str">
        <f>IF($B78="","",IF(Penalties!$BB26=AF$55,1,""))</f>
        <v/>
      </c>
      <c r="AG79" s="394" t="str">
        <f>IF($B78="","",IF(Penalties!$BB26=AG$55,1,""))</f>
        <v/>
      </c>
      <c r="AH79" s="394" t="str">
        <f>IF($B78="","",IF(Penalties!$BB26=AH$55,1,""))</f>
        <v/>
      </c>
      <c r="AI79" s="394" t="str">
        <f>IF($B78="","",IF(Penalties!$BB26=AI$55,1,""))</f>
        <v/>
      </c>
      <c r="AJ79" s="396" t="str">
        <f>IF(SUM(X78:AI79)=0, "", IF(SUM(X78:AI78)=1, LOOKUP(1, X78:AI78, $X$55:$AI$55), LOOKUP(1, X79:AI79, $X$55:$AI$55)))</f>
        <v/>
      </c>
      <c r="AK79" s="64"/>
      <c r="AL79" s="64"/>
      <c r="AM79" s="64"/>
      <c r="AN79" s="64"/>
      <c r="AO79" s="64"/>
      <c r="AP79" s="64"/>
      <c r="AQ79" s="64"/>
      <c r="AR79" s="64"/>
      <c r="AS79" s="64"/>
      <c r="AT79" s="64"/>
      <c r="AU79" s="64"/>
      <c r="AV79" s="64"/>
      <c r="AW79" s="64"/>
      <c r="AX79" s="64"/>
    </row>
    <row r="80" spans="1:50" x14ac:dyDescent="0.3">
      <c r="A80" s="1204">
        <f>A78+1</f>
        <v>13</v>
      </c>
      <c r="B80" s="1205" t="str">
        <f>IF(IGRF!I26="","",IGRF!I26)</f>
        <v>8*</v>
      </c>
      <c r="C80" s="1206" t="str">
        <f>IF(IGRF!J26="","",IGRF!J26)</f>
        <v>Venus Thigh Trap</v>
      </c>
      <c r="D80" s="381" t="s">
        <v>5</v>
      </c>
      <c r="E80" s="381">
        <f>IF($B80="","",COUNTIF(Penalties!$Q28:$Y28,E$55))</f>
        <v>0</v>
      </c>
      <c r="F80" s="381">
        <f>IF($B80="","",COUNTIF(Penalties!$Q28:$Y28,F$55))</f>
        <v>0</v>
      </c>
      <c r="G80" s="381">
        <f>IF($B80="","",COUNTIF(Penalties!$Q28:$Y28,G$55))</f>
        <v>0</v>
      </c>
      <c r="H80" s="381">
        <f>IF($B80="","",COUNTIF(Penalties!$Q28:$Y28,H$55))</f>
        <v>0</v>
      </c>
      <c r="I80" s="381">
        <f>IF($B80="","",COUNTIF(Penalties!$Q28:$Y28,I$55))</f>
        <v>0</v>
      </c>
      <c r="J80" s="381">
        <f>IF($B80="","",COUNTIF(Penalties!$Q28:$Y28,J$55))</f>
        <v>0</v>
      </c>
      <c r="K80" s="381">
        <f>IF($B80="","",COUNTIF(Penalties!$Q28:$Y28,K$55))</f>
        <v>0</v>
      </c>
      <c r="L80" s="381">
        <f>IF($B80="","",COUNTIF(Penalties!$Q28:$Y28,L$55))</f>
        <v>0</v>
      </c>
      <c r="M80" s="381">
        <f>IF($B80="","",COUNTIF(Penalties!$Q28:$Y28,M$55))</f>
        <v>0</v>
      </c>
      <c r="N80" s="381">
        <f>IF($B80="","",COUNTIF(Penalties!$Q28:$Y28,N$55))</f>
        <v>0</v>
      </c>
      <c r="O80" s="381">
        <f>IF($B80="","",COUNTIF(Penalties!$Q28:$Y28,O$55))</f>
        <v>0</v>
      </c>
      <c r="P80" s="381">
        <f>IF($B80="","",COUNTIF(Penalties!$Q28:$Y28,P$55))</f>
        <v>0</v>
      </c>
      <c r="Q80" s="381">
        <f>IF($B80="","",COUNTIF(Penalties!$Q28:$Y28,Q$55))</f>
        <v>0</v>
      </c>
      <c r="R80" s="381">
        <f>IF($B80="","",COUNTIF(Penalties!$Q28:$Y28,R$55))</f>
        <v>0</v>
      </c>
      <c r="U80" s="387">
        <f>IF(B80="","",SUM(E80:T80))</f>
        <v>0</v>
      </c>
      <c r="V80" s="388">
        <f>IF(B80="","",SUM(E80:T80)*0.5)</f>
        <v>0</v>
      </c>
      <c r="W80" s="389" t="str">
        <f>IF($B80="","",IF(Penalties!$Z28=W$55,1,""))</f>
        <v/>
      </c>
      <c r="X80" s="389" t="str">
        <f>IF($B80="","",IF(Penalties!$Z28=X$55,1,""))</f>
        <v/>
      </c>
      <c r="Y80" s="389" t="str">
        <f>IF($B80="","",IF(Penalties!$Z28=Y$55,1,""))</f>
        <v/>
      </c>
      <c r="Z80" s="389" t="str">
        <f>IF($B80="","",IF(Penalties!$Z28=Z$55,1,""))</f>
        <v/>
      </c>
      <c r="AA80" s="389" t="str">
        <f>IF($B80="","",IF(Penalties!$Z28=AA$55,1,""))</f>
        <v/>
      </c>
      <c r="AB80" s="389" t="str">
        <f>IF($B80="","",IF(Penalties!$Z28=AB$55,1,""))</f>
        <v/>
      </c>
      <c r="AC80" s="389" t="str">
        <f>IF($B80="","",IF(Penalties!$Z28=AC$55,1,""))</f>
        <v/>
      </c>
      <c r="AD80" s="389" t="str">
        <f>IF($B80="","",IF(Penalties!$Z28=AD$55,1,""))</f>
        <v/>
      </c>
      <c r="AE80" s="389" t="str">
        <f>IF($B80="","",IF(Penalties!$Z28=AE$55,1,""))</f>
        <v/>
      </c>
      <c r="AF80" s="389" t="str">
        <f>IF($B80="","",IF(Penalties!$Z28=AF$55,1,""))</f>
        <v/>
      </c>
      <c r="AG80" s="389" t="str">
        <f>IF($B80="","",IF(Penalties!$Z28=AG$55,1,""))</f>
        <v/>
      </c>
      <c r="AH80" s="389" t="str">
        <f>IF($B80="","",IF(Penalties!$Z28=AH$55,1,""))</f>
        <v/>
      </c>
      <c r="AI80" s="389" t="str">
        <f>IF($B80="","",IF(Penalties!$Z28=AI$55,1,""))</f>
        <v/>
      </c>
      <c r="AJ80" s="390"/>
      <c r="AK80" s="64"/>
      <c r="AL80" s="64"/>
      <c r="AM80" s="64"/>
      <c r="AN80" s="64"/>
      <c r="AO80" s="64"/>
      <c r="AP80" s="64"/>
      <c r="AQ80" s="64"/>
      <c r="AR80" s="64"/>
      <c r="AS80" s="64"/>
      <c r="AT80" s="64"/>
      <c r="AU80" s="64"/>
      <c r="AV80" s="64"/>
      <c r="AW80" s="64"/>
      <c r="AX80" s="64"/>
    </row>
    <row r="81" spans="1:50" x14ac:dyDescent="0.3">
      <c r="A81" s="1204"/>
      <c r="B81" s="1205"/>
      <c r="C81" s="1206"/>
      <c r="D81" s="381" t="s">
        <v>21</v>
      </c>
      <c r="E81" s="381">
        <f>IF($B80="","",COUNTIF(Penalties!$AS28:$BA28,E$55))</f>
        <v>0</v>
      </c>
      <c r="F81" s="381">
        <f>IF($B80="","",COUNTIF(Penalties!$AS28:$BA28,F$55))</f>
        <v>0</v>
      </c>
      <c r="G81" s="381">
        <f>IF($B80="","",COUNTIF(Penalties!$AS28:$BA28,G$55))</f>
        <v>0</v>
      </c>
      <c r="H81" s="381">
        <f>IF($B80="","",COUNTIF(Penalties!$AS28:$BA28,H$55))</f>
        <v>0</v>
      </c>
      <c r="I81" s="381">
        <f>IF($B80="","",COUNTIF(Penalties!$AS28:$BA28,I$55))</f>
        <v>0</v>
      </c>
      <c r="J81" s="381">
        <f>IF($B80="","",COUNTIF(Penalties!$AS28:$BA28,J$55))</f>
        <v>0</v>
      </c>
      <c r="K81" s="381">
        <f>IF($B80="","",COUNTIF(Penalties!$AS28:$BA28,K$55))</f>
        <v>0</v>
      </c>
      <c r="L81" s="381">
        <f>IF($B80="","",COUNTIF(Penalties!$AS28:$BA28,L$55))</f>
        <v>0</v>
      </c>
      <c r="M81" s="381">
        <f>IF($B80="","",COUNTIF(Penalties!$AS28:$BA28,M$55))</f>
        <v>0</v>
      </c>
      <c r="N81" s="381">
        <f>IF($B80="","",COUNTIF(Penalties!$AS28:$BA28,N$55))</f>
        <v>0</v>
      </c>
      <c r="O81" s="381">
        <f>IF($B80="","",COUNTIF(Penalties!$AS28:$BA28,O$55))</f>
        <v>0</v>
      </c>
      <c r="P81" s="381">
        <f>IF($B80="","",COUNTIF(Penalties!$AS28:$BA28,P$55))</f>
        <v>0</v>
      </c>
      <c r="Q81" s="381">
        <f>IF($B80="","",COUNTIF(Penalties!$AS28:$BA28,Q$55))</f>
        <v>0</v>
      </c>
      <c r="R81" s="381">
        <f>IF($B80="","",COUNTIF(Penalties!$AS28:$BA28,R$55))</f>
        <v>0</v>
      </c>
      <c r="U81" s="387">
        <f>IF(B80="","",SUM(E81:T81))</f>
        <v>0</v>
      </c>
      <c r="V81" s="388">
        <f>IF(B80="","",SUM(E81:T81)*0.5)</f>
        <v>0</v>
      </c>
      <c r="W81" s="389" t="str">
        <f>IF($B80="","",IF(Penalties!$BB28=W$55,1,""))</f>
        <v/>
      </c>
      <c r="X81" s="389" t="str">
        <f>IF($B80="","",IF(Penalties!$BB28=X$55,1,""))</f>
        <v/>
      </c>
      <c r="Y81" s="389" t="str">
        <f>IF($B80="","",IF(Penalties!$BB28=Y$55,1,""))</f>
        <v/>
      </c>
      <c r="Z81" s="389" t="str">
        <f>IF($B80="","",IF(Penalties!$BB28=Z$55,1,""))</f>
        <v/>
      </c>
      <c r="AA81" s="389" t="str">
        <f>IF($B80="","",IF(Penalties!$BB28=AA$55,1,""))</f>
        <v/>
      </c>
      <c r="AB81" s="389" t="str">
        <f>IF($B80="","",IF(Penalties!$BB28=AB$55,1,""))</f>
        <v/>
      </c>
      <c r="AC81" s="389" t="str">
        <f>IF($B80="","",IF(Penalties!$BB28=AC$55,1,""))</f>
        <v/>
      </c>
      <c r="AD81" s="389" t="str">
        <f>IF($B80="","",IF(Penalties!$BB28=AD$55,1,""))</f>
        <v/>
      </c>
      <c r="AE81" s="389" t="str">
        <f>IF($B80="","",IF(Penalties!$BB28=AE$55,1,""))</f>
        <v/>
      </c>
      <c r="AF81" s="389" t="str">
        <f>IF($B80="","",IF(Penalties!$BB28=AF$55,1,""))</f>
        <v/>
      </c>
      <c r="AG81" s="389" t="str">
        <f>IF($B80="","",IF(Penalties!$BB28=AG$55,1,""))</f>
        <v/>
      </c>
      <c r="AH81" s="389" t="str">
        <f>IF($B80="","",IF(Penalties!$BB28=AH$55,1,""))</f>
        <v/>
      </c>
      <c r="AI81" s="389" t="str">
        <f>IF($B80="","",IF(Penalties!$BB28=AI$55,1,""))</f>
        <v/>
      </c>
      <c r="AJ81" s="391" t="str">
        <f>IF(SUM(X80:AI81)=0, "", IF(SUM(X80:AI80)=1, LOOKUP(1, X80:AI80, $X$55:$AI$55), LOOKUP(1, X81:AI81, $X$55:$AI$55)))</f>
        <v/>
      </c>
      <c r="AK81" s="64"/>
      <c r="AL81" s="64"/>
      <c r="AM81" s="64"/>
      <c r="AN81" s="64"/>
      <c r="AO81" s="64"/>
      <c r="AP81" s="64"/>
      <c r="AQ81" s="64"/>
      <c r="AR81" s="64"/>
      <c r="AS81" s="64"/>
      <c r="AT81" s="64"/>
      <c r="AU81" s="64"/>
      <c r="AV81" s="64"/>
      <c r="AW81" s="64"/>
      <c r="AX81" s="64"/>
    </row>
    <row r="82" spans="1:50" x14ac:dyDescent="0.3">
      <c r="A82" s="1201">
        <f>A80+1</f>
        <v>14</v>
      </c>
      <c r="B82" s="1202" t="str">
        <f>IF(IGRF!I27="","",IGRF!I27)</f>
        <v>800</v>
      </c>
      <c r="C82" s="1203" t="str">
        <f>IF(IGRF!J27="","",IGRF!J27)</f>
        <v>Terminate Her</v>
      </c>
      <c r="D82" s="382" t="s">
        <v>5</v>
      </c>
      <c r="E82" s="382">
        <f>IF($B82="","",COUNTIF(Penalties!$Q30:$Y30,E$55))</f>
        <v>0</v>
      </c>
      <c r="F82" s="382">
        <f>IF($B82="","",COUNTIF(Penalties!$Q30:$Y30,F$55))</f>
        <v>0</v>
      </c>
      <c r="G82" s="382">
        <f>IF($B82="","",COUNTIF(Penalties!$Q30:$Y30,G$55))</f>
        <v>0</v>
      </c>
      <c r="H82" s="382">
        <f>IF($B82="","",COUNTIF(Penalties!$Q30:$Y30,H$55))</f>
        <v>0</v>
      </c>
      <c r="I82" s="382">
        <f>IF($B82="","",COUNTIF(Penalties!$Q30:$Y30,I$55))</f>
        <v>0</v>
      </c>
      <c r="J82" s="382">
        <f>IF($B82="","",COUNTIF(Penalties!$Q30:$Y30,J$55))</f>
        <v>0</v>
      </c>
      <c r="K82" s="382">
        <f>IF($B82="","",COUNTIF(Penalties!$Q30:$Y30,K$55))</f>
        <v>0</v>
      </c>
      <c r="L82" s="382">
        <f>IF($B82="","",COUNTIF(Penalties!$Q30:$Y30,L$55))</f>
        <v>0</v>
      </c>
      <c r="M82" s="382">
        <f>IF($B82="","",COUNTIF(Penalties!$Q30:$Y30,M$55))</f>
        <v>0</v>
      </c>
      <c r="N82" s="382">
        <f>IF($B82="","",COUNTIF(Penalties!$Q30:$Y30,N$55))</f>
        <v>0</v>
      </c>
      <c r="O82" s="382">
        <f>IF($B82="","",COUNTIF(Penalties!$Q30:$Y30,O$55))</f>
        <v>0</v>
      </c>
      <c r="P82" s="382">
        <f>IF($B82="","",COUNTIF(Penalties!$Q30:$Y30,P$55))</f>
        <v>0</v>
      </c>
      <c r="Q82" s="382">
        <f>IF($B82="","",COUNTIF(Penalties!$Q30:$Y30,Q$55))</f>
        <v>0</v>
      </c>
      <c r="R82" s="382">
        <f>IF($B82="","",COUNTIF(Penalties!$Q30:$Y30,R$55))</f>
        <v>0</v>
      </c>
      <c r="S82" s="382"/>
      <c r="T82" s="382"/>
      <c r="U82" s="392">
        <f>IF(B82="","",SUM(E82:T82))</f>
        <v>0</v>
      </c>
      <c r="V82" s="393">
        <f>IF(B82="","",SUM(E82:T82)*0.5)</f>
        <v>0</v>
      </c>
      <c r="W82" s="394" t="str">
        <f>IF($B82="","",IF(Penalties!$Z30=W$55,1,""))</f>
        <v/>
      </c>
      <c r="X82" s="394" t="str">
        <f>IF($B82="","",IF(Penalties!$Z30=X$55,1,""))</f>
        <v/>
      </c>
      <c r="Y82" s="394" t="str">
        <f>IF($B82="","",IF(Penalties!$Z30=Y$55,1,""))</f>
        <v/>
      </c>
      <c r="Z82" s="394" t="str">
        <f>IF($B82="","",IF(Penalties!$Z30=Z$55,1,""))</f>
        <v/>
      </c>
      <c r="AA82" s="394" t="str">
        <f>IF($B82="","",IF(Penalties!$Z30=AA$55,1,""))</f>
        <v/>
      </c>
      <c r="AB82" s="394" t="str">
        <f>IF($B82="","",IF(Penalties!$Z30=AB$55,1,""))</f>
        <v/>
      </c>
      <c r="AC82" s="394" t="str">
        <f>IF($B82="","",IF(Penalties!$Z30=AC$55,1,""))</f>
        <v/>
      </c>
      <c r="AD82" s="394" t="str">
        <f>IF($B82="","",IF(Penalties!$Z30=AD$55,1,""))</f>
        <v/>
      </c>
      <c r="AE82" s="394" t="str">
        <f>IF($B82="","",IF(Penalties!$Z30=AE$55,1,""))</f>
        <v/>
      </c>
      <c r="AF82" s="394" t="str">
        <f>IF($B82="","",IF(Penalties!$Z30=AF$55,1,""))</f>
        <v/>
      </c>
      <c r="AG82" s="394" t="str">
        <f>IF($B82="","",IF(Penalties!$Z30=AG$55,1,""))</f>
        <v/>
      </c>
      <c r="AH82" s="394" t="str">
        <f>IF($B82="","",IF(Penalties!$Z30=AH$55,1,""))</f>
        <v/>
      </c>
      <c r="AI82" s="394" t="str">
        <f>IF($B82="","",IF(Penalties!$Z30=AI$55,1,""))</f>
        <v/>
      </c>
      <c r="AJ82" s="395"/>
      <c r="AK82" s="64"/>
      <c r="AL82" s="64"/>
      <c r="AM82" s="64"/>
      <c r="AN82" s="64"/>
      <c r="AO82" s="64"/>
      <c r="AP82" s="64"/>
      <c r="AQ82" s="64"/>
      <c r="AR82" s="64"/>
      <c r="AS82" s="64"/>
      <c r="AT82" s="64"/>
      <c r="AU82" s="64"/>
      <c r="AV82" s="64"/>
      <c r="AW82" s="64"/>
      <c r="AX82" s="64"/>
    </row>
    <row r="83" spans="1:50" ht="14.4" thickBot="1" x14ac:dyDescent="0.35">
      <c r="A83" s="1201"/>
      <c r="B83" s="1202"/>
      <c r="C83" s="1203"/>
      <c r="D83" s="382" t="s">
        <v>21</v>
      </c>
      <c r="E83" s="382">
        <f>IF($B82="","",COUNTIF(Penalties!$AS30:$BA30,E$55))</f>
        <v>0</v>
      </c>
      <c r="F83" s="382">
        <f>IF($B82="","",COUNTIF(Penalties!$AS30:$BA30,F$55))</f>
        <v>0</v>
      </c>
      <c r="G83" s="382">
        <f>IF($B82="","",COUNTIF(Penalties!$AS30:$BA30,G$55))</f>
        <v>0</v>
      </c>
      <c r="H83" s="382">
        <f>IF($B82="","",COUNTIF(Penalties!$AS30:$BA30,H$55))</f>
        <v>0</v>
      </c>
      <c r="I83" s="382">
        <f>IF($B82="","",COUNTIF(Penalties!$AS30:$BA30,I$55))</f>
        <v>0</v>
      </c>
      <c r="J83" s="382">
        <f>IF($B82="","",COUNTIF(Penalties!$AS30:$BA30,J$55))</f>
        <v>0</v>
      </c>
      <c r="K83" s="382">
        <f>IF($B82="","",COUNTIF(Penalties!$AS30:$BA30,K$55))</f>
        <v>0</v>
      </c>
      <c r="L83" s="382">
        <f>IF($B82="","",COUNTIF(Penalties!$AS30:$BA30,L$55))</f>
        <v>0</v>
      </c>
      <c r="M83" s="382">
        <f>IF($B82="","",COUNTIF(Penalties!$AS30:$BA30,M$55))</f>
        <v>0</v>
      </c>
      <c r="N83" s="382">
        <f>IF($B82="","",COUNTIF(Penalties!$AS30:$BA30,N$55))</f>
        <v>0</v>
      </c>
      <c r="O83" s="382">
        <f>IF($B82="","",COUNTIF(Penalties!$AS30:$BA30,O$55))</f>
        <v>0</v>
      </c>
      <c r="P83" s="382">
        <f>IF($B82="","",COUNTIF(Penalties!$AS30:$BA30,P$55))</f>
        <v>0</v>
      </c>
      <c r="Q83" s="382">
        <f>IF($B82="","",COUNTIF(Penalties!$AS30:$BA30,Q$55))</f>
        <v>0</v>
      </c>
      <c r="R83" s="382">
        <f>IF($B82="","",COUNTIF(Penalties!$AS30:$BA30,R$55))</f>
        <v>0</v>
      </c>
      <c r="S83" s="382"/>
      <c r="T83" s="382"/>
      <c r="U83" s="392">
        <f>IF(B82="","",SUM(E83:T83))</f>
        <v>0</v>
      </c>
      <c r="V83" s="393">
        <f>IF(B82="","",SUM(E83:T83)*0.5)</f>
        <v>0</v>
      </c>
      <c r="W83" s="394" t="str">
        <f>IF($B82="","",IF(Penalties!$BB30=W$55,1,""))</f>
        <v/>
      </c>
      <c r="X83" s="394" t="str">
        <f>IF($B82="","",IF(Penalties!$BB30=X$55,1,""))</f>
        <v/>
      </c>
      <c r="Y83" s="394" t="str">
        <f>IF($B82="","",IF(Penalties!$BB30=Y$55,1,""))</f>
        <v/>
      </c>
      <c r="Z83" s="394" t="str">
        <f>IF($B82="","",IF(Penalties!$BB30=Z$55,1,""))</f>
        <v/>
      </c>
      <c r="AA83" s="394" t="str">
        <f>IF($B82="","",IF(Penalties!$BB30=AA$55,1,""))</f>
        <v/>
      </c>
      <c r="AB83" s="394" t="str">
        <f>IF($B82="","",IF(Penalties!$BB30=AB$55,1,""))</f>
        <v/>
      </c>
      <c r="AC83" s="394" t="str">
        <f>IF($B82="","",IF(Penalties!$BB30=AC$55,1,""))</f>
        <v/>
      </c>
      <c r="AD83" s="394" t="str">
        <f>IF($B82="","",IF(Penalties!$BB30=AD$55,1,""))</f>
        <v/>
      </c>
      <c r="AE83" s="394" t="str">
        <f>IF($B82="","",IF(Penalties!$BB30=AE$55,1,""))</f>
        <v/>
      </c>
      <c r="AF83" s="394" t="str">
        <f>IF($B82="","",IF(Penalties!$BB30=AF$55,1,""))</f>
        <v/>
      </c>
      <c r="AG83" s="394" t="str">
        <f>IF($B82="","",IF(Penalties!$BB30=AG$55,1,""))</f>
        <v/>
      </c>
      <c r="AH83" s="394" t="str">
        <f>IF($B82="","",IF(Penalties!$BB30=AH$55,1,""))</f>
        <v/>
      </c>
      <c r="AI83" s="394" t="str">
        <f>IF($B82="","",IF(Penalties!$BB30=AI$55,1,""))</f>
        <v/>
      </c>
      <c r="AJ83" s="396" t="str">
        <f>IF(SUM(X82:AI83)=0, "", IF(SUM(X82:AI82)=1, LOOKUP(1, X82:AI82, $X$55:$AI$55), LOOKUP(1, X83:AI83, $X$55:$AI$55)))</f>
        <v/>
      </c>
      <c r="AK83" s="64"/>
      <c r="AL83" s="64"/>
      <c r="AM83" s="64"/>
      <c r="AN83" s="64"/>
      <c r="AO83" s="64"/>
      <c r="AP83" s="64"/>
      <c r="AQ83" s="64"/>
      <c r="AR83" s="64"/>
      <c r="AS83" s="64"/>
      <c r="AT83" s="64"/>
      <c r="AU83" s="64"/>
      <c r="AV83" s="64"/>
      <c r="AW83" s="64"/>
      <c r="AX83" s="64"/>
    </row>
    <row r="84" spans="1:50" x14ac:dyDescent="0.3">
      <c r="A84" s="1204">
        <f>A82+1</f>
        <v>15</v>
      </c>
      <c r="B84" s="1205" t="str">
        <f>IF(IGRF!I28="","",IGRF!I28)</f>
        <v>88*</v>
      </c>
      <c r="C84" s="1206" t="str">
        <f>IF(IGRF!J28="","",IGRF!J28)</f>
        <v>Flux</v>
      </c>
      <c r="D84" s="381" t="s">
        <v>5</v>
      </c>
      <c r="E84" s="381">
        <f>IF($B84="","",COUNTIF(Penalties!$Q32:$Y32,E$55))</f>
        <v>0</v>
      </c>
      <c r="F84" s="381">
        <f>IF($B84="","",COUNTIF(Penalties!$Q32:$Y32,F$55))</f>
        <v>0</v>
      </c>
      <c r="G84" s="381">
        <f>IF($B84="","",COUNTIF(Penalties!$Q32:$Y32,G$55))</f>
        <v>0</v>
      </c>
      <c r="H84" s="381">
        <f>IF($B84="","",COUNTIF(Penalties!$Q32:$Y32,H$55))</f>
        <v>0</v>
      </c>
      <c r="I84" s="381">
        <f>IF($B84="","",COUNTIF(Penalties!$Q32:$Y32,I$55))</f>
        <v>0</v>
      </c>
      <c r="J84" s="381">
        <f>IF($B84="","",COUNTIF(Penalties!$Q32:$Y32,J$55))</f>
        <v>0</v>
      </c>
      <c r="K84" s="381">
        <f>IF($B84="","",COUNTIF(Penalties!$Q32:$Y32,K$55))</f>
        <v>0</v>
      </c>
      <c r="L84" s="381">
        <f>IF($B84="","",COUNTIF(Penalties!$Q32:$Y32,L$55))</f>
        <v>0</v>
      </c>
      <c r="M84" s="381">
        <f>IF($B84="","",COUNTIF(Penalties!$Q32:$Y32,M$55))</f>
        <v>0</v>
      </c>
      <c r="N84" s="381">
        <f>IF($B84="","",COUNTIF(Penalties!$Q32:$Y32,N$55))</f>
        <v>0</v>
      </c>
      <c r="O84" s="381">
        <f>IF($B84="","",COUNTIF(Penalties!$Q32:$Y32,O$55))</f>
        <v>0</v>
      </c>
      <c r="P84" s="381">
        <f>IF($B84="","",COUNTIF(Penalties!$Q32:$Y32,P$55))</f>
        <v>0</v>
      </c>
      <c r="Q84" s="381">
        <f>IF($B84="","",COUNTIF(Penalties!$Q32:$Y32,Q$55))</f>
        <v>0</v>
      </c>
      <c r="R84" s="381">
        <f>IF($B84="","",COUNTIF(Penalties!$Q32:$Y32,R$55))</f>
        <v>0</v>
      </c>
      <c r="U84" s="387">
        <f>IF(B84="","",SUM(E84:T84))</f>
        <v>0</v>
      </c>
      <c r="V84" s="388">
        <f>IF(B84="","",SUM(E84:T84)*0.5)</f>
        <v>0</v>
      </c>
      <c r="W84" s="389" t="str">
        <f>IF($B84="","",IF(Penalties!$Z32=W$55,1,""))</f>
        <v/>
      </c>
      <c r="X84" s="389" t="str">
        <f>IF($B84="","",IF(Penalties!$Z32=X$55,1,""))</f>
        <v/>
      </c>
      <c r="Y84" s="389" t="str">
        <f>IF($B84="","",IF(Penalties!$Z32=Y$55,1,""))</f>
        <v/>
      </c>
      <c r="Z84" s="389" t="str">
        <f>IF($B84="","",IF(Penalties!$Z32=Z$55,1,""))</f>
        <v/>
      </c>
      <c r="AA84" s="389" t="str">
        <f>IF($B84="","",IF(Penalties!$Z32=AA$55,1,""))</f>
        <v/>
      </c>
      <c r="AB84" s="389" t="str">
        <f>IF($B84="","",IF(Penalties!$Z32=AB$55,1,""))</f>
        <v/>
      </c>
      <c r="AC84" s="389" t="str">
        <f>IF($B84="","",IF(Penalties!$Z32=AC$55,1,""))</f>
        <v/>
      </c>
      <c r="AD84" s="389" t="str">
        <f>IF($B84="","",IF(Penalties!$Z32=AD$55,1,""))</f>
        <v/>
      </c>
      <c r="AE84" s="389" t="str">
        <f>IF($B84="","",IF(Penalties!$Z32=AE$55,1,""))</f>
        <v/>
      </c>
      <c r="AF84" s="389" t="str">
        <f>IF($B84="","",IF(Penalties!$Z32=AF$55,1,""))</f>
        <v/>
      </c>
      <c r="AG84" s="389" t="str">
        <f>IF($B84="","",IF(Penalties!$Z32=AG$55,1,""))</f>
        <v/>
      </c>
      <c r="AH84" s="389" t="str">
        <f>IF($B84="","",IF(Penalties!$Z32=AH$55,1,""))</f>
        <v/>
      </c>
      <c r="AI84" s="389" t="str">
        <f>IF($B84="","",IF(Penalties!$Z32=AI$55,1,""))</f>
        <v/>
      </c>
      <c r="AJ84" s="390"/>
      <c r="AK84" s="64"/>
      <c r="AL84" s="64"/>
      <c r="AM84" s="64"/>
      <c r="AN84" s="64"/>
      <c r="AO84" s="64"/>
      <c r="AP84" s="64"/>
      <c r="AQ84" s="64"/>
      <c r="AR84" s="64"/>
      <c r="AS84" s="64"/>
      <c r="AT84" s="64"/>
      <c r="AU84" s="64"/>
      <c r="AV84" s="64"/>
      <c r="AW84" s="64"/>
      <c r="AX84" s="64"/>
    </row>
    <row r="85" spans="1:50" x14ac:dyDescent="0.3">
      <c r="A85" s="1204"/>
      <c r="B85" s="1205"/>
      <c r="C85" s="1206"/>
      <c r="D85" s="381" t="s">
        <v>21</v>
      </c>
      <c r="E85" s="381">
        <f>IF($B84="","",COUNTIF(Penalties!$AS32:$BA32,E$55))</f>
        <v>0</v>
      </c>
      <c r="F85" s="381">
        <f>IF($B84="","",COUNTIF(Penalties!$AS32:$BA32,F$55))</f>
        <v>0</v>
      </c>
      <c r="G85" s="381">
        <f>IF($B84="","",COUNTIF(Penalties!$AS32:$BA32,G$55))</f>
        <v>0</v>
      </c>
      <c r="H85" s="381">
        <f>IF($B84="","",COUNTIF(Penalties!$AS32:$BA32,H$55))</f>
        <v>0</v>
      </c>
      <c r="I85" s="381">
        <f>IF($B84="","",COUNTIF(Penalties!$AS32:$BA32,I$55))</f>
        <v>0</v>
      </c>
      <c r="J85" s="381">
        <f>IF($B84="","",COUNTIF(Penalties!$AS32:$BA32,J$55))</f>
        <v>0</v>
      </c>
      <c r="K85" s="381">
        <f>IF($B84="","",COUNTIF(Penalties!$AS32:$BA32,K$55))</f>
        <v>0</v>
      </c>
      <c r="L85" s="381">
        <f>IF($B84="","",COUNTIF(Penalties!$AS32:$BA32,L$55))</f>
        <v>0</v>
      </c>
      <c r="M85" s="381">
        <f>IF($B84="","",COUNTIF(Penalties!$AS32:$BA32,M$55))</f>
        <v>0</v>
      </c>
      <c r="N85" s="381">
        <f>IF($B84="","",COUNTIF(Penalties!$AS32:$BA32,N$55))</f>
        <v>0</v>
      </c>
      <c r="O85" s="381">
        <f>IF($B84="","",COUNTIF(Penalties!$AS32:$BA32,O$55))</f>
        <v>0</v>
      </c>
      <c r="P85" s="381">
        <f>IF($B84="","",COUNTIF(Penalties!$AS32:$BA32,P$55))</f>
        <v>0</v>
      </c>
      <c r="Q85" s="381">
        <f>IF($B84="","",COUNTIF(Penalties!$AS32:$BA32,Q$55))</f>
        <v>0</v>
      </c>
      <c r="R85" s="381">
        <f>IF($B84="","",COUNTIF(Penalties!$AS32:$BA32,R$55))</f>
        <v>0</v>
      </c>
      <c r="U85" s="387">
        <f>IF(B84="","",SUM(E85:T85))</f>
        <v>0</v>
      </c>
      <c r="V85" s="388">
        <f>IF(B84="","",SUM(E85:T85)*0.5)</f>
        <v>0</v>
      </c>
      <c r="W85" s="389" t="str">
        <f>IF($B84="","",IF(Penalties!$BB32=W$55,1,""))</f>
        <v/>
      </c>
      <c r="X85" s="389" t="str">
        <f>IF($B84="","",IF(Penalties!$BB32=X$55,1,""))</f>
        <v/>
      </c>
      <c r="Y85" s="389" t="str">
        <f>IF($B84="","",IF(Penalties!$BB32=Y$55,1,""))</f>
        <v/>
      </c>
      <c r="Z85" s="389" t="str">
        <f>IF($B84="","",IF(Penalties!$BB32=Z$55,1,""))</f>
        <v/>
      </c>
      <c r="AA85" s="389" t="str">
        <f>IF($B84="","",IF(Penalties!$BB32=AA$55,1,""))</f>
        <v/>
      </c>
      <c r="AB85" s="389" t="str">
        <f>IF($B84="","",IF(Penalties!$BB32=AB$55,1,""))</f>
        <v/>
      </c>
      <c r="AC85" s="389" t="str">
        <f>IF($B84="","",IF(Penalties!$BB32=AC$55,1,""))</f>
        <v/>
      </c>
      <c r="AD85" s="389" t="str">
        <f>IF($B84="","",IF(Penalties!$BB32=AD$55,1,""))</f>
        <v/>
      </c>
      <c r="AE85" s="389" t="str">
        <f>IF($B84="","",IF(Penalties!$BB32=AE$55,1,""))</f>
        <v/>
      </c>
      <c r="AF85" s="389" t="str">
        <f>IF($B84="","",IF(Penalties!$BB32=AF$55,1,""))</f>
        <v/>
      </c>
      <c r="AG85" s="389" t="str">
        <f>IF($B84="","",IF(Penalties!$BB32=AG$55,1,""))</f>
        <v/>
      </c>
      <c r="AH85" s="389" t="str">
        <f>IF($B84="","",IF(Penalties!$BB32=AH$55,1,""))</f>
        <v/>
      </c>
      <c r="AI85" s="389" t="str">
        <f>IF($B84="","",IF(Penalties!$BB32=AI$55,1,""))</f>
        <v/>
      </c>
      <c r="AJ85" s="391" t="str">
        <f>IF(SUM(X84:AI85)=0, "", IF(SUM(X84:AI84)=1, LOOKUP(1, X84:AI84, $X$55:$AI$55), LOOKUP(1, X85:AI85, $X$55:$AI$55)))</f>
        <v/>
      </c>
      <c r="AK85" s="64"/>
      <c r="AL85" s="64"/>
      <c r="AM85" s="64"/>
      <c r="AN85" s="64"/>
      <c r="AO85" s="64"/>
      <c r="AP85" s="64"/>
      <c r="AQ85" s="64"/>
      <c r="AR85" s="64"/>
      <c r="AS85" s="64"/>
      <c r="AT85" s="64"/>
      <c r="AU85" s="64"/>
      <c r="AV85" s="64"/>
      <c r="AW85" s="64"/>
      <c r="AX85" s="64"/>
    </row>
    <row r="86" spans="1:50" x14ac:dyDescent="0.3">
      <c r="A86" s="1201">
        <f>A84+1</f>
        <v>16</v>
      </c>
      <c r="B86" s="1202" t="str">
        <f>IF(IGRF!I29="","",IGRF!I29)</f>
        <v>911</v>
      </c>
      <c r="C86" s="1203" t="str">
        <f>IF(IGRF!J29="","",IGRF!J29)</f>
        <v>Annie Mergency</v>
      </c>
      <c r="D86" s="382" t="s">
        <v>5</v>
      </c>
      <c r="E86" s="382">
        <f>IF($B86="","",COUNTIF(Penalties!$Q34:$Y34,E$55))</f>
        <v>0</v>
      </c>
      <c r="F86" s="382">
        <f>IF($B86="","",COUNTIF(Penalties!$Q34:$Y34,F$55))</f>
        <v>0</v>
      </c>
      <c r="G86" s="382">
        <f>IF($B86="","",COUNTIF(Penalties!$Q34:$Y34,G$55))</f>
        <v>0</v>
      </c>
      <c r="H86" s="382">
        <f>IF($B86="","",COUNTIF(Penalties!$Q34:$Y34,H$55))</f>
        <v>0</v>
      </c>
      <c r="I86" s="382">
        <f>IF($B86="","",COUNTIF(Penalties!$Q34:$Y34,I$55))</f>
        <v>0</v>
      </c>
      <c r="J86" s="382">
        <f>IF($B86="","",COUNTIF(Penalties!$Q34:$Y34,J$55))</f>
        <v>0</v>
      </c>
      <c r="K86" s="382">
        <f>IF($B86="","",COUNTIF(Penalties!$Q34:$Y34,K$55))</f>
        <v>0</v>
      </c>
      <c r="L86" s="382">
        <f>IF($B86="","",COUNTIF(Penalties!$Q34:$Y34,L$55))</f>
        <v>0</v>
      </c>
      <c r="M86" s="382">
        <f>IF($B86="","",COUNTIF(Penalties!$Q34:$Y34,M$55))</f>
        <v>0</v>
      </c>
      <c r="N86" s="382">
        <f>IF($B86="","",COUNTIF(Penalties!$Q34:$Y34,N$55))</f>
        <v>0</v>
      </c>
      <c r="O86" s="382">
        <f>IF($B86="","",COUNTIF(Penalties!$Q34:$Y34,O$55))</f>
        <v>0</v>
      </c>
      <c r="P86" s="382">
        <f>IF($B86="","",COUNTIF(Penalties!$Q34:$Y34,P$55))</f>
        <v>0</v>
      </c>
      <c r="Q86" s="382">
        <f>IF($B86="","",COUNTIF(Penalties!$Q34:$Y34,Q$55))</f>
        <v>0</v>
      </c>
      <c r="R86" s="382">
        <f>IF($B86="","",COUNTIF(Penalties!$Q34:$Y34,R$55))</f>
        <v>0</v>
      </c>
      <c r="S86" s="382"/>
      <c r="T86" s="382"/>
      <c r="U86" s="392">
        <f>IF(B86="","",SUM(E86:T86))</f>
        <v>0</v>
      </c>
      <c r="V86" s="393">
        <f>IF(B86="","",SUM(E86:T86)*0.5)</f>
        <v>0</v>
      </c>
      <c r="W86" s="394" t="str">
        <f>IF($B86="","",IF(Penalties!$Z34=W$55,1,""))</f>
        <v/>
      </c>
      <c r="X86" s="394" t="str">
        <f>IF($B86="","",IF(Penalties!$Z34=X$55,1,""))</f>
        <v/>
      </c>
      <c r="Y86" s="394" t="str">
        <f>IF($B86="","",IF(Penalties!$Z34=Y$55,1,""))</f>
        <v/>
      </c>
      <c r="Z86" s="394" t="str">
        <f>IF($B86="","",IF(Penalties!$Z34=Z$55,1,""))</f>
        <v/>
      </c>
      <c r="AA86" s="394" t="str">
        <f>IF($B86="","",IF(Penalties!$Z34=AA$55,1,""))</f>
        <v/>
      </c>
      <c r="AB86" s="394" t="str">
        <f>IF($B86="","",IF(Penalties!$Z34=AB$55,1,""))</f>
        <v/>
      </c>
      <c r="AC86" s="394" t="str">
        <f>IF($B86="","",IF(Penalties!$Z34=AC$55,1,""))</f>
        <v/>
      </c>
      <c r="AD86" s="394" t="str">
        <f>IF($B86="","",IF(Penalties!$Z34=AD$55,1,""))</f>
        <v/>
      </c>
      <c r="AE86" s="394" t="str">
        <f>IF($B86="","",IF(Penalties!$Z34=AE$55,1,""))</f>
        <v/>
      </c>
      <c r="AF86" s="394" t="str">
        <f>IF($B86="","",IF(Penalties!$Z34=AF$55,1,""))</f>
        <v/>
      </c>
      <c r="AG86" s="394" t="str">
        <f>IF($B86="","",IF(Penalties!$Z34=AG$55,1,""))</f>
        <v/>
      </c>
      <c r="AH86" s="394" t="str">
        <f>IF($B86="","",IF(Penalties!$Z34=AH$55,1,""))</f>
        <v/>
      </c>
      <c r="AI86" s="394" t="str">
        <f>IF($B86="","",IF(Penalties!$Z34=AI$55,1,""))</f>
        <v/>
      </c>
      <c r="AJ86" s="395"/>
      <c r="AK86" s="64"/>
      <c r="AL86" s="64"/>
      <c r="AM86" s="64"/>
      <c r="AN86" s="64"/>
      <c r="AO86" s="64"/>
      <c r="AP86" s="64"/>
      <c r="AQ86" s="64"/>
      <c r="AR86" s="64"/>
      <c r="AS86" s="64"/>
      <c r="AT86" s="64"/>
      <c r="AU86" s="64"/>
      <c r="AV86" s="64"/>
      <c r="AW86" s="64"/>
      <c r="AX86" s="64"/>
    </row>
    <row r="87" spans="1:50" ht="14.4" thickBot="1" x14ac:dyDescent="0.35">
      <c r="A87" s="1201"/>
      <c r="B87" s="1202"/>
      <c r="C87" s="1203"/>
      <c r="D87" s="382" t="s">
        <v>21</v>
      </c>
      <c r="E87" s="382">
        <f>IF($B86="","",COUNTIF(Penalties!$AS34:$BA34,E$55))</f>
        <v>0</v>
      </c>
      <c r="F87" s="382">
        <f>IF($B86="","",COUNTIF(Penalties!$AS34:$BA34,F$55))</f>
        <v>0</v>
      </c>
      <c r="G87" s="382">
        <f>IF($B86="","",COUNTIF(Penalties!$AS34:$BA34,G$55))</f>
        <v>0</v>
      </c>
      <c r="H87" s="382">
        <f>IF($B86="","",COUNTIF(Penalties!$AS34:$BA34,H$55))</f>
        <v>0</v>
      </c>
      <c r="I87" s="382">
        <f>IF($B86="","",COUNTIF(Penalties!$AS34:$BA34,I$55))</f>
        <v>0</v>
      </c>
      <c r="J87" s="382">
        <f>IF($B86="","",COUNTIF(Penalties!$AS34:$BA34,J$55))</f>
        <v>0</v>
      </c>
      <c r="K87" s="382">
        <f>IF($B86="","",COUNTIF(Penalties!$AS34:$BA34,K$55))</f>
        <v>0</v>
      </c>
      <c r="L87" s="382">
        <f>IF($B86="","",COUNTIF(Penalties!$AS34:$BA34,L$55))</f>
        <v>0</v>
      </c>
      <c r="M87" s="382">
        <f>IF($B86="","",COUNTIF(Penalties!$AS34:$BA34,M$55))</f>
        <v>1</v>
      </c>
      <c r="N87" s="382">
        <f>IF($B86="","",COUNTIF(Penalties!$AS34:$BA34,N$55))</f>
        <v>0</v>
      </c>
      <c r="O87" s="382">
        <f>IF($B86="","",COUNTIF(Penalties!$AS34:$BA34,O$55))</f>
        <v>0</v>
      </c>
      <c r="P87" s="382">
        <f>IF($B86="","",COUNTIF(Penalties!$AS34:$BA34,P$55))</f>
        <v>0</v>
      </c>
      <c r="Q87" s="382">
        <f>IF($B86="","",COUNTIF(Penalties!$AS34:$BA34,Q$55))</f>
        <v>0</v>
      </c>
      <c r="R87" s="382">
        <f>IF($B86="","",COUNTIF(Penalties!$AS34:$BA34,R$55))</f>
        <v>0</v>
      </c>
      <c r="S87" s="382"/>
      <c r="T87" s="382"/>
      <c r="U87" s="392">
        <f>IF(B86="","",SUM(E87:T87))</f>
        <v>1</v>
      </c>
      <c r="V87" s="393">
        <f>IF(B86="","",SUM(E87:T87)*0.5)</f>
        <v>0.5</v>
      </c>
      <c r="W87" s="394" t="str">
        <f>IF($B86="","",IF(Penalties!$BB34=W$55,1,""))</f>
        <v/>
      </c>
      <c r="X87" s="394" t="str">
        <f>IF($B86="","",IF(Penalties!$BB34=X$55,1,""))</f>
        <v/>
      </c>
      <c r="Y87" s="394" t="str">
        <f>IF($B86="","",IF(Penalties!$BB34=Y$55,1,""))</f>
        <v/>
      </c>
      <c r="Z87" s="394" t="str">
        <f>IF($B86="","",IF(Penalties!$BB34=Z$55,1,""))</f>
        <v/>
      </c>
      <c r="AA87" s="394" t="str">
        <f>IF($B86="","",IF(Penalties!$BB34=AA$55,1,""))</f>
        <v/>
      </c>
      <c r="AB87" s="394" t="str">
        <f>IF($B86="","",IF(Penalties!$BB34=AB$55,1,""))</f>
        <v/>
      </c>
      <c r="AC87" s="394" t="str">
        <f>IF($B86="","",IF(Penalties!$BB34=AC$55,1,""))</f>
        <v/>
      </c>
      <c r="AD87" s="394" t="str">
        <f>IF($B86="","",IF(Penalties!$BB34=AD$55,1,""))</f>
        <v/>
      </c>
      <c r="AE87" s="394" t="str">
        <f>IF($B86="","",IF(Penalties!$BB34=AE$55,1,""))</f>
        <v/>
      </c>
      <c r="AF87" s="394" t="str">
        <f>IF($B86="","",IF(Penalties!$BB34=AF$55,1,""))</f>
        <v/>
      </c>
      <c r="AG87" s="394" t="str">
        <f>IF($B86="","",IF(Penalties!$BB34=AG$55,1,""))</f>
        <v/>
      </c>
      <c r="AH87" s="394" t="str">
        <f>IF($B86="","",IF(Penalties!$BB34=AH$55,1,""))</f>
        <v/>
      </c>
      <c r="AI87" s="394" t="str">
        <f>IF($B86="","",IF(Penalties!$BB34=AI$55,1,""))</f>
        <v/>
      </c>
      <c r="AJ87" s="396" t="str">
        <f>IF(SUM(X86:AI87)=0, "", IF(SUM(X86:AI86)=1, LOOKUP(1, X86:AI86, $X$55:$AI$55), LOOKUP(1, X87:AI87, $X$55:$AI$55)))</f>
        <v/>
      </c>
      <c r="AK87" s="64"/>
      <c r="AL87" s="64"/>
      <c r="AM87" s="64"/>
      <c r="AN87" s="64"/>
      <c r="AO87" s="64"/>
      <c r="AP87" s="64"/>
      <c r="AQ87" s="64"/>
      <c r="AR87" s="64"/>
      <c r="AS87" s="64"/>
      <c r="AT87" s="64"/>
      <c r="AU87" s="64"/>
      <c r="AV87" s="64"/>
      <c r="AW87" s="64"/>
      <c r="AX87" s="64"/>
    </row>
    <row r="88" spans="1:50" x14ac:dyDescent="0.3">
      <c r="A88" s="1204">
        <f>A86+1</f>
        <v>17</v>
      </c>
      <c r="B88" s="1205" t="str">
        <f>IF(IGRF!I30="","",IGRF!I30)</f>
        <v>94</v>
      </c>
      <c r="C88" s="1206" t="str">
        <f>IF(IGRF!J30="","",IGRF!J30)</f>
        <v>The Kraken</v>
      </c>
      <c r="D88" s="381" t="s">
        <v>5</v>
      </c>
      <c r="E88" s="381">
        <f>IF($B88="","",COUNTIF(Penalties!$Q36:$Y36,E$55))</f>
        <v>0</v>
      </c>
      <c r="F88" s="381">
        <f>IF($B88="","",COUNTIF(Penalties!$Q36:$Y36,F$55))</f>
        <v>0</v>
      </c>
      <c r="G88" s="381">
        <f>IF($B88="","",COUNTIF(Penalties!$Q36:$Y36,G$55))</f>
        <v>0</v>
      </c>
      <c r="H88" s="381">
        <f>IF($B88="","",COUNTIF(Penalties!$Q36:$Y36,H$55))</f>
        <v>0</v>
      </c>
      <c r="I88" s="381">
        <f>IF($B88="","",COUNTIF(Penalties!$Q36:$Y36,I$55))</f>
        <v>0</v>
      </c>
      <c r="J88" s="381">
        <f>IF($B88="","",COUNTIF(Penalties!$Q36:$Y36,J$55))</f>
        <v>1</v>
      </c>
      <c r="K88" s="381">
        <f>IF($B88="","",COUNTIF(Penalties!$Q36:$Y36,K$55))</f>
        <v>0</v>
      </c>
      <c r="L88" s="381">
        <f>IF($B88="","",COUNTIF(Penalties!$Q36:$Y36,L$55))</f>
        <v>0</v>
      </c>
      <c r="M88" s="381">
        <f>IF($B88="","",COUNTIF(Penalties!$Q36:$Y36,M$55))</f>
        <v>0</v>
      </c>
      <c r="N88" s="381">
        <f>IF($B88="","",COUNTIF(Penalties!$Q36:$Y36,N$55))</f>
        <v>0</v>
      </c>
      <c r="O88" s="381">
        <f>IF($B88="","",COUNTIF(Penalties!$Q36:$Y36,O$55))</f>
        <v>0</v>
      </c>
      <c r="P88" s="381">
        <f>IF($B88="","",COUNTIF(Penalties!$Q36:$Y36,P$55))</f>
        <v>0</v>
      </c>
      <c r="Q88" s="381">
        <f>IF($B88="","",COUNTIF(Penalties!$Q36:$Y36,Q$55))</f>
        <v>0</v>
      </c>
      <c r="R88" s="381">
        <f>IF($B88="","",COUNTIF(Penalties!$Q36:$Y36,R$55))</f>
        <v>0</v>
      </c>
      <c r="U88" s="387">
        <f>IF(B88="","",SUM(E88:T88))</f>
        <v>1</v>
      </c>
      <c r="V88" s="388">
        <f>IF(B88="","",SUM(E88:T88)*0.5)</f>
        <v>0.5</v>
      </c>
      <c r="W88" s="389" t="str">
        <f>IF($B88="","",IF(Penalties!$Z36=W$55,1,""))</f>
        <v/>
      </c>
      <c r="X88" s="389" t="str">
        <f>IF($B88="","",IF(Penalties!$Z36=X$55,1,""))</f>
        <v/>
      </c>
      <c r="Y88" s="389" t="str">
        <f>IF($B88="","",IF(Penalties!$Z36=Y$55,1,""))</f>
        <v/>
      </c>
      <c r="Z88" s="389" t="str">
        <f>IF($B88="","",IF(Penalties!$Z36=Z$55,1,""))</f>
        <v/>
      </c>
      <c r="AA88" s="389" t="str">
        <f>IF($B88="","",IF(Penalties!$Z36=AA$55,1,""))</f>
        <v/>
      </c>
      <c r="AB88" s="389" t="str">
        <f>IF($B88="","",IF(Penalties!$Z36=AB$55,1,""))</f>
        <v/>
      </c>
      <c r="AC88" s="389" t="str">
        <f>IF($B88="","",IF(Penalties!$Z36=AC$55,1,""))</f>
        <v/>
      </c>
      <c r="AD88" s="389" t="str">
        <f>IF($B88="","",IF(Penalties!$Z36=AD$55,1,""))</f>
        <v/>
      </c>
      <c r="AE88" s="389" t="str">
        <f>IF($B88="","",IF(Penalties!$Z36=AE$55,1,""))</f>
        <v/>
      </c>
      <c r="AF88" s="389" t="str">
        <f>IF($B88="","",IF(Penalties!$Z36=AF$55,1,""))</f>
        <v/>
      </c>
      <c r="AG88" s="389" t="str">
        <f>IF($B88="","",IF(Penalties!$Z36=AG$55,1,""))</f>
        <v/>
      </c>
      <c r="AH88" s="389" t="str">
        <f>IF($B88="","",IF(Penalties!$Z36=AH$55,1,""))</f>
        <v/>
      </c>
      <c r="AI88" s="389" t="str">
        <f>IF($B88="","",IF(Penalties!$Z36=AI$55,1,""))</f>
        <v/>
      </c>
      <c r="AJ88" s="390"/>
      <c r="AK88" s="64"/>
      <c r="AL88" s="64"/>
      <c r="AM88" s="64"/>
      <c r="AN88" s="64"/>
      <c r="AO88" s="64"/>
      <c r="AP88" s="64"/>
      <c r="AQ88" s="64"/>
      <c r="AR88" s="64"/>
      <c r="AS88" s="64"/>
      <c r="AT88" s="64"/>
      <c r="AU88" s="64"/>
      <c r="AV88" s="64"/>
      <c r="AW88" s="64"/>
      <c r="AX88" s="64"/>
    </row>
    <row r="89" spans="1:50" x14ac:dyDescent="0.3">
      <c r="A89" s="1204"/>
      <c r="B89" s="1205"/>
      <c r="C89" s="1206"/>
      <c r="D89" s="381" t="s">
        <v>21</v>
      </c>
      <c r="E89" s="381">
        <f>IF($B88="","",COUNTIF(Penalties!$AS36:$BA36,E$55))</f>
        <v>0</v>
      </c>
      <c r="F89" s="381">
        <f>IF($B88="","",COUNTIF(Penalties!$AS36:$BA36,F$55))</f>
        <v>0</v>
      </c>
      <c r="G89" s="381">
        <f>IF($B88="","",COUNTIF(Penalties!$AS36:$BA36,G$55))</f>
        <v>0</v>
      </c>
      <c r="H89" s="381">
        <f>IF($B88="","",COUNTIF(Penalties!$AS36:$BA36,H$55))</f>
        <v>0</v>
      </c>
      <c r="I89" s="381">
        <f>IF($B88="","",COUNTIF(Penalties!$AS36:$BA36,I$55))</f>
        <v>0</v>
      </c>
      <c r="J89" s="381">
        <f>IF($B88="","",COUNTIF(Penalties!$AS36:$BA36,J$55))</f>
        <v>1</v>
      </c>
      <c r="K89" s="381">
        <f>IF($B88="","",COUNTIF(Penalties!$AS36:$BA36,K$55))</f>
        <v>0</v>
      </c>
      <c r="L89" s="381">
        <f>IF($B88="","",COUNTIF(Penalties!$AS36:$BA36,L$55))</f>
        <v>0</v>
      </c>
      <c r="M89" s="381">
        <f>IF($B88="","",COUNTIF(Penalties!$AS36:$BA36,M$55))</f>
        <v>0</v>
      </c>
      <c r="N89" s="381">
        <f>IF($B88="","",COUNTIF(Penalties!$AS36:$BA36,N$55))</f>
        <v>0</v>
      </c>
      <c r="O89" s="381">
        <f>IF($B88="","",COUNTIF(Penalties!$AS36:$BA36,O$55))</f>
        <v>0</v>
      </c>
      <c r="P89" s="381">
        <f>IF($B88="","",COUNTIF(Penalties!$AS36:$BA36,P$55))</f>
        <v>0</v>
      </c>
      <c r="Q89" s="381">
        <f>IF($B88="","",COUNTIF(Penalties!$AS36:$BA36,Q$55))</f>
        <v>0</v>
      </c>
      <c r="R89" s="381">
        <f>IF($B88="","",COUNTIF(Penalties!$AS36:$BA36,R$55))</f>
        <v>0</v>
      </c>
      <c r="U89" s="387">
        <f>IF(B88="","",SUM(E89:T89))</f>
        <v>1</v>
      </c>
      <c r="V89" s="388">
        <f>IF(B88="","",SUM(E89:T89)*0.5)</f>
        <v>0.5</v>
      </c>
      <c r="W89" s="389" t="str">
        <f>IF($B88="","",IF(Penalties!$BB36=W$55,1,""))</f>
        <v/>
      </c>
      <c r="X89" s="389" t="str">
        <f>IF($B88="","",IF(Penalties!$BB36=X$55,1,""))</f>
        <v/>
      </c>
      <c r="Y89" s="389" t="str">
        <f>IF($B88="","",IF(Penalties!$BB36=Y$55,1,""))</f>
        <v/>
      </c>
      <c r="Z89" s="389" t="str">
        <f>IF($B88="","",IF(Penalties!$BB36=Z$55,1,""))</f>
        <v/>
      </c>
      <c r="AA89" s="389" t="str">
        <f>IF($B88="","",IF(Penalties!$BB36=AA$55,1,""))</f>
        <v/>
      </c>
      <c r="AB89" s="389" t="str">
        <f>IF($B88="","",IF(Penalties!$BB36=AB$55,1,""))</f>
        <v/>
      </c>
      <c r="AC89" s="389" t="str">
        <f>IF($B88="","",IF(Penalties!$BB36=AC$55,1,""))</f>
        <v/>
      </c>
      <c r="AD89" s="389" t="str">
        <f>IF($B88="","",IF(Penalties!$BB36=AD$55,1,""))</f>
        <v/>
      </c>
      <c r="AE89" s="389" t="str">
        <f>IF($B88="","",IF(Penalties!$BB36=AE$55,1,""))</f>
        <v/>
      </c>
      <c r="AF89" s="389" t="str">
        <f>IF($B88="","",IF(Penalties!$BB36=AF$55,1,""))</f>
        <v/>
      </c>
      <c r="AG89" s="389" t="str">
        <f>IF($B88="","",IF(Penalties!$BB36=AG$55,1,""))</f>
        <v/>
      </c>
      <c r="AH89" s="389" t="str">
        <f>IF($B88="","",IF(Penalties!$BB36=AH$55,1,""))</f>
        <v/>
      </c>
      <c r="AI89" s="389" t="str">
        <f>IF($B88="","",IF(Penalties!$BB36=AI$55,1,""))</f>
        <v/>
      </c>
      <c r="AJ89" s="391" t="str">
        <f>IF(SUM(X88:AI89)=0, "", IF(SUM(X88:AI88)=1, LOOKUP(1, X88:AI88, $X$55:$AI$55), LOOKUP(1, X89:AI89, $X$55:$AI$55)))</f>
        <v/>
      </c>
      <c r="AK89" s="64"/>
      <c r="AL89" s="64"/>
      <c r="AM89" s="64"/>
      <c r="AN89" s="64"/>
      <c r="AO89" s="64"/>
      <c r="AP89" s="64"/>
      <c r="AQ89" s="64"/>
      <c r="AR89" s="64"/>
      <c r="AS89" s="64"/>
      <c r="AT89" s="64"/>
      <c r="AU89" s="64"/>
      <c r="AV89" s="64"/>
      <c r="AW89" s="64"/>
      <c r="AX89" s="64"/>
    </row>
    <row r="90" spans="1:50" x14ac:dyDescent="0.3">
      <c r="A90" s="1201">
        <f>A88+1</f>
        <v>18</v>
      </c>
      <c r="B90" s="1202" t="str">
        <f>IF(IGRF!I31="","",IGRF!I31)</f>
        <v/>
      </c>
      <c r="C90" s="1203" t="str">
        <f>IF(IGRF!J31="","",IGRF!J31)</f>
        <v/>
      </c>
      <c r="D90" s="382" t="s">
        <v>5</v>
      </c>
      <c r="E90" s="382" t="str">
        <f>IF($B90="","",COUNTIF(Penalties!$Q38:$Y38,E$55))</f>
        <v/>
      </c>
      <c r="F90" s="382" t="str">
        <f>IF($B90="","",COUNTIF(Penalties!$Q38:$Y38,F$55))</f>
        <v/>
      </c>
      <c r="G90" s="382" t="str">
        <f>IF($B90="","",COUNTIF(Penalties!$Q38:$Y38,G$55))</f>
        <v/>
      </c>
      <c r="H90" s="382" t="str">
        <f>IF($B90="","",COUNTIF(Penalties!$Q38:$Y38,H$55))</f>
        <v/>
      </c>
      <c r="I90" s="382" t="str">
        <f>IF($B90="","",COUNTIF(Penalties!$Q38:$Y38,I$55))</f>
        <v/>
      </c>
      <c r="J90" s="382" t="str">
        <f>IF($B90="","",COUNTIF(Penalties!$Q38:$Y38,J$55))</f>
        <v/>
      </c>
      <c r="K90" s="382" t="str">
        <f>IF($B90="","",COUNTIF(Penalties!$Q38:$Y38,K$55))</f>
        <v/>
      </c>
      <c r="L90" s="382" t="str">
        <f>IF($B90="","",COUNTIF(Penalties!$Q38:$Y38,L$55))</f>
        <v/>
      </c>
      <c r="M90" s="382" t="str">
        <f>IF($B90="","",COUNTIF(Penalties!$Q38:$Y38,M$55))</f>
        <v/>
      </c>
      <c r="N90" s="382" t="str">
        <f>IF($B90="","",COUNTIF(Penalties!$Q38:$Y38,N$55))</f>
        <v/>
      </c>
      <c r="O90" s="382" t="str">
        <f>IF($B90="","",COUNTIF(Penalties!$Q38:$Y38,O$55))</f>
        <v/>
      </c>
      <c r="P90" s="382" t="str">
        <f>IF($B90="","",COUNTIF(Penalties!$Q38:$Y38,P$55))</f>
        <v/>
      </c>
      <c r="Q90" s="382" t="str">
        <f>IF($B90="","",COUNTIF(Penalties!$Q38:$Y38,Q$55))</f>
        <v/>
      </c>
      <c r="R90" s="382" t="str">
        <f>IF($B90="","",COUNTIF(Penalties!$Q38:$Y38,R$55))</f>
        <v/>
      </c>
      <c r="S90" s="382"/>
      <c r="T90" s="382"/>
      <c r="U90" s="392" t="str">
        <f>IF(B90="","",SUM(E90:T90))</f>
        <v/>
      </c>
      <c r="V90" s="393" t="str">
        <f>IF(B90="","",SUM(E90:T90)*0.5)</f>
        <v/>
      </c>
      <c r="W90" s="394" t="str">
        <f>IF($B90="","",IF(Penalties!$Z38=W$55,1,""))</f>
        <v/>
      </c>
      <c r="X90" s="394" t="str">
        <f>IF($B90="","",IF(Penalties!$Z38=X$55,1,""))</f>
        <v/>
      </c>
      <c r="Y90" s="394" t="str">
        <f>IF($B90="","",IF(Penalties!$Z38=Y$55,1,""))</f>
        <v/>
      </c>
      <c r="Z90" s="394" t="str">
        <f>IF($B90="","",IF(Penalties!$Z38=Z$55,1,""))</f>
        <v/>
      </c>
      <c r="AA90" s="394" t="str">
        <f>IF($B90="","",IF(Penalties!$Z38=AA$55,1,""))</f>
        <v/>
      </c>
      <c r="AB90" s="394" t="str">
        <f>IF($B90="","",IF(Penalties!$Z38=AB$55,1,""))</f>
        <v/>
      </c>
      <c r="AC90" s="394" t="str">
        <f>IF($B90="","",IF(Penalties!$Z38=AC$55,1,""))</f>
        <v/>
      </c>
      <c r="AD90" s="394" t="str">
        <f>IF($B90="","",IF(Penalties!$Z38=AD$55,1,""))</f>
        <v/>
      </c>
      <c r="AE90" s="394" t="str">
        <f>IF($B90="","",IF(Penalties!$Z38=AE$55,1,""))</f>
        <v/>
      </c>
      <c r="AF90" s="394" t="str">
        <f>IF($B90="","",IF(Penalties!$Z38=AF$55,1,""))</f>
        <v/>
      </c>
      <c r="AG90" s="394" t="str">
        <f>IF($B90="","",IF(Penalties!$Z38=AG$55,1,""))</f>
        <v/>
      </c>
      <c r="AH90" s="394" t="str">
        <f>IF($B90="","",IF(Penalties!$Z38=AH$55,1,""))</f>
        <v/>
      </c>
      <c r="AI90" s="394" t="str">
        <f>IF($B90="","",IF(Penalties!$Z38=AI$55,1,""))</f>
        <v/>
      </c>
      <c r="AJ90" s="395"/>
      <c r="AK90" s="64"/>
      <c r="AL90" s="64"/>
      <c r="AM90" s="64"/>
      <c r="AN90" s="64"/>
      <c r="AO90" s="64"/>
      <c r="AP90" s="64"/>
      <c r="AQ90" s="64"/>
      <c r="AR90" s="64"/>
      <c r="AS90" s="64"/>
      <c r="AT90" s="64"/>
      <c r="AU90" s="64"/>
      <c r="AV90" s="64"/>
      <c r="AW90" s="64"/>
      <c r="AX90" s="64"/>
    </row>
    <row r="91" spans="1:50" ht="14.4" thickBot="1" x14ac:dyDescent="0.35">
      <c r="A91" s="1201"/>
      <c r="B91" s="1202"/>
      <c r="C91" s="1203"/>
      <c r="D91" s="382" t="s">
        <v>21</v>
      </c>
      <c r="E91" s="382" t="str">
        <f>IF($B90="","",COUNTIF(Penalties!$AS38:$BA38,E$55))</f>
        <v/>
      </c>
      <c r="F91" s="382" t="str">
        <f>IF($B90="","",COUNTIF(Penalties!$AS38:$BA38,F$55))</f>
        <v/>
      </c>
      <c r="G91" s="382" t="str">
        <f>IF($B90="","",COUNTIF(Penalties!$AS38:$BA38,G$55))</f>
        <v/>
      </c>
      <c r="H91" s="382" t="str">
        <f>IF($B90="","",COUNTIF(Penalties!$AS38:$BA38,H$55))</f>
        <v/>
      </c>
      <c r="I91" s="382" t="str">
        <f>IF($B90="","",COUNTIF(Penalties!$AS38:$BA38,I$55))</f>
        <v/>
      </c>
      <c r="J91" s="382" t="str">
        <f>IF($B90="","",COUNTIF(Penalties!$AS38:$BA38,J$55))</f>
        <v/>
      </c>
      <c r="K91" s="382" t="str">
        <f>IF($B90="","",COUNTIF(Penalties!$AS38:$BA38,K$55))</f>
        <v/>
      </c>
      <c r="L91" s="382" t="str">
        <f>IF($B90="","",COUNTIF(Penalties!$AS38:$BA38,L$55))</f>
        <v/>
      </c>
      <c r="M91" s="382" t="str">
        <f>IF($B90="","",COUNTIF(Penalties!$AS38:$BA38,M$55))</f>
        <v/>
      </c>
      <c r="N91" s="382" t="str">
        <f>IF($B90="","",COUNTIF(Penalties!$AS38:$BA38,N$55))</f>
        <v/>
      </c>
      <c r="O91" s="382" t="str">
        <f>IF($B90="","",COUNTIF(Penalties!$AS38:$BA38,O$55))</f>
        <v/>
      </c>
      <c r="P91" s="382" t="str">
        <f>IF($B90="","",COUNTIF(Penalties!$AS38:$BA38,P$55))</f>
        <v/>
      </c>
      <c r="Q91" s="382" t="str">
        <f>IF($B90="","",COUNTIF(Penalties!$AS38:$BA38,Q$55))</f>
        <v/>
      </c>
      <c r="R91" s="382" t="str">
        <f>IF($B90="","",COUNTIF(Penalties!$AS38:$BA38,R$55))</f>
        <v/>
      </c>
      <c r="S91" s="382"/>
      <c r="T91" s="382"/>
      <c r="U91" s="392" t="str">
        <f>IF(B90="","",SUM(E91:T91))</f>
        <v/>
      </c>
      <c r="V91" s="393" t="str">
        <f>IF(B90="","",SUM(E91:T91)*0.5)</f>
        <v/>
      </c>
      <c r="W91" s="394" t="str">
        <f>IF($B90="","",IF(Penalties!$BB38=W$55,1,""))</f>
        <v/>
      </c>
      <c r="X91" s="394" t="str">
        <f>IF($B90="","",IF(Penalties!$BB38=X$55,1,""))</f>
        <v/>
      </c>
      <c r="Y91" s="394" t="str">
        <f>IF($B90="","",IF(Penalties!$BB38=Y$55,1,""))</f>
        <v/>
      </c>
      <c r="Z91" s="394" t="str">
        <f>IF($B90="","",IF(Penalties!$BB38=Z$55,1,""))</f>
        <v/>
      </c>
      <c r="AA91" s="394" t="str">
        <f>IF($B90="","",IF(Penalties!$BB38=AA$55,1,""))</f>
        <v/>
      </c>
      <c r="AB91" s="394" t="str">
        <f>IF($B90="","",IF(Penalties!$BB38=AB$55,1,""))</f>
        <v/>
      </c>
      <c r="AC91" s="394" t="str">
        <f>IF($B90="","",IF(Penalties!$BB38=AC$55,1,""))</f>
        <v/>
      </c>
      <c r="AD91" s="394" t="str">
        <f>IF($B90="","",IF(Penalties!$BB38=AD$55,1,""))</f>
        <v/>
      </c>
      <c r="AE91" s="394" t="str">
        <f>IF($B90="","",IF(Penalties!$BB38=AE$55,1,""))</f>
        <v/>
      </c>
      <c r="AF91" s="394" t="str">
        <f>IF($B90="","",IF(Penalties!$BB38=AF$55,1,""))</f>
        <v/>
      </c>
      <c r="AG91" s="394" t="str">
        <f>IF($B90="","",IF(Penalties!$BB38=AG$55,1,""))</f>
        <v/>
      </c>
      <c r="AH91" s="394" t="str">
        <f>IF($B90="","",IF(Penalties!$BB38=AH$55,1,""))</f>
        <v/>
      </c>
      <c r="AI91" s="394" t="str">
        <f>IF($B90="","",IF(Penalties!$BB38=AI$55,1,""))</f>
        <v/>
      </c>
      <c r="AJ91" s="396" t="str">
        <f>IF(SUM(X90:AI91)=0, "", IF(SUM(X90:AI90)=1, LOOKUP(1, X90:AI90, $X$55:$AI$55), LOOKUP(1, X91:AI91, $X$55:$AI$55)))</f>
        <v/>
      </c>
      <c r="AK91" s="64"/>
      <c r="AL91" s="64"/>
      <c r="AM91" s="64"/>
      <c r="AN91" s="64"/>
      <c r="AO91" s="64"/>
      <c r="AP91" s="64"/>
      <c r="AQ91" s="64"/>
      <c r="AR91" s="64"/>
      <c r="AS91" s="64"/>
      <c r="AT91" s="64"/>
      <c r="AU91" s="64"/>
      <c r="AV91" s="64"/>
      <c r="AW91" s="64"/>
      <c r="AX91" s="64"/>
    </row>
    <row r="92" spans="1:50" x14ac:dyDescent="0.3">
      <c r="A92" s="1204">
        <f>A90+1</f>
        <v>19</v>
      </c>
      <c r="B92" s="1205" t="str">
        <f>IF(IGRF!I32="","",IGRF!I32)</f>
        <v/>
      </c>
      <c r="C92" s="1206" t="str">
        <f>IF(IGRF!J32="","",IGRF!J32)</f>
        <v/>
      </c>
      <c r="D92" s="381" t="s">
        <v>5</v>
      </c>
      <c r="E92" s="381" t="str">
        <f>IF($B92="","",COUNTIF(Penalties!$Q40:$Y40,E$55))</f>
        <v/>
      </c>
      <c r="F92" s="381" t="str">
        <f>IF($B92="","",COUNTIF(Penalties!$Q40:$Y40,F$55))</f>
        <v/>
      </c>
      <c r="G92" s="381" t="str">
        <f>IF($B92="","",COUNTIF(Penalties!$Q40:$Y40,G$55))</f>
        <v/>
      </c>
      <c r="H92" s="381" t="str">
        <f>IF($B92="","",COUNTIF(Penalties!$Q40:$Y40,H$55))</f>
        <v/>
      </c>
      <c r="I92" s="381" t="str">
        <f>IF($B92="","",COUNTIF(Penalties!$Q40:$Y40,I$55))</f>
        <v/>
      </c>
      <c r="J92" s="381" t="str">
        <f>IF($B92="","",COUNTIF(Penalties!$Q40:$Y40,J$55))</f>
        <v/>
      </c>
      <c r="K92" s="381" t="str">
        <f>IF($B92="","",COUNTIF(Penalties!$Q40:$Y40,K$55))</f>
        <v/>
      </c>
      <c r="L92" s="381" t="str">
        <f>IF($B92="","",COUNTIF(Penalties!$Q40:$Y40,L$55))</f>
        <v/>
      </c>
      <c r="M92" s="381" t="str">
        <f>IF($B92="","",COUNTIF(Penalties!$Q40:$Y40,M$55))</f>
        <v/>
      </c>
      <c r="N92" s="381" t="str">
        <f>IF($B92="","",COUNTIF(Penalties!$Q40:$Y40,N$55))</f>
        <v/>
      </c>
      <c r="O92" s="381" t="str">
        <f>IF($B92="","",COUNTIF(Penalties!$Q40:$Y40,O$55))</f>
        <v/>
      </c>
      <c r="P92" s="381" t="str">
        <f>IF($B92="","",COUNTIF(Penalties!$Q40:$Y40,P$55))</f>
        <v/>
      </c>
      <c r="Q92" s="381" t="str">
        <f>IF($B92="","",COUNTIF(Penalties!$Q40:$Y40,Q$55))</f>
        <v/>
      </c>
      <c r="R92" s="381" t="str">
        <f>IF($B92="","",COUNTIF(Penalties!$Q40:$Y40,R$55))</f>
        <v/>
      </c>
      <c r="U92" s="387" t="str">
        <f>IF(B92="","",SUM(E92:T92))</f>
        <v/>
      </c>
      <c r="V92" s="388" t="str">
        <f>IF(B92="","",SUM(E92:T92)*0.5)</f>
        <v/>
      </c>
      <c r="W92" s="389" t="str">
        <f>IF($B92="","",IF(Penalties!$Z40=W$55,1,""))</f>
        <v/>
      </c>
      <c r="X92" s="389" t="str">
        <f>IF($B92="","",IF(Penalties!$Z40=X$55,1,""))</f>
        <v/>
      </c>
      <c r="Y92" s="389" t="str">
        <f>IF($B92="","",IF(Penalties!$Z40=Y$55,1,""))</f>
        <v/>
      </c>
      <c r="Z92" s="389" t="str">
        <f>IF($B92="","",IF(Penalties!$Z40=Z$55,1,""))</f>
        <v/>
      </c>
      <c r="AA92" s="389" t="str">
        <f>IF($B92="","",IF(Penalties!$Z40=AA$55,1,""))</f>
        <v/>
      </c>
      <c r="AB92" s="389" t="str">
        <f>IF($B92="","",IF(Penalties!$Z40=AB$55,1,""))</f>
        <v/>
      </c>
      <c r="AC92" s="389" t="str">
        <f>IF($B92="","",IF(Penalties!$Z40=AC$55,1,""))</f>
        <v/>
      </c>
      <c r="AD92" s="389" t="str">
        <f>IF($B92="","",IF(Penalties!$Z40=AD$55,1,""))</f>
        <v/>
      </c>
      <c r="AE92" s="389" t="str">
        <f>IF($B92="","",IF(Penalties!$Z40=AE$55,1,""))</f>
        <v/>
      </c>
      <c r="AF92" s="389" t="str">
        <f>IF($B92="","",IF(Penalties!$Z40=AF$55,1,""))</f>
        <v/>
      </c>
      <c r="AG92" s="389" t="str">
        <f>IF($B92="","",IF(Penalties!$Z40=AG$55,1,""))</f>
        <v/>
      </c>
      <c r="AH92" s="389" t="str">
        <f>IF($B92="","",IF(Penalties!$Z40=AH$55,1,""))</f>
        <v/>
      </c>
      <c r="AI92" s="389" t="str">
        <f>IF($B92="","",IF(Penalties!$Z40=AI$55,1,""))</f>
        <v/>
      </c>
      <c r="AJ92" s="390"/>
      <c r="AK92" s="64"/>
      <c r="AL92" s="64"/>
      <c r="AM92" s="64"/>
      <c r="AN92" s="64"/>
      <c r="AO92" s="64"/>
      <c r="AP92" s="64"/>
      <c r="AQ92" s="64"/>
      <c r="AR92" s="64"/>
      <c r="AS92" s="64"/>
      <c r="AT92" s="64"/>
      <c r="AU92" s="64"/>
      <c r="AV92" s="64"/>
      <c r="AW92" s="64"/>
      <c r="AX92" s="64"/>
    </row>
    <row r="93" spans="1:50" x14ac:dyDescent="0.3">
      <c r="A93" s="1204"/>
      <c r="B93" s="1205"/>
      <c r="C93" s="1206"/>
      <c r="D93" s="381" t="s">
        <v>21</v>
      </c>
      <c r="E93" s="381" t="str">
        <f>IF($B92="","",COUNTIF(Penalties!$AS40:$BA40,E$55))</f>
        <v/>
      </c>
      <c r="F93" s="381" t="str">
        <f>IF($B92="","",COUNTIF(Penalties!$AS40:$BA40,F$55))</f>
        <v/>
      </c>
      <c r="G93" s="381" t="str">
        <f>IF($B92="","",COUNTIF(Penalties!$AS40:$BA40,G$55))</f>
        <v/>
      </c>
      <c r="H93" s="381" t="str">
        <f>IF($B92="","",COUNTIF(Penalties!$AS40:$BA40,H$55))</f>
        <v/>
      </c>
      <c r="I93" s="381" t="str">
        <f>IF($B92="","",COUNTIF(Penalties!$AS40:$BA40,I$55))</f>
        <v/>
      </c>
      <c r="J93" s="381" t="str">
        <f>IF($B92="","",COUNTIF(Penalties!$AS40:$BA40,J$55))</f>
        <v/>
      </c>
      <c r="K93" s="381" t="str">
        <f>IF($B92="","",COUNTIF(Penalties!$AS40:$BA40,K$55))</f>
        <v/>
      </c>
      <c r="L93" s="381" t="str">
        <f>IF($B92="","",COUNTIF(Penalties!$AS40:$BA40,L$55))</f>
        <v/>
      </c>
      <c r="M93" s="381" t="str">
        <f>IF($B92="","",COUNTIF(Penalties!$AS40:$BA40,M$55))</f>
        <v/>
      </c>
      <c r="N93" s="381" t="str">
        <f>IF($B92="","",COUNTIF(Penalties!$AS40:$BA40,N$55))</f>
        <v/>
      </c>
      <c r="O93" s="381" t="str">
        <f>IF($B92="","",COUNTIF(Penalties!$AS40:$BA40,O$55))</f>
        <v/>
      </c>
      <c r="P93" s="381" t="str">
        <f>IF($B92="","",COUNTIF(Penalties!$AS40:$BA40,P$55))</f>
        <v/>
      </c>
      <c r="Q93" s="381" t="str">
        <f>IF($B92="","",COUNTIF(Penalties!$AS40:$BA40,Q$55))</f>
        <v/>
      </c>
      <c r="R93" s="381" t="str">
        <f>IF($B92="","",COUNTIF(Penalties!$AS40:$BA40,R$55))</f>
        <v/>
      </c>
      <c r="U93" s="387" t="str">
        <f>IF(B92="","",SUM(E93:T93))</f>
        <v/>
      </c>
      <c r="V93" s="388" t="str">
        <f>IF(B92="","",SUM(E93:T93)*0.5)</f>
        <v/>
      </c>
      <c r="W93" s="389" t="str">
        <f>IF($B92="","",IF(Penalties!$BB40=W$55,1,""))</f>
        <v/>
      </c>
      <c r="X93" s="389" t="str">
        <f>IF($B92="","",IF(Penalties!$BB40=X$55,1,""))</f>
        <v/>
      </c>
      <c r="Y93" s="389" t="str">
        <f>IF($B92="","",IF(Penalties!$BB40=Y$55,1,""))</f>
        <v/>
      </c>
      <c r="Z93" s="389" t="str">
        <f>IF($B92="","",IF(Penalties!$BB40=Z$55,1,""))</f>
        <v/>
      </c>
      <c r="AA93" s="389" t="str">
        <f>IF($B92="","",IF(Penalties!$BB40=AA$55,1,""))</f>
        <v/>
      </c>
      <c r="AB93" s="389" t="str">
        <f>IF($B92="","",IF(Penalties!$BB40=AB$55,1,""))</f>
        <v/>
      </c>
      <c r="AC93" s="389" t="str">
        <f>IF($B92="","",IF(Penalties!$BB40=AC$55,1,""))</f>
        <v/>
      </c>
      <c r="AD93" s="389" t="str">
        <f>IF($B92="","",IF(Penalties!$BB40=AD$55,1,""))</f>
        <v/>
      </c>
      <c r="AE93" s="389" t="str">
        <f>IF($B92="","",IF(Penalties!$BB40=AE$55,1,""))</f>
        <v/>
      </c>
      <c r="AF93" s="389" t="str">
        <f>IF($B92="","",IF(Penalties!$BB40=AF$55,1,""))</f>
        <v/>
      </c>
      <c r="AG93" s="389" t="str">
        <f>IF($B92="","",IF(Penalties!$BB40=AG$55,1,""))</f>
        <v/>
      </c>
      <c r="AH93" s="389" t="str">
        <f>IF($B92="","",IF(Penalties!$BB40=AH$55,1,""))</f>
        <v/>
      </c>
      <c r="AI93" s="389" t="str">
        <f>IF($B92="","",IF(Penalties!$BB40=AI$55,1,""))</f>
        <v/>
      </c>
      <c r="AJ93" s="391" t="str">
        <f>IF(SUM(X92:AI93)=0, "", IF(SUM(X92:AI92)=1, LOOKUP(1, X92:AI92, $X$55:$AI$55), LOOKUP(1, X93:AI93, $X$55:$AI$55)))</f>
        <v/>
      </c>
      <c r="AK93" s="64"/>
      <c r="AL93" s="64"/>
      <c r="AM93" s="64"/>
      <c r="AN93" s="64"/>
      <c r="AO93" s="64"/>
      <c r="AP93" s="64"/>
      <c r="AQ93" s="64"/>
      <c r="AR93" s="64"/>
      <c r="AS93" s="64"/>
      <c r="AT93" s="64"/>
      <c r="AU93" s="64"/>
      <c r="AV93" s="64"/>
      <c r="AW93" s="64"/>
      <c r="AX93" s="64"/>
    </row>
    <row r="94" spans="1:50" x14ac:dyDescent="0.3">
      <c r="A94" s="1201">
        <f>A92+1</f>
        <v>20</v>
      </c>
      <c r="B94" s="1202" t="str">
        <f>IF(IGRF!I33="","",IGRF!I33)</f>
        <v/>
      </c>
      <c r="C94" s="1203" t="str">
        <f>IF(IGRF!J33="","",IGRF!J33)</f>
        <v/>
      </c>
      <c r="D94" s="382" t="s">
        <v>5</v>
      </c>
      <c r="E94" s="382" t="str">
        <f>IF($B94="","",COUNTIF(Penalties!$Q42:$Y42,E$55))</f>
        <v/>
      </c>
      <c r="F94" s="382" t="str">
        <f>IF($B94="","",COUNTIF(Penalties!$Q42:$Y42,F$55))</f>
        <v/>
      </c>
      <c r="G94" s="382" t="str">
        <f>IF($B94="","",COUNTIF(Penalties!$Q42:$Y42,G$55))</f>
        <v/>
      </c>
      <c r="H94" s="382" t="str">
        <f>IF($B94="","",COUNTIF(Penalties!$Q42:$Y42,H$55))</f>
        <v/>
      </c>
      <c r="I94" s="382" t="str">
        <f>IF($B94="","",COUNTIF(Penalties!$Q42:$Y42,I$55))</f>
        <v/>
      </c>
      <c r="J94" s="382" t="str">
        <f>IF($B94="","",COUNTIF(Penalties!$Q42:$Y42,J$55))</f>
        <v/>
      </c>
      <c r="K94" s="382" t="str">
        <f>IF($B94="","",COUNTIF(Penalties!$Q42:$Y42,K$55))</f>
        <v/>
      </c>
      <c r="L94" s="382" t="str">
        <f>IF($B94="","",COUNTIF(Penalties!$Q42:$Y42,L$55))</f>
        <v/>
      </c>
      <c r="M94" s="382" t="str">
        <f>IF($B94="","",COUNTIF(Penalties!$Q42:$Y42,M$55))</f>
        <v/>
      </c>
      <c r="N94" s="382" t="str">
        <f>IF($B94="","",COUNTIF(Penalties!$Q42:$Y42,N$55))</f>
        <v/>
      </c>
      <c r="O94" s="382" t="str">
        <f>IF($B94="","",COUNTIF(Penalties!$Q42:$Y42,O$55))</f>
        <v/>
      </c>
      <c r="P94" s="382" t="str">
        <f>IF($B94="","",COUNTIF(Penalties!$Q42:$Y42,P$55))</f>
        <v/>
      </c>
      <c r="Q94" s="382" t="str">
        <f>IF($B94="","",COUNTIF(Penalties!$Q42:$Y42,Q$55))</f>
        <v/>
      </c>
      <c r="R94" s="382" t="str">
        <f>IF($B94="","",COUNTIF(Penalties!$Q42:$Y42,R$55))</f>
        <v/>
      </c>
      <c r="S94" s="382"/>
      <c r="T94" s="382"/>
      <c r="U94" s="392" t="str">
        <f>IF(B94="","",SUM(E94:T94))</f>
        <v/>
      </c>
      <c r="V94" s="393" t="str">
        <f>IF(B94="","",SUM(E94:T94)*0.5)</f>
        <v/>
      </c>
      <c r="W94" s="394" t="str">
        <f>IF($B94="","",IF(Penalties!$Z42=W$55,1,""))</f>
        <v/>
      </c>
      <c r="X94" s="394" t="str">
        <f>IF($B94="","",IF(Penalties!$Z42=X$55,1,""))</f>
        <v/>
      </c>
      <c r="Y94" s="394" t="str">
        <f>IF($B94="","",IF(Penalties!$Z42=Y$55,1,""))</f>
        <v/>
      </c>
      <c r="Z94" s="394" t="str">
        <f>IF($B94="","",IF(Penalties!$Z42=Z$55,1,""))</f>
        <v/>
      </c>
      <c r="AA94" s="394" t="str">
        <f>IF($B94="","",IF(Penalties!$Z42=AA$55,1,""))</f>
        <v/>
      </c>
      <c r="AB94" s="394" t="str">
        <f>IF($B94="","",IF(Penalties!$Z42=AB$55,1,""))</f>
        <v/>
      </c>
      <c r="AC94" s="394" t="str">
        <f>IF($B94="","",IF(Penalties!$Z42=AC$55,1,""))</f>
        <v/>
      </c>
      <c r="AD94" s="394" t="str">
        <f>IF($B94="","",IF(Penalties!$Z42=AD$55,1,""))</f>
        <v/>
      </c>
      <c r="AE94" s="394" t="str">
        <f>IF($B94="","",IF(Penalties!$Z42=AE$55,1,""))</f>
        <v/>
      </c>
      <c r="AF94" s="394" t="str">
        <f>IF($B94="","",IF(Penalties!$Z42=AF$55,1,""))</f>
        <v/>
      </c>
      <c r="AG94" s="394" t="str">
        <f>IF($B94="","",IF(Penalties!$Z42=AG$55,1,""))</f>
        <v/>
      </c>
      <c r="AH94" s="394" t="str">
        <f>IF($B94="","",IF(Penalties!$Z42=AH$55,1,""))</f>
        <v/>
      </c>
      <c r="AI94" s="394" t="str">
        <f>IF($B94="","",IF(Penalties!$Z42=AI$55,1,""))</f>
        <v/>
      </c>
      <c r="AJ94" s="395"/>
      <c r="AK94" s="64"/>
      <c r="AL94" s="64"/>
      <c r="AM94" s="64"/>
      <c r="AN94" s="64"/>
      <c r="AO94" s="64"/>
      <c r="AP94" s="64"/>
      <c r="AQ94" s="64"/>
      <c r="AR94" s="64"/>
      <c r="AS94" s="64"/>
      <c r="AT94" s="64"/>
      <c r="AU94" s="64"/>
      <c r="AV94" s="64"/>
      <c r="AW94" s="64"/>
      <c r="AX94" s="64"/>
    </row>
    <row r="95" spans="1:50" ht="14.4" thickBot="1" x14ac:dyDescent="0.35">
      <c r="A95" s="1201"/>
      <c r="B95" s="1202"/>
      <c r="C95" s="1203"/>
      <c r="D95" s="382" t="s">
        <v>21</v>
      </c>
      <c r="E95" s="382" t="str">
        <f>IF($B94="","",COUNTIF(Penalties!$AS42:$BA42,E$55))</f>
        <v/>
      </c>
      <c r="F95" s="382" t="str">
        <f>IF($B94="","",COUNTIF(Penalties!$AS42:$BA42,F$55))</f>
        <v/>
      </c>
      <c r="G95" s="382" t="str">
        <f>IF($B94="","",COUNTIF(Penalties!$AS42:$BA42,G$55))</f>
        <v/>
      </c>
      <c r="H95" s="382" t="str">
        <f>IF($B94="","",COUNTIF(Penalties!$AS42:$BA42,H$55))</f>
        <v/>
      </c>
      <c r="I95" s="382" t="str">
        <f>IF($B94="","",COUNTIF(Penalties!$AS42:$BA42,I$55))</f>
        <v/>
      </c>
      <c r="J95" s="382" t="str">
        <f>IF($B94="","",COUNTIF(Penalties!$AS42:$BA42,J$55))</f>
        <v/>
      </c>
      <c r="K95" s="382" t="str">
        <f>IF($B94="","",COUNTIF(Penalties!$AS42:$BA42,K$55))</f>
        <v/>
      </c>
      <c r="L95" s="382" t="str">
        <f>IF($B94="","",COUNTIF(Penalties!$AS42:$BA42,L$55))</f>
        <v/>
      </c>
      <c r="M95" s="382" t="str">
        <f>IF($B94="","",COUNTIF(Penalties!$AS42:$BA42,M$55))</f>
        <v/>
      </c>
      <c r="N95" s="382" t="str">
        <f>IF($B94="","",COUNTIF(Penalties!$AS42:$BA42,N$55))</f>
        <v/>
      </c>
      <c r="O95" s="382" t="str">
        <f>IF($B94="","",COUNTIF(Penalties!$AS42:$BA42,O$55))</f>
        <v/>
      </c>
      <c r="P95" s="382" t="str">
        <f>IF($B94="","",COUNTIF(Penalties!$AS42:$BA42,P$55))</f>
        <v/>
      </c>
      <c r="Q95" s="382" t="str">
        <f>IF($B94="","",COUNTIF(Penalties!$AS42:$BA42,Q$55))</f>
        <v/>
      </c>
      <c r="R95" s="382" t="str">
        <f>IF($B94="","",COUNTIF(Penalties!$AS42:$BA42,R$55))</f>
        <v/>
      </c>
      <c r="S95" s="382"/>
      <c r="T95" s="382"/>
      <c r="U95" s="392" t="str">
        <f>IF(B94="","",SUM(E95:T95))</f>
        <v/>
      </c>
      <c r="V95" s="393" t="str">
        <f>IF(B94="","",SUM(E95:T95)*0.5)</f>
        <v/>
      </c>
      <c r="W95" s="394" t="str">
        <f>IF($B94="","",IF(Penalties!$BB42=W$55,1,""))</f>
        <v/>
      </c>
      <c r="X95" s="394" t="str">
        <f>IF($B94="","",IF(Penalties!$BB42=X$55,1,""))</f>
        <v/>
      </c>
      <c r="Y95" s="394" t="str">
        <f>IF($B94="","",IF(Penalties!$BB42=Y$55,1,""))</f>
        <v/>
      </c>
      <c r="Z95" s="394" t="str">
        <f>IF($B94="","",IF(Penalties!$BB42=Z$55,1,""))</f>
        <v/>
      </c>
      <c r="AA95" s="394" t="str">
        <f>IF($B94="","",IF(Penalties!$BB42=AA$55,1,""))</f>
        <v/>
      </c>
      <c r="AB95" s="394" t="str">
        <f>IF($B94="","",IF(Penalties!$BB42=AB$55,1,""))</f>
        <v/>
      </c>
      <c r="AC95" s="394" t="str">
        <f>IF($B94="","",IF(Penalties!$BB42=AC$55,1,""))</f>
        <v/>
      </c>
      <c r="AD95" s="394" t="str">
        <f>IF($B94="","",IF(Penalties!$BB42=AD$55,1,""))</f>
        <v/>
      </c>
      <c r="AE95" s="394" t="str">
        <f>IF($B94="","",IF(Penalties!$BB42=AE$55,1,""))</f>
        <v/>
      </c>
      <c r="AF95" s="394" t="str">
        <f>IF($B94="","",IF(Penalties!$BB42=AF$55,1,""))</f>
        <v/>
      </c>
      <c r="AG95" s="394" t="str">
        <f>IF($B94="","",IF(Penalties!$BB42=AG$55,1,""))</f>
        <v/>
      </c>
      <c r="AH95" s="394" t="str">
        <f>IF($B94="","",IF(Penalties!$BB42=AH$55,1,""))</f>
        <v/>
      </c>
      <c r="AI95" s="394" t="str">
        <f>IF($B94="","",IF(Penalties!$BB42=AI$55,1,""))</f>
        <v/>
      </c>
      <c r="AJ95" s="397" t="str">
        <f>IF(SUM(X94:AI95)=0, "", IF(SUM(X94:AI94)=1, LOOKUP(1, X94:AI94, $X$55:$AI$55), LOOKUP(1, X95:AI95, $X$55:$AI$55)))</f>
        <v/>
      </c>
      <c r="AK95" s="64"/>
      <c r="AL95" s="64"/>
      <c r="AM95" s="64"/>
      <c r="AN95" s="64"/>
      <c r="AO95" s="64"/>
      <c r="AP95" s="64"/>
      <c r="AQ95" s="64"/>
      <c r="AR95" s="64"/>
      <c r="AS95" s="64"/>
      <c r="AT95" s="64"/>
      <c r="AU95" s="64"/>
      <c r="AV95" s="64"/>
      <c r="AW95" s="64"/>
      <c r="AX95" s="64"/>
    </row>
    <row r="96" spans="1:50" x14ac:dyDescent="0.3">
      <c r="A96" s="1209" t="s">
        <v>278</v>
      </c>
      <c r="B96" s="1209"/>
      <c r="C96" s="1209"/>
      <c r="D96" s="398" t="s">
        <v>5</v>
      </c>
      <c r="E96" s="399"/>
      <c r="F96" s="399"/>
      <c r="G96" s="399"/>
      <c r="H96" s="399"/>
      <c r="I96" s="399"/>
      <c r="J96" s="399"/>
      <c r="K96" s="399"/>
      <c r="L96" s="399"/>
      <c r="M96" s="399"/>
      <c r="N96" s="399"/>
      <c r="O96" s="399"/>
      <c r="P96" s="399"/>
      <c r="Q96" s="399"/>
      <c r="R96" s="399"/>
      <c r="S96" s="399"/>
      <c r="T96" s="399"/>
      <c r="U96" s="392"/>
      <c r="V96" s="393"/>
      <c r="W96" s="389" t="str">
        <f>IF(Penalties!$R44=W$2,1,"")</f>
        <v/>
      </c>
      <c r="X96" s="389" t="str">
        <f>IF(Penalties!$R44=X$2,1,"")</f>
        <v/>
      </c>
      <c r="Y96" s="389" t="str">
        <f>IF(Penalties!$R44=Y$2,1,"")</f>
        <v/>
      </c>
      <c r="Z96" s="389" t="str">
        <f>IF(Penalties!$R44=Z$2,1,"")</f>
        <v/>
      </c>
      <c r="AA96" s="389" t="str">
        <f>IF(Penalties!$R44=AA$2,1,"")</f>
        <v/>
      </c>
      <c r="AB96" s="389" t="str">
        <f>IF(Penalties!$R44=AB$2,1,"")</f>
        <v/>
      </c>
      <c r="AC96" s="389" t="str">
        <f>IF(Penalties!$R44=AC$2,1,"")</f>
        <v/>
      </c>
      <c r="AD96" s="389" t="str">
        <f>IF(Penalties!$R44=AD$2,1,"")</f>
        <v/>
      </c>
      <c r="AE96" s="389" t="str">
        <f>IF(Penalties!$R44=AE$2,1,"")</f>
        <v/>
      </c>
      <c r="AF96" s="389" t="str">
        <f>IF(Penalties!$R44=AF$2,1,"")</f>
        <v/>
      </c>
      <c r="AG96" s="389" t="str">
        <f>IF(Penalties!$R44=AG$2,1,"")</f>
        <v/>
      </c>
      <c r="AH96" s="389" t="str">
        <f>IF(Penalties!$R44=AH$2,1,"")</f>
        <v/>
      </c>
      <c r="AI96" s="389" t="str">
        <f>IF(Penalties!$R44=AI$2,1,"")</f>
        <v/>
      </c>
      <c r="AJ96" s="390"/>
      <c r="AK96" s="64"/>
      <c r="AL96" s="64"/>
      <c r="AM96" s="64"/>
      <c r="AN96" s="64"/>
      <c r="AO96" s="64"/>
      <c r="AP96" s="64"/>
      <c r="AQ96" s="64"/>
      <c r="AR96" s="64"/>
      <c r="AS96" s="64"/>
      <c r="AT96" s="64"/>
      <c r="AU96" s="64"/>
      <c r="AV96" s="64"/>
      <c r="AW96" s="64"/>
      <c r="AX96" s="64"/>
    </row>
    <row r="97" spans="1:50" x14ac:dyDescent="0.3">
      <c r="A97" s="1209"/>
      <c r="B97" s="1209"/>
      <c r="C97" s="1209"/>
      <c r="D97" s="398" t="s">
        <v>21</v>
      </c>
      <c r="E97" s="399"/>
      <c r="F97" s="399"/>
      <c r="G97" s="399"/>
      <c r="H97" s="399"/>
      <c r="I97" s="399"/>
      <c r="J97" s="399"/>
      <c r="K97" s="399"/>
      <c r="L97" s="399"/>
      <c r="M97" s="399"/>
      <c r="N97" s="399"/>
      <c r="O97" s="399"/>
      <c r="P97" s="399"/>
      <c r="Q97" s="399"/>
      <c r="R97" s="399"/>
      <c r="S97" s="399"/>
      <c r="T97" s="399"/>
      <c r="U97" s="392"/>
      <c r="V97" s="393"/>
      <c r="W97" s="389" t="str">
        <f>IF(Penalties!$AT44=W$2,1,"")</f>
        <v/>
      </c>
      <c r="X97" s="389" t="str">
        <f>IF(Penalties!$AT44=X$2,1,"")</f>
        <v/>
      </c>
      <c r="Y97" s="389" t="str">
        <f>IF(Penalties!$AT44=Y$2,1,"")</f>
        <v/>
      </c>
      <c r="Z97" s="389" t="str">
        <f>IF(Penalties!$AT44=Z$2,1,"")</f>
        <v/>
      </c>
      <c r="AA97" s="389" t="str">
        <f>IF(Penalties!$AT44=AA$2,1,"")</f>
        <v/>
      </c>
      <c r="AB97" s="389" t="str">
        <f>IF(Penalties!$AT44=AB$2,1,"")</f>
        <v/>
      </c>
      <c r="AC97" s="389" t="str">
        <f>IF(Penalties!$AT44=AC$2,1,"")</f>
        <v/>
      </c>
      <c r="AD97" s="389" t="str">
        <f>IF(Penalties!$AT44=AD$2,1,"")</f>
        <v/>
      </c>
      <c r="AE97" s="389" t="str">
        <f>IF(Penalties!$AT44=AE$2,1,"")</f>
        <v/>
      </c>
      <c r="AF97" s="389" t="str">
        <f>IF(Penalties!$AT44=AF$2,1,"")</f>
        <v/>
      </c>
      <c r="AG97" s="389" t="str">
        <f>IF(Penalties!$AT44=AG$2,1,"")</f>
        <v/>
      </c>
      <c r="AH97" s="389" t="str">
        <f>IF(Penalties!$AT44=AH$2,1,"")</f>
        <v/>
      </c>
      <c r="AI97" s="389" t="str">
        <f>IF(Penalties!$AT44=AI$2,1,"")</f>
        <v/>
      </c>
      <c r="AJ97" s="391" t="str">
        <f>IF(SUM(X96:AI97)=0, "", IF(SUM(X96:AI96)=1, LOOKUP(1, X96:AI96, $X$55:$AI$55), LOOKUP(1, X97:AI97, $X$55:$AI$55)))</f>
        <v/>
      </c>
      <c r="AK97" s="64"/>
      <c r="AL97" s="64"/>
      <c r="AM97" s="64"/>
      <c r="AN97" s="64"/>
      <c r="AO97" s="64"/>
      <c r="AP97" s="64"/>
      <c r="AQ97" s="64"/>
      <c r="AR97" s="64"/>
      <c r="AS97" s="64"/>
      <c r="AT97" s="64"/>
      <c r="AU97" s="64"/>
      <c r="AV97" s="64"/>
      <c r="AW97" s="64"/>
      <c r="AX97" s="64"/>
    </row>
    <row r="98" spans="1:50" x14ac:dyDescent="0.3">
      <c r="A98" s="1210" t="s">
        <v>278</v>
      </c>
      <c r="B98" s="1210"/>
      <c r="C98" s="1210"/>
      <c r="D98" s="382" t="s">
        <v>5</v>
      </c>
      <c r="E98" s="399"/>
      <c r="F98" s="399"/>
      <c r="G98" s="399"/>
      <c r="H98" s="399"/>
      <c r="I98" s="399"/>
      <c r="J98" s="399"/>
      <c r="K98" s="399"/>
      <c r="L98" s="399"/>
      <c r="M98" s="399"/>
      <c r="N98" s="399"/>
      <c r="O98" s="399"/>
      <c r="P98" s="399"/>
      <c r="Q98" s="399"/>
      <c r="R98" s="399"/>
      <c r="S98" s="399"/>
      <c r="T98" s="399"/>
      <c r="U98" s="392"/>
      <c r="V98" s="393"/>
      <c r="W98" s="394" t="str">
        <f>IF(Penalties!$S44=W$2,1,"")</f>
        <v/>
      </c>
      <c r="X98" s="394" t="str">
        <f>IF(Penalties!$S44=X$2,1,"")</f>
        <v/>
      </c>
      <c r="Y98" s="394" t="str">
        <f>IF(Penalties!$S44=Y$2,1,"")</f>
        <v/>
      </c>
      <c r="Z98" s="394" t="str">
        <f>IF(Penalties!$S44=Z$2,1,"")</f>
        <v/>
      </c>
      <c r="AA98" s="394" t="str">
        <f>IF(Penalties!$S44=AA$2,1,"")</f>
        <v/>
      </c>
      <c r="AB98" s="394" t="str">
        <f>IF(Penalties!$S44=AB$2,1,"")</f>
        <v/>
      </c>
      <c r="AC98" s="394" t="str">
        <f>IF(Penalties!$S44=AC$2,1,"")</f>
        <v/>
      </c>
      <c r="AD98" s="394" t="str">
        <f>IF(Penalties!$S44=AD$2,1,"")</f>
        <v/>
      </c>
      <c r="AE98" s="394" t="str">
        <f>IF(Penalties!$S44=AE$2,1,"")</f>
        <v/>
      </c>
      <c r="AF98" s="394" t="str">
        <f>IF(Penalties!$S44=AF$2,1,"")</f>
        <v/>
      </c>
      <c r="AG98" s="394" t="str">
        <f>IF(Penalties!$S44=AG$2,1,"")</f>
        <v/>
      </c>
      <c r="AH98" s="394" t="str">
        <f>IF(Penalties!$S44=AH$2,1,"")</f>
        <v/>
      </c>
      <c r="AI98" s="394" t="str">
        <f>IF(Penalties!$S44=AI$2,1,"")</f>
        <v/>
      </c>
      <c r="AJ98" s="395"/>
      <c r="AK98" s="64"/>
      <c r="AL98" s="64"/>
      <c r="AM98" s="64"/>
      <c r="AN98" s="64"/>
      <c r="AO98" s="64"/>
      <c r="AP98" s="64"/>
      <c r="AQ98" s="64"/>
      <c r="AR98" s="64"/>
      <c r="AS98" s="64"/>
      <c r="AT98" s="64"/>
      <c r="AU98" s="64"/>
      <c r="AV98" s="64"/>
      <c r="AW98" s="64"/>
      <c r="AX98" s="64"/>
    </row>
    <row r="99" spans="1:50" ht="14.4" thickBot="1" x14ac:dyDescent="0.35">
      <c r="A99" s="1210"/>
      <c r="B99" s="1210"/>
      <c r="C99" s="1210"/>
      <c r="D99" s="382" t="s">
        <v>21</v>
      </c>
      <c r="E99" s="399"/>
      <c r="F99" s="399"/>
      <c r="G99" s="399"/>
      <c r="H99" s="399"/>
      <c r="I99" s="399"/>
      <c r="J99" s="399"/>
      <c r="K99" s="399"/>
      <c r="L99" s="399"/>
      <c r="M99" s="399"/>
      <c r="N99" s="399"/>
      <c r="O99" s="399"/>
      <c r="P99" s="399"/>
      <c r="Q99" s="399"/>
      <c r="R99" s="399"/>
      <c r="S99" s="399"/>
      <c r="T99" s="399"/>
      <c r="U99" s="392"/>
      <c r="V99" s="393"/>
      <c r="W99" s="394" t="str">
        <f>IF(Penalties!$AU44=W$2,1,"")</f>
        <v/>
      </c>
      <c r="X99" s="394" t="str">
        <f>IF(Penalties!$AU44=X$2,1,"")</f>
        <v/>
      </c>
      <c r="Y99" s="394" t="str">
        <f>IF(Penalties!$AU44=Y$2,1,"")</f>
        <v/>
      </c>
      <c r="Z99" s="394" t="str">
        <f>IF(Penalties!$AU44=Z$2,1,"")</f>
        <v/>
      </c>
      <c r="AA99" s="394" t="str">
        <f>IF(Penalties!$AU44=AA$2,1,"")</f>
        <v/>
      </c>
      <c r="AB99" s="394" t="str">
        <f>IF(Penalties!$AU44=AB$2,1,"")</f>
        <v/>
      </c>
      <c r="AC99" s="394" t="str">
        <f>IF(Penalties!$AU44=AC$2,1,"")</f>
        <v/>
      </c>
      <c r="AD99" s="394" t="str">
        <f>IF(Penalties!$AU44=AD$2,1,"")</f>
        <v/>
      </c>
      <c r="AE99" s="394" t="str">
        <f>IF(Penalties!$AU44=AE$2,1,"")</f>
        <v/>
      </c>
      <c r="AF99" s="394" t="str">
        <f>IF(Penalties!$AU44=AF$2,1,"")</f>
        <v/>
      </c>
      <c r="AG99" s="394" t="str">
        <f>IF(Penalties!$AU44=AG$2,1,"")</f>
        <v/>
      </c>
      <c r="AH99" s="394" t="str">
        <f>IF(Penalties!$AU44=AH$2,1,"")</f>
        <v/>
      </c>
      <c r="AI99" s="394" t="str">
        <f>IF(Penalties!$AU44=AI$2,1,"")</f>
        <v/>
      </c>
      <c r="AJ99" s="397" t="str">
        <f>IF(SUM(X98:AI99)=0, "", IF(SUM(X98:AI98)=1, LOOKUP(1, X98:AI98, $X$55:$AI$55), LOOKUP(1, X99:AI99, $X$55:$AI$55)))</f>
        <v/>
      </c>
      <c r="AK99" s="64"/>
      <c r="AL99" s="64"/>
      <c r="AM99" s="64"/>
      <c r="AN99" s="64"/>
      <c r="AO99" s="64"/>
      <c r="AP99" s="64"/>
      <c r="AQ99" s="64"/>
      <c r="AR99" s="64"/>
      <c r="AS99" s="64"/>
      <c r="AT99" s="64"/>
      <c r="AU99" s="64"/>
      <c r="AV99" s="64"/>
      <c r="AW99" s="64"/>
      <c r="AX99" s="64"/>
    </row>
    <row r="100" spans="1:50" x14ac:dyDescent="0.3">
      <c r="A100" s="1211" t="s">
        <v>8</v>
      </c>
      <c r="B100" s="1211"/>
      <c r="C100" s="1211" t="s">
        <v>26</v>
      </c>
      <c r="D100" s="400" t="s">
        <v>5</v>
      </c>
      <c r="E100" s="400">
        <f t="shared" ref="E100:AG101" si="2">SUM(E56,E58,E60,E62,E64,E66,E68,E70,E72,E74,E76,E78,E80,E82,E84,E86,E88,E90,E92,E94)</f>
        <v>0</v>
      </c>
      <c r="F100" s="400">
        <f t="shared" si="2"/>
        <v>1</v>
      </c>
      <c r="G100" s="400">
        <f t="shared" si="2"/>
        <v>0</v>
      </c>
      <c r="H100" s="400">
        <f t="shared" si="2"/>
        <v>0</v>
      </c>
      <c r="I100" s="400">
        <f t="shared" si="2"/>
        <v>0</v>
      </c>
      <c r="J100" s="400">
        <f t="shared" si="2"/>
        <v>2</v>
      </c>
      <c r="K100" s="400">
        <f t="shared" si="2"/>
        <v>0</v>
      </c>
      <c r="L100" s="400">
        <f t="shared" si="2"/>
        <v>0</v>
      </c>
      <c r="M100" s="400">
        <f t="shared" si="2"/>
        <v>0</v>
      </c>
      <c r="N100" s="400">
        <f t="shared" si="2"/>
        <v>1</v>
      </c>
      <c r="O100" s="400">
        <f t="shared" si="2"/>
        <v>0</v>
      </c>
      <c r="P100" s="400">
        <f t="shared" si="2"/>
        <v>0</v>
      </c>
      <c r="Q100" s="400">
        <f t="shared" si="2"/>
        <v>0</v>
      </c>
      <c r="R100" s="400">
        <f>SUM(R56,R58,R60,R62,R64,R66,R68,R70,R72,R74,R76,R78,R80,R82,R84,R86,R88,R90,R92,R94)</f>
        <v>0</v>
      </c>
      <c r="S100" s="400">
        <f t="shared" si="2"/>
        <v>0</v>
      </c>
      <c r="T100" s="400">
        <f t="shared" si="2"/>
        <v>0</v>
      </c>
      <c r="U100" s="385">
        <f t="shared" si="2"/>
        <v>4</v>
      </c>
      <c r="V100" s="401">
        <f t="shared" si="2"/>
        <v>2</v>
      </c>
      <c r="W100" s="402">
        <f t="shared" si="2"/>
        <v>0</v>
      </c>
      <c r="X100" s="402">
        <f t="shared" si="2"/>
        <v>0</v>
      </c>
      <c r="Y100" s="402">
        <f t="shared" si="2"/>
        <v>0</v>
      </c>
      <c r="Z100" s="402">
        <f t="shared" si="2"/>
        <v>0</v>
      </c>
      <c r="AA100" s="402">
        <f t="shared" si="2"/>
        <v>0</v>
      </c>
      <c r="AB100" s="402">
        <f t="shared" si="2"/>
        <v>0</v>
      </c>
      <c r="AC100" s="402">
        <f t="shared" si="2"/>
        <v>0</v>
      </c>
      <c r="AD100" s="402">
        <f t="shared" si="2"/>
        <v>0</v>
      </c>
      <c r="AE100" s="402">
        <f t="shared" si="2"/>
        <v>0</v>
      </c>
      <c r="AF100" s="402">
        <f t="shared" si="2"/>
        <v>0</v>
      </c>
      <c r="AG100" s="402">
        <f t="shared" si="2"/>
        <v>0</v>
      </c>
      <c r="AH100" s="402">
        <f>SUM(AH56,AH58,AH60,AH62,AH64,AH66,AH68,AH70,AH72,AH74,AH76,AH78,AH80,AH82,AH84,AH86,AH88,AH90,AH92,AH94,AH96,AH98)</f>
        <v>0</v>
      </c>
      <c r="AI100" s="402">
        <f>SUM(AI56,AI58,AI60,AI62,AI64,AI66,AI68,AI70,AI72,AI74,AI76,AI78,AI80,AI82,AI84,AI86,AI88,AI90,AI92,AI94,AI96,AI98)</f>
        <v>0</v>
      </c>
      <c r="AJ100" s="403"/>
      <c r="AK100" s="64"/>
      <c r="AL100" s="64"/>
      <c r="AM100" s="64"/>
      <c r="AN100" s="64"/>
      <c r="AO100" s="64"/>
      <c r="AP100" s="64"/>
      <c r="AQ100" s="64"/>
      <c r="AR100" s="64"/>
      <c r="AS100" s="64"/>
      <c r="AT100" s="64"/>
      <c r="AU100" s="64"/>
      <c r="AV100" s="64"/>
      <c r="AW100" s="64"/>
      <c r="AX100" s="64"/>
    </row>
    <row r="101" spans="1:50" x14ac:dyDescent="0.3">
      <c r="A101" s="1211"/>
      <c r="B101" s="1211"/>
      <c r="C101" s="1211"/>
      <c r="D101" s="400" t="s">
        <v>21</v>
      </c>
      <c r="E101" s="400">
        <f t="shared" si="2"/>
        <v>0</v>
      </c>
      <c r="F101" s="400">
        <f t="shared" si="2"/>
        <v>1</v>
      </c>
      <c r="G101" s="400">
        <f t="shared" si="2"/>
        <v>1</v>
      </c>
      <c r="H101" s="400">
        <f t="shared" si="2"/>
        <v>0</v>
      </c>
      <c r="I101" s="400">
        <f t="shared" si="2"/>
        <v>0</v>
      </c>
      <c r="J101" s="400">
        <f t="shared" si="2"/>
        <v>2</v>
      </c>
      <c r="K101" s="400">
        <f t="shared" si="2"/>
        <v>0</v>
      </c>
      <c r="L101" s="400">
        <f t="shared" si="2"/>
        <v>0</v>
      </c>
      <c r="M101" s="400">
        <f t="shared" si="2"/>
        <v>1</v>
      </c>
      <c r="N101" s="400">
        <f t="shared" si="2"/>
        <v>3</v>
      </c>
      <c r="O101" s="400">
        <f t="shared" si="2"/>
        <v>1</v>
      </c>
      <c r="P101" s="400">
        <f t="shared" si="2"/>
        <v>3</v>
      </c>
      <c r="Q101" s="400">
        <f t="shared" si="2"/>
        <v>0</v>
      </c>
      <c r="R101" s="400">
        <f>SUM(R57,R59,R61,R63,R65,R67,R69,R71,R73,R75,R77,R79,R81,R83,R85,R87,R89,R91,R93,R95)</f>
        <v>0</v>
      </c>
      <c r="S101" s="400">
        <f t="shared" si="2"/>
        <v>0</v>
      </c>
      <c r="T101" s="400">
        <f t="shared" si="2"/>
        <v>0</v>
      </c>
      <c r="U101" s="385">
        <f t="shared" si="2"/>
        <v>12</v>
      </c>
      <c r="V101" s="401">
        <f t="shared" si="2"/>
        <v>6</v>
      </c>
      <c r="W101" s="402">
        <f t="shared" si="2"/>
        <v>0</v>
      </c>
      <c r="X101" s="402">
        <f t="shared" si="2"/>
        <v>0</v>
      </c>
      <c r="Y101" s="402">
        <f t="shared" si="2"/>
        <v>0</v>
      </c>
      <c r="Z101" s="402">
        <f t="shared" si="2"/>
        <v>0</v>
      </c>
      <c r="AA101" s="402">
        <f t="shared" si="2"/>
        <v>0</v>
      </c>
      <c r="AB101" s="402">
        <f t="shared" si="2"/>
        <v>0</v>
      </c>
      <c r="AC101" s="402">
        <f t="shared" si="2"/>
        <v>0</v>
      </c>
      <c r="AD101" s="402">
        <f t="shared" si="2"/>
        <v>0</v>
      </c>
      <c r="AE101" s="402">
        <f t="shared" si="2"/>
        <v>0</v>
      </c>
      <c r="AF101" s="402">
        <f t="shared" si="2"/>
        <v>0</v>
      </c>
      <c r="AG101" s="402">
        <f t="shared" si="2"/>
        <v>0</v>
      </c>
      <c r="AH101" s="402">
        <f>SUM(AH57,AH59,AH61,AH63,AH65,AH67,AH69,AH71,AH73,AH75,AH77,AH79,AH81,AH83,AH85,AH87,AH89,AH91,AH93,AH95,AH97,AH99)</f>
        <v>0</v>
      </c>
      <c r="AI101" s="402">
        <f>SUM(AI57,AI59,AI61,AI63,AI65,AI67,AI69,AI71,AI73,AI75,AI77,AI79,AI81,AI83,AI85,AI87,AI89,AI91,AI93,AI95,AI97,AI99)</f>
        <v>0</v>
      </c>
      <c r="AJ101" s="64"/>
      <c r="AK101" s="64"/>
      <c r="AL101" s="64"/>
      <c r="AM101" s="64"/>
      <c r="AN101" s="64"/>
      <c r="AO101" s="64"/>
      <c r="AP101" s="64"/>
      <c r="AQ101" s="64"/>
      <c r="AR101" s="64"/>
      <c r="AS101" s="64"/>
      <c r="AT101" s="64"/>
      <c r="AU101" s="64"/>
      <c r="AV101" s="64"/>
      <c r="AW101" s="64"/>
      <c r="AX101" s="64"/>
    </row>
    <row r="102" spans="1:50" x14ac:dyDescent="0.3">
      <c r="A102" s="1211"/>
      <c r="B102" s="1211"/>
      <c r="C102" s="1211"/>
      <c r="D102" s="385" t="s">
        <v>7</v>
      </c>
      <c r="E102" s="385">
        <f t="shared" ref="E102:AI102" si="3">SUM(E100,E101)</f>
        <v>0</v>
      </c>
      <c r="F102" s="385">
        <f t="shared" si="3"/>
        <v>2</v>
      </c>
      <c r="G102" s="385">
        <f t="shared" si="3"/>
        <v>1</v>
      </c>
      <c r="H102" s="385">
        <f t="shared" si="3"/>
        <v>0</v>
      </c>
      <c r="I102" s="385">
        <f t="shared" si="3"/>
        <v>0</v>
      </c>
      <c r="J102" s="385">
        <f t="shared" si="3"/>
        <v>4</v>
      </c>
      <c r="K102" s="385">
        <f t="shared" si="3"/>
        <v>0</v>
      </c>
      <c r="L102" s="385">
        <f t="shared" si="3"/>
        <v>0</v>
      </c>
      <c r="M102" s="385">
        <f t="shared" si="3"/>
        <v>1</v>
      </c>
      <c r="N102" s="385">
        <f t="shared" si="3"/>
        <v>4</v>
      </c>
      <c r="O102" s="385">
        <f t="shared" si="3"/>
        <v>1</v>
      </c>
      <c r="P102" s="385">
        <f t="shared" si="3"/>
        <v>3</v>
      </c>
      <c r="Q102" s="385">
        <f t="shared" si="3"/>
        <v>0</v>
      </c>
      <c r="R102" s="385">
        <f>SUM(R100,R101)</f>
        <v>0</v>
      </c>
      <c r="S102" s="385">
        <f t="shared" si="3"/>
        <v>0</v>
      </c>
      <c r="T102" s="385">
        <f t="shared" si="3"/>
        <v>0</v>
      </c>
      <c r="U102" s="404">
        <f t="shared" si="3"/>
        <v>16</v>
      </c>
      <c r="V102" s="405">
        <f t="shared" si="3"/>
        <v>8</v>
      </c>
      <c r="W102" s="402">
        <f t="shared" si="3"/>
        <v>0</v>
      </c>
      <c r="X102" s="402">
        <f t="shared" si="3"/>
        <v>0</v>
      </c>
      <c r="Y102" s="402">
        <f t="shared" si="3"/>
        <v>0</v>
      </c>
      <c r="Z102" s="402">
        <f t="shared" si="3"/>
        <v>0</v>
      </c>
      <c r="AA102" s="402">
        <f t="shared" si="3"/>
        <v>0</v>
      </c>
      <c r="AB102" s="402">
        <f t="shared" si="3"/>
        <v>0</v>
      </c>
      <c r="AC102" s="402">
        <f t="shared" si="3"/>
        <v>0</v>
      </c>
      <c r="AD102" s="402">
        <f t="shared" si="3"/>
        <v>0</v>
      </c>
      <c r="AE102" s="402">
        <f t="shared" si="3"/>
        <v>0</v>
      </c>
      <c r="AF102" s="402">
        <f t="shared" si="3"/>
        <v>0</v>
      </c>
      <c r="AG102" s="402">
        <f t="shared" si="3"/>
        <v>0</v>
      </c>
      <c r="AH102" s="402">
        <f t="shared" si="3"/>
        <v>0</v>
      </c>
      <c r="AI102" s="402">
        <f t="shared" si="3"/>
        <v>0</v>
      </c>
      <c r="AJ102" s="64"/>
      <c r="AK102" s="64"/>
      <c r="AL102" s="64"/>
      <c r="AM102" s="64"/>
      <c r="AN102" s="64"/>
      <c r="AO102" s="64"/>
      <c r="AP102" s="64"/>
      <c r="AQ102" s="64"/>
      <c r="AR102" s="64"/>
      <c r="AS102" s="64"/>
      <c r="AT102" s="64"/>
      <c r="AU102" s="64"/>
      <c r="AV102" s="64"/>
      <c r="AW102" s="64"/>
      <c r="AX102" s="64"/>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defaultColWidth="8.77734375" defaultRowHeight="13.8" x14ac:dyDescent="0.25"/>
  <cols>
    <col min="1" max="238" width="11.44140625" style="20" customWidth="1"/>
    <col min="239" max="16384" width="8.77734375" style="20"/>
  </cols>
  <sheetData>
    <row r="1" spans="1:31" x14ac:dyDescent="0.25">
      <c r="A1" s="143" t="s">
        <v>5</v>
      </c>
      <c r="B1" s="143" t="s">
        <v>6</v>
      </c>
      <c r="C1" s="144">
        <f>COLUMN(Score!B3)</f>
        <v>2</v>
      </c>
      <c r="D1" s="144">
        <f>COLUMN(Score!Q3)</f>
        <v>17</v>
      </c>
      <c r="E1" s="145"/>
      <c r="F1" s="145"/>
      <c r="G1" s="155">
        <f>COLUMN(Score!C3)</f>
        <v>3</v>
      </c>
      <c r="H1" s="155">
        <f>COLUMN(Score!D3)</f>
        <v>4</v>
      </c>
      <c r="I1" s="146"/>
      <c r="J1" s="155">
        <f>COLUMN(Score!E3)</f>
        <v>5</v>
      </c>
      <c r="K1" s="155">
        <f>COLUMN(Score!F3)</f>
        <v>6</v>
      </c>
      <c r="L1" s="155">
        <f>COLUMN(Score!G3)</f>
        <v>7</v>
      </c>
      <c r="M1" s="144">
        <f>COLUMN(Score!S3)</f>
        <v>19</v>
      </c>
      <c r="N1" s="144">
        <f>COLUMN('Game Clock'!B10)</f>
        <v>2</v>
      </c>
      <c r="O1" s="145"/>
      <c r="Q1" s="143" t="s">
        <v>5</v>
      </c>
      <c r="R1" s="143" t="s">
        <v>8</v>
      </c>
      <c r="S1" s="144">
        <f>COLUMN(Score!U3)</f>
        <v>21</v>
      </c>
      <c r="T1" s="144">
        <f>COLUMN(Score!AJ3)</f>
        <v>36</v>
      </c>
      <c r="U1" s="145"/>
      <c r="V1" s="145"/>
      <c r="W1" s="155">
        <f>COLUMN(Score!V3)</f>
        <v>22</v>
      </c>
      <c r="X1" s="155">
        <f>COLUMN(Score!W3)</f>
        <v>23</v>
      </c>
      <c r="Y1" s="146"/>
      <c r="Z1" s="155">
        <f>COLUMN(Score!X3)</f>
        <v>24</v>
      </c>
      <c r="AA1" s="155">
        <f>COLUMN(Score!Y3)</f>
        <v>25</v>
      </c>
      <c r="AB1" s="155">
        <f>COLUMN(Score!Z3)</f>
        <v>26</v>
      </c>
      <c r="AC1" s="144">
        <f>COLUMN(Score!AL3)</f>
        <v>38</v>
      </c>
      <c r="AD1" s="144"/>
      <c r="AE1" s="145"/>
    </row>
    <row r="2" spans="1:31" x14ac:dyDescent="0.25">
      <c r="A2" s="145" t="s">
        <v>4</v>
      </c>
      <c r="B2" s="145" t="s">
        <v>9</v>
      </c>
      <c r="C2" s="145" t="s">
        <v>105</v>
      </c>
      <c r="D2" s="145" t="s">
        <v>144</v>
      </c>
      <c r="E2" s="145" t="s">
        <v>10</v>
      </c>
      <c r="F2" s="145" t="s">
        <v>11</v>
      </c>
      <c r="G2" s="156" t="s">
        <v>12</v>
      </c>
      <c r="H2" s="156" t="s">
        <v>13</v>
      </c>
      <c r="I2" s="146" t="s">
        <v>14</v>
      </c>
      <c r="J2" s="156" t="s">
        <v>15</v>
      </c>
      <c r="K2" s="156" t="s">
        <v>16</v>
      </c>
      <c r="L2" s="156" t="s">
        <v>389</v>
      </c>
      <c r="M2" s="145" t="s">
        <v>388</v>
      </c>
      <c r="N2" s="145" t="s">
        <v>17</v>
      </c>
      <c r="O2" s="145" t="s">
        <v>18</v>
      </c>
      <c r="Q2" s="145" t="s">
        <v>4</v>
      </c>
      <c r="R2" s="145" t="s">
        <v>9</v>
      </c>
      <c r="S2" s="145" t="s">
        <v>105</v>
      </c>
      <c r="T2" s="145" t="s">
        <v>144</v>
      </c>
      <c r="U2" s="145" t="s">
        <v>10</v>
      </c>
      <c r="V2" s="145" t="s">
        <v>11</v>
      </c>
      <c r="W2" s="156" t="s">
        <v>12</v>
      </c>
      <c r="X2" s="156" t="s">
        <v>13</v>
      </c>
      <c r="Y2" s="146" t="s">
        <v>14</v>
      </c>
      <c r="Z2" s="156" t="s">
        <v>15</v>
      </c>
      <c r="AA2" s="156" t="s">
        <v>16</v>
      </c>
      <c r="AB2" s="156" t="s">
        <v>389</v>
      </c>
      <c r="AC2" s="145" t="s">
        <v>388</v>
      </c>
      <c r="AD2" s="145" t="s">
        <v>17</v>
      </c>
      <c r="AE2" s="145" t="s">
        <v>18</v>
      </c>
    </row>
    <row r="3" spans="1:31" x14ac:dyDescent="0.25">
      <c r="A3" s="6">
        <v>1</v>
      </c>
      <c r="B3" s="20">
        <f>IF(ISNA(MATCH($A3,Score!A$4:A$41,0)),"",MATCH($A3,Score!A$4:A$41,0)+ROW(Score!A$3))</f>
        <v>4</v>
      </c>
      <c r="C3" s="89" t="str">
        <f t="shared" ref="C3:D22" ca="1" si="0">IF($B3="","",INDIRECT(ADDRESS($B3,C$1,1,,"Score")))</f>
        <v>352</v>
      </c>
      <c r="D3" s="20">
        <f t="shared" ca="1" si="0"/>
        <v>0</v>
      </c>
      <c r="E3" s="6">
        <f ca="1">IF(B3="","",SUM(D3,D4))</f>
        <v>0</v>
      </c>
      <c r="F3" s="6">
        <f ca="1">IF(B3="","",E3-U3)</f>
        <v>-4</v>
      </c>
      <c r="G3" s="157" t="str">
        <f ca="1">IF($B3="","",IF(ISBLANK(INDIRECT(ADDRESS($B3,G$1,1,,"Score"))),"",1))</f>
        <v/>
      </c>
      <c r="H3" s="157" t="str">
        <f ca="1">IF($B3="","",IF(ISBLANK(INDIRECT(ADDRESS($B3,H$1,1,,"Score"))),"",1))</f>
        <v/>
      </c>
      <c r="I3" s="147" t="str">
        <f ca="1">IF(H3=1,F3,"")</f>
        <v/>
      </c>
      <c r="J3" s="157" t="str">
        <f t="shared" ref="J3:L22" ca="1" si="1">IF($B3="","",IF(ISBLANK(INDIRECT(ADDRESS($B3,J$1,1,,"Score"))),"",1))</f>
        <v/>
      </c>
      <c r="K3" s="157" t="str">
        <f t="shared" ca="1" si="1"/>
        <v/>
      </c>
      <c r="L3" s="157">
        <f t="shared" ca="1" si="1"/>
        <v>1</v>
      </c>
      <c r="M3" s="20">
        <f t="shared" ref="M3:M22" ca="1" si="2">IF($B3="","",INDIRECT(ADDRESS($B3,M$1,1,,"Score")))</f>
        <v>0</v>
      </c>
      <c r="N3" s="6">
        <f ca="1">IF(ISNA(MATCH($A3,'Game Clock'!A$11:A$48,0)),"",INDIRECT(ADDRESS(MATCH($A3,'Game Clock'!A$11:A$48,0)+ROW('Game Clock'!A$10),N$1,1,,"Game Clock")))</f>
        <v>40</v>
      </c>
      <c r="O3" s="6">
        <f ca="1">IF(OR(N3="",N3=0),"",60*E3/N3)</f>
        <v>0</v>
      </c>
      <c r="Q3" s="6">
        <v>1</v>
      </c>
      <c r="R3" s="20">
        <f>IF(ISNA(MATCH($Q3,Score!T$4:T$41,0)),"",MATCH($Q3,Score!T$4:T$41,0)++ROW(Score!T$3))</f>
        <v>4</v>
      </c>
      <c r="S3" s="89" t="str">
        <f t="shared" ref="S3:T22" ca="1" si="3">IF($R3="","",INDIRECT(ADDRESS($R3,S$1,1,,"Score")))</f>
        <v>12</v>
      </c>
      <c r="T3" s="20">
        <f t="shared" ca="1" si="3"/>
        <v>4</v>
      </c>
      <c r="U3" s="6">
        <f ca="1">IF(R3="","",SUM(T3,T4))</f>
        <v>4</v>
      </c>
      <c r="V3" s="6">
        <f ca="1">IF(R3="","",U3-E3)</f>
        <v>4</v>
      </c>
      <c r="W3" s="157" t="str">
        <f ca="1">IF($R3="","",IF(ISBLANK(INDIRECT(ADDRESS($R3,W$1,1,,"Score"))),"",1))</f>
        <v/>
      </c>
      <c r="X3" s="157">
        <f ca="1">IF($R3="","",IF(ISBLANK(INDIRECT(ADDRESS($R3,X$1,1,,"Score"))),"",1))</f>
        <v>1</v>
      </c>
      <c r="Y3" s="147">
        <f ca="1">IF(X3=1,V3,"")</f>
        <v>4</v>
      </c>
      <c r="Z3" s="157">
        <f t="shared" ref="Z3:AB22" ca="1" si="4">IF($R3="","",IF(ISBLANK(INDIRECT(ADDRESS($R3,Z$1,1,,"Score"))),"",1))</f>
        <v>1</v>
      </c>
      <c r="AA3" s="157" t="str">
        <f t="shared" ca="1" si="4"/>
        <v/>
      </c>
      <c r="AB3" s="157" t="str">
        <f t="shared" ca="1" si="4"/>
        <v/>
      </c>
      <c r="AC3" s="20">
        <f t="shared" ref="AC3:AC22" ca="1" si="5">IF($R3="","",INDIRECT(ADDRESS($R3,AC$1,1,,"Score")))</f>
        <v>1</v>
      </c>
      <c r="AD3" s="6">
        <f ca="1">N3</f>
        <v>40</v>
      </c>
      <c r="AE3" s="6">
        <f ca="1">IF(OR(AD3="",AD3=0),"",60*U3/AD3)</f>
        <v>6</v>
      </c>
    </row>
    <row r="4" spans="1:31" x14ac:dyDescent="0.25">
      <c r="A4" s="6"/>
      <c r="B4" s="20">
        <f ca="1">IF($B3="","",IF(INDIRECT(ADDRESS($B3+1,C$1-1,1,,"Score"))="SP",$B3+1,""))</f>
        <v>5</v>
      </c>
      <c r="C4" s="89" t="str">
        <f t="shared" ca="1" si="0"/>
        <v>84</v>
      </c>
      <c r="D4" s="20">
        <f t="shared" ca="1" si="0"/>
        <v>0</v>
      </c>
      <c r="E4" s="6"/>
      <c r="F4" s="6"/>
      <c r="G4" s="157"/>
      <c r="H4" s="157"/>
      <c r="I4" s="147"/>
      <c r="J4" s="157" t="str">
        <f t="shared" ca="1" si="1"/>
        <v/>
      </c>
      <c r="K4" s="157" t="str">
        <f t="shared" ca="1" si="1"/>
        <v/>
      </c>
      <c r="L4" s="157" t="str">
        <f t="shared" ca="1" si="1"/>
        <v/>
      </c>
      <c r="M4" s="20">
        <f t="shared" ca="1" si="2"/>
        <v>1</v>
      </c>
      <c r="N4" s="6"/>
      <c r="O4" s="6"/>
      <c r="Q4" s="6"/>
      <c r="R4" s="20" t="str">
        <f ca="1">IF($R3="","",IF(INDIRECT(ADDRESS($R3+1,S$1-1,1,,"Score"))="SP",$R3+1,""))</f>
        <v/>
      </c>
      <c r="S4" s="89" t="str">
        <f t="shared" ca="1" si="3"/>
        <v/>
      </c>
      <c r="T4" s="20" t="str">
        <f t="shared" ca="1" si="3"/>
        <v/>
      </c>
      <c r="U4" s="6"/>
      <c r="V4" s="6"/>
      <c r="W4" s="157"/>
      <c r="X4" s="157"/>
      <c r="Y4" s="147"/>
      <c r="Z4" s="157" t="str">
        <f t="shared" ca="1" si="4"/>
        <v/>
      </c>
      <c r="AA4" s="157" t="str">
        <f t="shared" ca="1" si="4"/>
        <v/>
      </c>
      <c r="AB4" s="157" t="str">
        <f t="shared" ca="1" si="4"/>
        <v/>
      </c>
      <c r="AC4" s="20" t="str">
        <f t="shared" ca="1" si="5"/>
        <v/>
      </c>
      <c r="AD4" s="6"/>
      <c r="AE4" s="6"/>
    </row>
    <row r="5" spans="1:31" x14ac:dyDescent="0.25">
      <c r="A5" s="148">
        <f>A3+1</f>
        <v>2</v>
      </c>
      <c r="B5" s="149">
        <f>IF(ISNA(MATCH($A5,Score!A$4:A$41,0)),"",MATCH($A5,Score!A$4:A$41,0)+ROW(Score!A$3))</f>
        <v>6</v>
      </c>
      <c r="C5" s="150" t="str">
        <f t="shared" ca="1" si="0"/>
        <v>123</v>
      </c>
      <c r="D5" s="149">
        <f t="shared" ca="1" si="0"/>
        <v>0</v>
      </c>
      <c r="E5" s="148">
        <f ca="1">IF(B5="","",SUM(D5,D6))</f>
        <v>0</v>
      </c>
      <c r="F5" s="148">
        <f ca="1">IF(B5="","",E5-U5)</f>
        <v>-2</v>
      </c>
      <c r="G5" s="151" t="str">
        <f ca="1">IF($B5="","",IF(ISBLANK(INDIRECT(ADDRESS($B5,G$1,1,,"Score"))),"",1))</f>
        <v/>
      </c>
      <c r="H5" s="151" t="str">
        <f ca="1">IF($B5="","",IF(ISBLANK(INDIRECT(ADDRESS($B5,H$1,1,,"Score"))),"",1))</f>
        <v/>
      </c>
      <c r="I5" s="153" t="str">
        <f ca="1">IF(H5=1,F5,"")</f>
        <v/>
      </c>
      <c r="J5" s="151" t="str">
        <f t="shared" ca="1" si="1"/>
        <v/>
      </c>
      <c r="K5" s="151" t="str">
        <f t="shared" ca="1" si="1"/>
        <v/>
      </c>
      <c r="L5" s="151" t="str">
        <f t="shared" ca="1" si="1"/>
        <v/>
      </c>
      <c r="M5" s="149">
        <f t="shared" ca="1" si="2"/>
        <v>1</v>
      </c>
      <c r="N5" s="6">
        <f ca="1">IF(ISNA(MATCH($A5,'Game Clock'!A$11:A$48,0)),"",INDIRECT(ADDRESS(MATCH($A5,'Game Clock'!A$11:A$48,0)+ROW('Game Clock'!A$10),N$1,1,,"Game Clock")))</f>
        <v>23</v>
      </c>
      <c r="O5" s="148">
        <f ca="1">IF(OR(N5="",N5=0),"",60*E5/N5)</f>
        <v>0</v>
      </c>
      <c r="Q5" s="148">
        <f>Q3+1</f>
        <v>2</v>
      </c>
      <c r="R5" s="149">
        <f>IF(ISNA(MATCH($Q5,Score!T$4:T$41,0)),"",MATCH($Q5,Score!T$4:T$41,0)++ROW(Score!T$3))</f>
        <v>6</v>
      </c>
      <c r="S5" s="150" t="str">
        <f t="shared" ca="1" si="3"/>
        <v>23</v>
      </c>
      <c r="T5" s="149">
        <f t="shared" ca="1" si="3"/>
        <v>2</v>
      </c>
      <c r="U5" s="148">
        <f ca="1">IF(R5="","",SUM(T5,T6))</f>
        <v>2</v>
      </c>
      <c r="V5" s="148">
        <f ca="1">IF(R5="","",U5-E5)</f>
        <v>2</v>
      </c>
      <c r="W5" s="151" t="str">
        <f ca="1">IF($R5="","",IF(ISBLANK(INDIRECT(ADDRESS($R5,W$1,1,,"Score"))),"",1))</f>
        <v/>
      </c>
      <c r="X5" s="151">
        <f ca="1">IF($R5="","",IF(ISBLANK(INDIRECT(ADDRESS($R5,X$1,1,,"Score"))),"",1))</f>
        <v>1</v>
      </c>
      <c r="Y5" s="153">
        <f ca="1">IF(X5=1,V5,"")</f>
        <v>2</v>
      </c>
      <c r="Z5" s="151">
        <f t="shared" ca="1" si="4"/>
        <v>1</v>
      </c>
      <c r="AA5" s="151" t="str">
        <f t="shared" ca="1" si="4"/>
        <v/>
      </c>
      <c r="AB5" s="151" t="str">
        <f t="shared" ca="1" si="4"/>
        <v/>
      </c>
      <c r="AC5" s="149">
        <f t="shared" ca="1" si="5"/>
        <v>1</v>
      </c>
      <c r="AD5" s="148">
        <f ca="1">N5</f>
        <v>23</v>
      </c>
      <c r="AE5" s="148">
        <f ca="1">IF(OR(AD5="",AD5=0),"",60*U5/AD5)</f>
        <v>5.2173913043478262</v>
      </c>
    </row>
    <row r="6" spans="1:31" x14ac:dyDescent="0.3">
      <c r="A6" s="148"/>
      <c r="B6" s="149" t="str">
        <f ca="1">IF($B5="","",IF(INDIRECT(ADDRESS($B5+1,C$1-1,1,,"Score"))="SP",$B5+1,""))</f>
        <v/>
      </c>
      <c r="C6" s="150" t="str">
        <f t="shared" ca="1" si="0"/>
        <v/>
      </c>
      <c r="D6" s="149" t="str">
        <f t="shared" ca="1" si="0"/>
        <v/>
      </c>
      <c r="E6" s="148"/>
      <c r="F6" s="148"/>
      <c r="G6" s="151"/>
      <c r="H6" s="152"/>
      <c r="I6" s="153"/>
      <c r="J6" s="151" t="str">
        <f t="shared" ca="1" si="1"/>
        <v/>
      </c>
      <c r="K6" s="151" t="str">
        <f t="shared" ca="1" si="1"/>
        <v/>
      </c>
      <c r="L6" s="151" t="str">
        <f t="shared" ca="1" si="1"/>
        <v/>
      </c>
      <c r="M6" s="149" t="str">
        <f t="shared" ca="1" si="2"/>
        <v/>
      </c>
      <c r="N6" s="148"/>
      <c r="O6" s="148"/>
      <c r="Q6" s="148"/>
      <c r="R6" s="149" t="str">
        <f ca="1">IF($R5="","",IF(INDIRECT(ADDRESS($R5+1,S$1-1,1,,"Score"))="SP",$R5+1,""))</f>
        <v/>
      </c>
      <c r="S6" s="150" t="str">
        <f t="shared" ca="1" si="3"/>
        <v/>
      </c>
      <c r="T6" s="149" t="str">
        <f t="shared" ca="1" si="3"/>
        <v/>
      </c>
      <c r="U6" s="148"/>
      <c r="V6" s="148"/>
      <c r="W6" s="151"/>
      <c r="X6" s="152"/>
      <c r="Y6" s="153"/>
      <c r="Z6" s="151" t="str">
        <f t="shared" ca="1" si="4"/>
        <v/>
      </c>
      <c r="AA6" s="151" t="str">
        <f t="shared" ca="1" si="4"/>
        <v/>
      </c>
      <c r="AB6" s="151" t="str">
        <f t="shared" ca="1" si="4"/>
        <v/>
      </c>
      <c r="AC6" s="149" t="str">
        <f t="shared" ca="1" si="5"/>
        <v/>
      </c>
      <c r="AD6" s="148"/>
      <c r="AE6" s="148"/>
    </row>
    <row r="7" spans="1:31" x14ac:dyDescent="0.25">
      <c r="A7" s="6">
        <f>A5+1</f>
        <v>3</v>
      </c>
      <c r="B7" s="20">
        <f>IF(ISNA(MATCH($A7,Score!A$4:A$41,0)),"",MATCH($A7,Score!A$4:A$41,0)+ROW(Score!A$3))</f>
        <v>7</v>
      </c>
      <c r="C7" s="89" t="str">
        <f t="shared" ca="1" si="0"/>
        <v>352</v>
      </c>
      <c r="D7" s="20">
        <f t="shared" ca="1" si="0"/>
        <v>3</v>
      </c>
      <c r="E7" s="6">
        <f ca="1">IF(B7="","",SUM(D7,D8))</f>
        <v>3</v>
      </c>
      <c r="F7" s="6">
        <f ca="1">IF(B7="","",E7-U7)</f>
        <v>3</v>
      </c>
      <c r="G7" s="157" t="str">
        <f ca="1">IF($B7="","",IF(ISBLANK(INDIRECT(ADDRESS($B7,G$1,1,,"Score"))),"",1))</f>
        <v/>
      </c>
      <c r="H7" s="157">
        <f ca="1">IF($B7="","",IF(ISBLANK(INDIRECT(ADDRESS($B7,H$1,1,,"Score"))),"",1))</f>
        <v>1</v>
      </c>
      <c r="I7" s="147">
        <f ca="1">IF(H7=1,F7,"")</f>
        <v>3</v>
      </c>
      <c r="J7" s="157">
        <f t="shared" ca="1" si="1"/>
        <v>1</v>
      </c>
      <c r="K7" s="157" t="str">
        <f t="shared" ca="1" si="1"/>
        <v/>
      </c>
      <c r="L7" s="157" t="str">
        <f t="shared" ca="1" si="1"/>
        <v/>
      </c>
      <c r="M7" s="20">
        <f t="shared" ca="1" si="2"/>
        <v>1</v>
      </c>
      <c r="N7" s="6">
        <f ca="1">IF(ISNA(MATCH($A7,'Game Clock'!A$11:A$48,0)),"",INDIRECT(ADDRESS(MATCH($A7,'Game Clock'!A$11:A$48,0)+ROW('Game Clock'!A$10),N$1,1,,"Game Clock")))</f>
        <v>26</v>
      </c>
      <c r="O7" s="6">
        <f ca="1">IF(OR(N7="",N7=0),"",60*E7/N7)</f>
        <v>6.9230769230769234</v>
      </c>
      <c r="Q7" s="6">
        <f>Q5+1</f>
        <v>3</v>
      </c>
      <c r="R7" s="20">
        <f>IF(ISNA(MATCH($Q7,Score!T$4:T$41,0)),"",MATCH($Q7,Score!T$4:T$41,0)++ROW(Score!T$3))</f>
        <v>7</v>
      </c>
      <c r="S7" s="89" t="str">
        <f t="shared" ca="1" si="3"/>
        <v>49</v>
      </c>
      <c r="T7" s="20">
        <f t="shared" ca="1" si="3"/>
        <v>0</v>
      </c>
      <c r="U7" s="6">
        <f ca="1">IF(R7="","",SUM(T7,T8))</f>
        <v>0</v>
      </c>
      <c r="V7" s="6">
        <f ca="1">IF(R7="","",U7-E7)</f>
        <v>-3</v>
      </c>
      <c r="W7" s="157" t="str">
        <f ca="1">IF($R7="","",IF(ISBLANK(INDIRECT(ADDRESS($R7,W$1,1,,"Score"))),"",1))</f>
        <v/>
      </c>
      <c r="X7" s="157" t="str">
        <f ca="1">IF($R7="","",IF(ISBLANK(INDIRECT(ADDRESS($R7,X$1,1,,"Score"))),"",1))</f>
        <v/>
      </c>
      <c r="Y7" s="147" t="str">
        <f ca="1">IF(X7=1,V7,"")</f>
        <v/>
      </c>
      <c r="Z7" s="157" t="str">
        <f t="shared" ca="1" si="4"/>
        <v/>
      </c>
      <c r="AA7" s="157" t="str">
        <f t="shared" ca="1" si="4"/>
        <v/>
      </c>
      <c r="AB7" s="157" t="str">
        <f t="shared" ca="1" si="4"/>
        <v/>
      </c>
      <c r="AC7" s="20">
        <f t="shared" ca="1" si="5"/>
        <v>1</v>
      </c>
      <c r="AD7" s="6">
        <f ca="1">N7</f>
        <v>26</v>
      </c>
      <c r="AE7" s="6">
        <f ca="1">IF(OR(AD7="",AD7=0),"",60*U7/AD7)</f>
        <v>0</v>
      </c>
    </row>
    <row r="8" spans="1:31" x14ac:dyDescent="0.25">
      <c r="A8" s="6"/>
      <c r="B8" s="20" t="str">
        <f ca="1">IF($B7="","",IF(INDIRECT(ADDRESS($B7+1,C$1-1,1,,"Score"))="SP",$B7+1,""))</f>
        <v/>
      </c>
      <c r="C8" s="89" t="str">
        <f t="shared" ca="1" si="0"/>
        <v/>
      </c>
      <c r="D8" s="20" t="str">
        <f t="shared" ca="1" si="0"/>
        <v/>
      </c>
      <c r="E8" s="6"/>
      <c r="F8" s="6"/>
      <c r="G8" s="157"/>
      <c r="H8" s="157"/>
      <c r="I8" s="147"/>
      <c r="J8" s="157" t="str">
        <f t="shared" ca="1" si="1"/>
        <v/>
      </c>
      <c r="K8" s="157" t="str">
        <f t="shared" ca="1" si="1"/>
        <v/>
      </c>
      <c r="L8" s="157" t="str">
        <f t="shared" ca="1" si="1"/>
        <v/>
      </c>
      <c r="M8" s="20" t="str">
        <f t="shared" ca="1" si="2"/>
        <v/>
      </c>
      <c r="N8" s="6"/>
      <c r="O8" s="6"/>
      <c r="Q8" s="6"/>
      <c r="R8" s="20" t="str">
        <f ca="1">IF($R7="","",IF(INDIRECT(ADDRESS($R7+1,S$1-1,1,,"Score"))="SP",$R7+1,""))</f>
        <v/>
      </c>
      <c r="S8" s="89" t="str">
        <f t="shared" ca="1" si="3"/>
        <v/>
      </c>
      <c r="T8" s="20" t="str">
        <f t="shared" ca="1" si="3"/>
        <v/>
      </c>
      <c r="U8" s="6"/>
      <c r="V8" s="6"/>
      <c r="W8" s="157"/>
      <c r="X8" s="157"/>
      <c r="Y8" s="147"/>
      <c r="Z8" s="157" t="str">
        <f t="shared" ca="1" si="4"/>
        <v/>
      </c>
      <c r="AA8" s="157" t="str">
        <f t="shared" ca="1" si="4"/>
        <v/>
      </c>
      <c r="AB8" s="157" t="str">
        <f t="shared" ca="1" si="4"/>
        <v/>
      </c>
      <c r="AC8" s="20" t="str">
        <f t="shared" ca="1" si="5"/>
        <v/>
      </c>
      <c r="AD8" s="6"/>
      <c r="AE8" s="6"/>
    </row>
    <row r="9" spans="1:31" x14ac:dyDescent="0.25">
      <c r="A9" s="148">
        <f>A7+1</f>
        <v>4</v>
      </c>
      <c r="B9" s="149">
        <f>IF(ISNA(MATCH($A9,Score!A$4:A$41,0)),"",MATCH($A9,Score!A$4:A$41,0)+ROW(Score!A$3))</f>
        <v>8</v>
      </c>
      <c r="C9" s="150" t="str">
        <f t="shared" ca="1" si="0"/>
        <v>202</v>
      </c>
      <c r="D9" s="149">
        <f t="shared" ca="1" si="0"/>
        <v>8</v>
      </c>
      <c r="E9" s="148">
        <f ca="1">IF(B9="","",SUM(D9,D10))</f>
        <v>8</v>
      </c>
      <c r="F9" s="148">
        <f ca="1">IF(B9="","",E9-U9)</f>
        <v>4</v>
      </c>
      <c r="G9" s="151">
        <f ca="1">IF($B9="","",IF(ISBLANK(INDIRECT(ADDRESS($B9,G$1,1,,"Score"))),"",1))</f>
        <v>1</v>
      </c>
      <c r="H9" s="151">
        <f ca="1">IF($B9="","",IF(ISBLANK(INDIRECT(ADDRESS($B9,H$1,1,,"Score"))),"",1))</f>
        <v>1</v>
      </c>
      <c r="I9" s="153">
        <f ca="1">IF(H9=1,F9,"")</f>
        <v>4</v>
      </c>
      <c r="J9" s="151" t="str">
        <f t="shared" ca="1" si="1"/>
        <v/>
      </c>
      <c r="K9" s="151" t="str">
        <f t="shared" ca="1" si="1"/>
        <v/>
      </c>
      <c r="L9" s="151" t="str">
        <f t="shared" ca="1" si="1"/>
        <v/>
      </c>
      <c r="M9" s="149">
        <f t="shared" ca="1" si="2"/>
        <v>3</v>
      </c>
      <c r="N9" s="6">
        <f ca="1">IF(ISNA(MATCH($A9,'Game Clock'!A$11:A$48,0)),"",INDIRECT(ADDRESS(MATCH($A9,'Game Clock'!A$11:A$48,0)+ROW('Game Clock'!A$10),N$1,1,,"Game Clock")))</f>
        <v>120</v>
      </c>
      <c r="O9" s="148">
        <f ca="1">IF(OR(N9="",N9=0),"",60*E9/N9)</f>
        <v>4</v>
      </c>
      <c r="Q9" s="148">
        <f>Q7+1</f>
        <v>4</v>
      </c>
      <c r="R9" s="149">
        <f>IF(ISNA(MATCH($Q9,Score!T$4:T$41,0)),"",MATCH($Q9,Score!T$4:T$41,0)++ROW(Score!T$3))</f>
        <v>8</v>
      </c>
      <c r="S9" s="150" t="str">
        <f t="shared" ca="1" si="3"/>
        <v>223</v>
      </c>
      <c r="T9" s="149">
        <f t="shared" ca="1" si="3"/>
        <v>0</v>
      </c>
      <c r="U9" s="148">
        <f ca="1">IF(R9="","",SUM(T9,T10))</f>
        <v>4</v>
      </c>
      <c r="V9" s="148">
        <f ca="1">IF(R9="","",U9-E9)</f>
        <v>-4</v>
      </c>
      <c r="W9" s="151" t="str">
        <f ca="1">IF($R9="","",IF(ISBLANK(INDIRECT(ADDRESS($R9,W$1,1,,"Score"))),"",1))</f>
        <v/>
      </c>
      <c r="X9" s="151" t="str">
        <f ca="1">IF($R9="","",IF(ISBLANK(INDIRECT(ADDRESS($R9,X$1,1,,"Score"))),"",1))</f>
        <v/>
      </c>
      <c r="Y9" s="153" t="str">
        <f ca="1">IF(X9=1,V9,"")</f>
        <v/>
      </c>
      <c r="Z9" s="151" t="str">
        <f t="shared" ca="1" si="4"/>
        <v/>
      </c>
      <c r="AA9" s="151" t="str">
        <f t="shared" ca="1" si="4"/>
        <v/>
      </c>
      <c r="AB9" s="151">
        <f t="shared" ca="1" si="4"/>
        <v>1</v>
      </c>
      <c r="AC9" s="149">
        <f t="shared" ca="1" si="5"/>
        <v>0</v>
      </c>
      <c r="AD9" s="148">
        <f ca="1">N9</f>
        <v>120</v>
      </c>
      <c r="AE9" s="148">
        <f ca="1">IF(OR(AD9="",AD9=0),"",60*U9/AD9)</f>
        <v>2</v>
      </c>
    </row>
    <row r="10" spans="1:31" x14ac:dyDescent="0.3">
      <c r="A10" s="148"/>
      <c r="B10" s="149" t="str">
        <f ca="1">IF($B9="","",IF(INDIRECT(ADDRESS($B9+1,C$1-1,1,,"Score"))="SP",$B9+1,""))</f>
        <v/>
      </c>
      <c r="C10" s="150" t="str">
        <f t="shared" ca="1" si="0"/>
        <v/>
      </c>
      <c r="D10" s="149" t="str">
        <f t="shared" ca="1" si="0"/>
        <v/>
      </c>
      <c r="E10" s="148"/>
      <c r="F10" s="148"/>
      <c r="G10" s="151"/>
      <c r="H10" s="152"/>
      <c r="I10" s="153"/>
      <c r="J10" s="151" t="str">
        <f t="shared" ca="1" si="1"/>
        <v/>
      </c>
      <c r="K10" s="151" t="str">
        <f t="shared" ca="1" si="1"/>
        <v/>
      </c>
      <c r="L10" s="151" t="str">
        <f t="shared" ca="1" si="1"/>
        <v/>
      </c>
      <c r="M10" s="149" t="str">
        <f t="shared" ca="1" si="2"/>
        <v/>
      </c>
      <c r="N10" s="148"/>
      <c r="O10" s="148"/>
      <c r="Q10" s="148"/>
      <c r="R10" s="149">
        <f ca="1">IF($R9="","",IF(INDIRECT(ADDRESS($R9+1,S$1-1,1,,"Score"))="SP",$R9+1,""))</f>
        <v>9</v>
      </c>
      <c r="S10" s="150" t="str">
        <f t="shared" ca="1" si="3"/>
        <v>219</v>
      </c>
      <c r="T10" s="149">
        <f t="shared" ca="1" si="3"/>
        <v>4</v>
      </c>
      <c r="U10" s="148"/>
      <c r="V10" s="148"/>
      <c r="W10" s="151"/>
      <c r="X10" s="152"/>
      <c r="Y10" s="153"/>
      <c r="Z10" s="151" t="str">
        <f t="shared" ca="1" si="4"/>
        <v/>
      </c>
      <c r="AA10" s="151" t="str">
        <f t="shared" ca="1" si="4"/>
        <v/>
      </c>
      <c r="AB10" s="151" t="str">
        <f t="shared" ca="1" si="4"/>
        <v/>
      </c>
      <c r="AC10" s="149">
        <f t="shared" ca="1" si="5"/>
        <v>2</v>
      </c>
      <c r="AD10" s="148"/>
      <c r="AE10" s="148"/>
    </row>
    <row r="11" spans="1:31" x14ac:dyDescent="0.25">
      <c r="A11" s="6">
        <f>A9+1</f>
        <v>5</v>
      </c>
      <c r="B11" s="20">
        <f>IF(ISNA(MATCH($A11,Score!A$4:A$41,0)),"",MATCH($A11,Score!A$4:A$41,0)+ROW(Score!A$3))</f>
        <v>10</v>
      </c>
      <c r="C11" s="89" t="str">
        <f t="shared" ca="1" si="0"/>
        <v>123</v>
      </c>
      <c r="D11" s="20">
        <f t="shared" ca="1" si="0"/>
        <v>8</v>
      </c>
      <c r="E11" s="6">
        <f ca="1">IF(B11="","",SUM(D11,D12))</f>
        <v>8</v>
      </c>
      <c r="F11" s="6">
        <f ca="1">IF(B11="","",E11-U11)</f>
        <v>8</v>
      </c>
      <c r="G11" s="157" t="str">
        <f ca="1">IF($B11="","",IF(ISBLANK(INDIRECT(ADDRESS($B11,G$1,1,,"Score"))),"",1))</f>
        <v/>
      </c>
      <c r="H11" s="157">
        <f ca="1">IF($B11="","",IF(ISBLANK(INDIRECT(ADDRESS($B11,H$1,1,,"Score"))),"",1))</f>
        <v>1</v>
      </c>
      <c r="I11" s="147">
        <f ca="1">IF(H11=1,F11,"")</f>
        <v>8</v>
      </c>
      <c r="J11" s="157" t="str">
        <f t="shared" ca="1" si="1"/>
        <v/>
      </c>
      <c r="K11" s="157" t="str">
        <f t="shared" ca="1" si="1"/>
        <v/>
      </c>
      <c r="L11" s="157" t="str">
        <f t="shared" ca="1" si="1"/>
        <v/>
      </c>
      <c r="M11" s="20">
        <f t="shared" ca="1" si="2"/>
        <v>3</v>
      </c>
      <c r="N11" s="6">
        <f ca="1">IF(ISNA(MATCH($A11,'Game Clock'!A$11:A$48,0)),"",INDIRECT(ADDRESS(MATCH($A11,'Game Clock'!A$11:A$48,0)+ROW('Game Clock'!A$10),N$1,1,,"Game Clock")))</f>
        <v>120</v>
      </c>
      <c r="O11" s="6">
        <f ca="1">IF(OR(N11="",N11=0),"",60*E11/N11)</f>
        <v>4</v>
      </c>
      <c r="Q11" s="6">
        <f>Q9+1</f>
        <v>5</v>
      </c>
      <c r="R11" s="20">
        <f>IF(ISNA(MATCH($Q11,Score!T$4:T$41,0)),"",MATCH($Q11,Score!T$4:T$41,0)++ROW(Score!T$3))</f>
        <v>10</v>
      </c>
      <c r="S11" s="89" t="str">
        <f t="shared" ca="1" si="3"/>
        <v>23</v>
      </c>
      <c r="T11" s="20">
        <f t="shared" ca="1" si="3"/>
        <v>0</v>
      </c>
      <c r="U11" s="6">
        <f ca="1">IF(R11="","",SUM(T11,T12))</f>
        <v>0</v>
      </c>
      <c r="V11" s="6">
        <f ca="1">IF(R11="","",U11-E11)</f>
        <v>-8</v>
      </c>
      <c r="W11" s="157" t="str">
        <f ca="1">IF($R11="","",IF(ISBLANK(INDIRECT(ADDRESS($R11,W$1,1,,"Score"))),"",1))</f>
        <v/>
      </c>
      <c r="X11" s="157" t="str">
        <f ca="1">IF($R11="","",IF(ISBLANK(INDIRECT(ADDRESS($R11,X$1,1,,"Score"))),"",1))</f>
        <v/>
      </c>
      <c r="Y11" s="147" t="str">
        <f ca="1">IF(X11=1,V11,"")</f>
        <v/>
      </c>
      <c r="Z11" s="157" t="str">
        <f t="shared" ca="1" si="4"/>
        <v/>
      </c>
      <c r="AA11" s="157" t="str">
        <f t="shared" ca="1" si="4"/>
        <v/>
      </c>
      <c r="AB11" s="157">
        <f t="shared" ca="1" si="4"/>
        <v>1</v>
      </c>
      <c r="AC11" s="20">
        <f t="shared" ca="1" si="5"/>
        <v>0</v>
      </c>
      <c r="AD11" s="6">
        <f ca="1">N11</f>
        <v>120</v>
      </c>
      <c r="AE11" s="6">
        <f ca="1">IF(OR(AD11="",AD11=0),"",60*U11/AD11)</f>
        <v>0</v>
      </c>
    </row>
    <row r="12" spans="1:31" x14ac:dyDescent="0.25">
      <c r="A12" s="6"/>
      <c r="B12" s="20" t="str">
        <f ca="1">IF($B11="","",IF(INDIRECT(ADDRESS($B11+1,C$1-1,1,,"Score"))="SP",$B11+1,""))</f>
        <v/>
      </c>
      <c r="C12" s="89" t="str">
        <f t="shared" ca="1" si="0"/>
        <v/>
      </c>
      <c r="D12" s="20" t="str">
        <f t="shared" ca="1" si="0"/>
        <v/>
      </c>
      <c r="E12" s="6"/>
      <c r="F12" s="6"/>
      <c r="G12" s="157"/>
      <c r="H12" s="157"/>
      <c r="I12" s="147"/>
      <c r="J12" s="157" t="str">
        <f t="shared" ca="1" si="1"/>
        <v/>
      </c>
      <c r="K12" s="157" t="str">
        <f t="shared" ca="1" si="1"/>
        <v/>
      </c>
      <c r="L12" s="157" t="str">
        <f t="shared" ca="1" si="1"/>
        <v/>
      </c>
      <c r="M12" s="20" t="str">
        <f t="shared" ca="1" si="2"/>
        <v/>
      </c>
      <c r="N12" s="6"/>
      <c r="O12" s="6"/>
      <c r="Q12" s="6"/>
      <c r="R12" s="20" t="str">
        <f ca="1">IF($R11="","",IF(INDIRECT(ADDRESS($R11+1,S$1-1,1,,"Score"))="SP",$R11+1,""))</f>
        <v/>
      </c>
      <c r="S12" s="89" t="str">
        <f t="shared" ca="1" si="3"/>
        <v/>
      </c>
      <c r="T12" s="20" t="str">
        <f t="shared" ca="1" si="3"/>
        <v/>
      </c>
      <c r="U12" s="6"/>
      <c r="V12" s="6"/>
      <c r="W12" s="157"/>
      <c r="X12" s="157"/>
      <c r="Y12" s="147"/>
      <c r="Z12" s="157" t="str">
        <f t="shared" ca="1" si="4"/>
        <v/>
      </c>
      <c r="AA12" s="157" t="str">
        <f t="shared" ca="1" si="4"/>
        <v/>
      </c>
      <c r="AB12" s="157" t="str">
        <f t="shared" ca="1" si="4"/>
        <v/>
      </c>
      <c r="AC12" s="20" t="str">
        <f t="shared" ca="1" si="5"/>
        <v/>
      </c>
      <c r="AD12" s="6"/>
      <c r="AE12" s="6"/>
    </row>
    <row r="13" spans="1:31" x14ac:dyDescent="0.25">
      <c r="A13" s="148">
        <f>A11+1</f>
        <v>6</v>
      </c>
      <c r="B13" s="149">
        <f>IF(ISNA(MATCH($A13,Score!A$4:A$41,0)),"",MATCH($A13,Score!A$4:A$41,0)+ROW(Score!A$3))</f>
        <v>11</v>
      </c>
      <c r="C13" s="150" t="str">
        <f t="shared" ca="1" si="0"/>
        <v>352</v>
      </c>
      <c r="D13" s="149">
        <f t="shared" ca="1" si="0"/>
        <v>0</v>
      </c>
      <c r="E13" s="148">
        <f ca="1">IF(B13="","",SUM(D13,D14))</f>
        <v>0</v>
      </c>
      <c r="F13" s="148">
        <f ca="1">IF(B13="","",E13-U13)</f>
        <v>0</v>
      </c>
      <c r="G13" s="151" t="str">
        <f ca="1">IF($B13="","",IF(ISBLANK(INDIRECT(ADDRESS($B13,G$1,1,,"Score"))),"",1))</f>
        <v/>
      </c>
      <c r="H13" s="151">
        <f ca="1">IF($B13="","",IF(ISBLANK(INDIRECT(ADDRESS($B13,H$1,1,,"Score"))),"",1))</f>
        <v>1</v>
      </c>
      <c r="I13" s="153">
        <f ca="1">IF(H13=1,F13,"")</f>
        <v>0</v>
      </c>
      <c r="J13" s="151">
        <f t="shared" ca="1" si="1"/>
        <v>1</v>
      </c>
      <c r="K13" s="151" t="str">
        <f t="shared" ca="1" si="1"/>
        <v/>
      </c>
      <c r="L13" s="151" t="str">
        <f t="shared" ca="1" si="1"/>
        <v/>
      </c>
      <c r="M13" s="149">
        <f t="shared" ca="1" si="2"/>
        <v>1</v>
      </c>
      <c r="N13" s="6">
        <f ca="1">IF(ISNA(MATCH($A13,'Game Clock'!A$11:A$48,0)),"",INDIRECT(ADDRESS(MATCH($A13,'Game Clock'!A$11:A$48,0)+ROW('Game Clock'!A$10),N$1,1,,"Game Clock")))</f>
        <v>18</v>
      </c>
      <c r="O13" s="148">
        <f ca="1">IF(OR(N13="",N13=0),"",60*E13/N13)</f>
        <v>0</v>
      </c>
      <c r="Q13" s="148">
        <f>Q11+1</f>
        <v>6</v>
      </c>
      <c r="R13" s="149">
        <f>IF(ISNA(MATCH($Q13,Score!T$4:T$41,0)),"",MATCH($Q13,Score!T$4:T$41,0)++ROW(Score!T$3))</f>
        <v>11</v>
      </c>
      <c r="S13" s="150" t="str">
        <f t="shared" ca="1" si="3"/>
        <v>12</v>
      </c>
      <c r="T13" s="149">
        <f t="shared" ca="1" si="3"/>
        <v>0</v>
      </c>
      <c r="U13" s="148">
        <f ca="1">IF(R13="","",SUM(T13,T14))</f>
        <v>0</v>
      </c>
      <c r="V13" s="148">
        <f ca="1">IF(R13="","",U13-E13)</f>
        <v>0</v>
      </c>
      <c r="W13" s="151" t="str">
        <f ca="1">IF($R13="","",IF(ISBLANK(INDIRECT(ADDRESS($R13,W$1,1,,"Score"))),"",1))</f>
        <v/>
      </c>
      <c r="X13" s="151" t="str">
        <f ca="1">IF($R13="","",IF(ISBLANK(INDIRECT(ADDRESS($R13,X$1,1,,"Score"))),"",1))</f>
        <v/>
      </c>
      <c r="Y13" s="153" t="str">
        <f ca="1">IF(X13=1,V13,"")</f>
        <v/>
      </c>
      <c r="Z13" s="151" t="str">
        <f t="shared" ca="1" si="4"/>
        <v/>
      </c>
      <c r="AA13" s="151" t="str">
        <f t="shared" ca="1" si="4"/>
        <v/>
      </c>
      <c r="AB13" s="151" t="str">
        <f t="shared" ca="1" si="4"/>
        <v/>
      </c>
      <c r="AC13" s="149">
        <f t="shared" ca="1" si="5"/>
        <v>1</v>
      </c>
      <c r="AD13" s="148">
        <f ca="1">N13</f>
        <v>18</v>
      </c>
      <c r="AE13" s="148">
        <f ca="1">IF(OR(AD13="",AD13=0),"",60*U13/AD13)</f>
        <v>0</v>
      </c>
    </row>
    <row r="14" spans="1:31" x14ac:dyDescent="0.3">
      <c r="A14" s="148"/>
      <c r="B14" s="149" t="str">
        <f ca="1">IF($B13="","",IF(INDIRECT(ADDRESS($B13+1,C$1-1,1,,"Score"))="SP",$B13+1,""))</f>
        <v/>
      </c>
      <c r="C14" s="150" t="str">
        <f t="shared" ca="1" si="0"/>
        <v/>
      </c>
      <c r="D14" s="149" t="str">
        <f t="shared" ca="1" si="0"/>
        <v/>
      </c>
      <c r="E14" s="148"/>
      <c r="F14" s="148"/>
      <c r="G14" s="151"/>
      <c r="H14" s="152"/>
      <c r="I14" s="153"/>
      <c r="J14" s="151" t="str">
        <f t="shared" ca="1" si="1"/>
        <v/>
      </c>
      <c r="K14" s="151" t="str">
        <f t="shared" ca="1" si="1"/>
        <v/>
      </c>
      <c r="L14" s="151" t="str">
        <f t="shared" ca="1" si="1"/>
        <v/>
      </c>
      <c r="M14" s="149" t="str">
        <f t="shared" ca="1" si="2"/>
        <v/>
      </c>
      <c r="N14" s="148"/>
      <c r="O14" s="148"/>
      <c r="Q14" s="148"/>
      <c r="R14" s="149" t="str">
        <f ca="1">IF($R13="","",IF(INDIRECT(ADDRESS($R13+1,S$1-1,1,,"Score"))="SP",$R13+1,""))</f>
        <v/>
      </c>
      <c r="S14" s="150" t="str">
        <f t="shared" ca="1" si="3"/>
        <v/>
      </c>
      <c r="T14" s="149" t="str">
        <f t="shared" ca="1" si="3"/>
        <v/>
      </c>
      <c r="U14" s="148"/>
      <c r="V14" s="148"/>
      <c r="W14" s="151"/>
      <c r="X14" s="152"/>
      <c r="Y14" s="153"/>
      <c r="Z14" s="151" t="str">
        <f t="shared" ca="1" si="4"/>
        <v/>
      </c>
      <c r="AA14" s="151" t="str">
        <f t="shared" ca="1" si="4"/>
        <v/>
      </c>
      <c r="AB14" s="151" t="str">
        <f t="shared" ca="1" si="4"/>
        <v/>
      </c>
      <c r="AC14" s="149" t="str">
        <f t="shared" ca="1" si="5"/>
        <v/>
      </c>
      <c r="AD14" s="148"/>
      <c r="AE14" s="148"/>
    </row>
    <row r="15" spans="1:31" x14ac:dyDescent="0.25">
      <c r="A15" s="6">
        <f>A13+1</f>
        <v>7</v>
      </c>
      <c r="B15" s="20">
        <f>IF(ISNA(MATCH($A15,Score!A$4:A$41,0)),"",MATCH($A15,Score!A$4:A$41,0)+ROW(Score!A$3))</f>
        <v>12</v>
      </c>
      <c r="C15" s="89" t="str">
        <f t="shared" ca="1" si="0"/>
        <v>202</v>
      </c>
      <c r="D15" s="20">
        <f t="shared" ca="1" si="0"/>
        <v>8</v>
      </c>
      <c r="E15" s="6">
        <f ca="1">IF(B15="","",SUM(D15,D16))</f>
        <v>8</v>
      </c>
      <c r="F15" s="6">
        <f ca="1">IF(B15="","",E15-U15)</f>
        <v>8</v>
      </c>
      <c r="G15" s="157" t="str">
        <f ca="1">IF($B15="","",IF(ISBLANK(INDIRECT(ADDRESS($B15,G$1,1,,"Score"))),"",1))</f>
        <v/>
      </c>
      <c r="H15" s="157">
        <f ca="1">IF($B15="","",IF(ISBLANK(INDIRECT(ADDRESS($B15,H$1,1,,"Score"))),"",1))</f>
        <v>1</v>
      </c>
      <c r="I15" s="147">
        <f ca="1">IF(H15=1,F15,"")</f>
        <v>8</v>
      </c>
      <c r="J15" s="157" t="str">
        <f t="shared" ca="1" si="1"/>
        <v/>
      </c>
      <c r="K15" s="157" t="str">
        <f t="shared" ca="1" si="1"/>
        <v/>
      </c>
      <c r="L15" s="157" t="str">
        <f t="shared" ca="1" si="1"/>
        <v/>
      </c>
      <c r="M15" s="20">
        <f t="shared" ca="1" si="2"/>
        <v>2</v>
      </c>
      <c r="N15" s="6">
        <f ca="1">IF(ISNA(MATCH($A15,'Game Clock'!A$11:A$48,0)),"",INDIRECT(ADDRESS(MATCH($A15,'Game Clock'!A$11:A$48,0)+ROW('Game Clock'!A$10),N$1,1,,"Game Clock")))</f>
        <v>120</v>
      </c>
      <c r="O15" s="6">
        <f ca="1">IF(OR(N15="",N15=0),"",60*E15/N15)</f>
        <v>4</v>
      </c>
      <c r="Q15" s="6">
        <f>Q13+1</f>
        <v>7</v>
      </c>
      <c r="R15" s="20">
        <f>IF(ISNA(MATCH($Q15,Score!T$4:T$41,0)),"",MATCH($Q15,Score!T$4:T$41,0)++ROW(Score!T$3))</f>
        <v>12</v>
      </c>
      <c r="S15" s="89" t="str">
        <f t="shared" ca="1" si="3"/>
        <v>49</v>
      </c>
      <c r="T15" s="20">
        <f t="shared" ca="1" si="3"/>
        <v>0</v>
      </c>
      <c r="U15" s="6">
        <f ca="1">IF(R15="","",SUM(T15,T16))</f>
        <v>0</v>
      </c>
      <c r="V15" s="6">
        <f ca="1">IF(R15="","",U15-E15)</f>
        <v>-8</v>
      </c>
      <c r="W15" s="157" t="str">
        <f ca="1">IF($R15="","",IF(ISBLANK(INDIRECT(ADDRESS($R15,W$1,1,,"Score"))),"",1))</f>
        <v/>
      </c>
      <c r="X15" s="157" t="str">
        <f ca="1">IF($R15="","",IF(ISBLANK(INDIRECT(ADDRESS($R15,X$1,1,,"Score"))),"",1))</f>
        <v/>
      </c>
      <c r="Y15" s="147" t="str">
        <f ca="1">IF(X15=1,V15,"")</f>
        <v/>
      </c>
      <c r="Z15" s="157" t="str">
        <f t="shared" ca="1" si="4"/>
        <v/>
      </c>
      <c r="AA15" s="157" t="str">
        <f t="shared" ca="1" si="4"/>
        <v/>
      </c>
      <c r="AB15" s="157">
        <f t="shared" ca="1" si="4"/>
        <v>1</v>
      </c>
      <c r="AC15" s="20">
        <f t="shared" ca="1" si="5"/>
        <v>0</v>
      </c>
      <c r="AD15" s="6">
        <f ca="1">N15</f>
        <v>120</v>
      </c>
      <c r="AE15" s="6">
        <f ca="1">IF(OR(AD15="",AD15=0),"",60*U15/AD15)</f>
        <v>0</v>
      </c>
    </row>
    <row r="16" spans="1:31" x14ac:dyDescent="0.25">
      <c r="A16" s="6"/>
      <c r="B16" s="20" t="str">
        <f ca="1">IF($B15="","",IF(INDIRECT(ADDRESS($B15+1,C$1-1,1,,"Score"))="SP",$B15+1,""))</f>
        <v/>
      </c>
      <c r="C16" s="89" t="str">
        <f t="shared" ca="1" si="0"/>
        <v/>
      </c>
      <c r="D16" s="20" t="str">
        <f t="shared" ca="1" si="0"/>
        <v/>
      </c>
      <c r="E16" s="6"/>
      <c r="F16" s="6"/>
      <c r="G16" s="157"/>
      <c r="H16" s="157"/>
      <c r="I16" s="147"/>
      <c r="J16" s="157" t="str">
        <f t="shared" ca="1" si="1"/>
        <v/>
      </c>
      <c r="K16" s="157" t="str">
        <f t="shared" ca="1" si="1"/>
        <v/>
      </c>
      <c r="L16" s="157" t="str">
        <f t="shared" ca="1" si="1"/>
        <v/>
      </c>
      <c r="M16" s="20" t="str">
        <f t="shared" ca="1" si="2"/>
        <v/>
      </c>
      <c r="N16" s="6"/>
      <c r="O16" s="6"/>
      <c r="Q16" s="6"/>
      <c r="R16" s="20">
        <f ca="1">IF($R15="","",IF(INDIRECT(ADDRESS($R15+1,S$1-1,1,,"Score"))="SP",$R15+1,""))</f>
        <v>13</v>
      </c>
      <c r="S16" s="89" t="str">
        <f t="shared" ca="1" si="3"/>
        <v>800</v>
      </c>
      <c r="T16" s="20">
        <f t="shared" ca="1" si="3"/>
        <v>0</v>
      </c>
      <c r="U16" s="6"/>
      <c r="V16" s="6"/>
      <c r="W16" s="157"/>
      <c r="X16" s="157"/>
      <c r="Y16" s="147"/>
      <c r="Z16" s="157" t="str">
        <f t="shared" ca="1" si="4"/>
        <v/>
      </c>
      <c r="AA16" s="157" t="str">
        <f t="shared" ca="1" si="4"/>
        <v/>
      </c>
      <c r="AB16" s="157">
        <f t="shared" ca="1" si="4"/>
        <v>1</v>
      </c>
      <c r="AC16" s="20">
        <f t="shared" ca="1" si="5"/>
        <v>0</v>
      </c>
      <c r="AD16" s="6"/>
      <c r="AE16" s="6"/>
    </row>
    <row r="17" spans="1:31" x14ac:dyDescent="0.25">
      <c r="A17" s="148">
        <f>A15+1</f>
        <v>8</v>
      </c>
      <c r="B17" s="149">
        <f>IF(ISNA(MATCH($A17,Score!A$4:A$41,0)),"",MATCH($A17,Score!A$4:A$41,0)+ROW(Score!A$3))</f>
        <v>14</v>
      </c>
      <c r="C17" s="150" t="str">
        <f t="shared" ca="1" si="0"/>
        <v>22</v>
      </c>
      <c r="D17" s="149">
        <f t="shared" ca="1" si="0"/>
        <v>0</v>
      </c>
      <c r="E17" s="148">
        <f ca="1">IF(B17="","",SUM(D17,D18))</f>
        <v>0</v>
      </c>
      <c r="F17" s="148">
        <f ca="1">IF(B17="","",E17-U17)</f>
        <v>-4</v>
      </c>
      <c r="G17" s="151" t="str">
        <f ca="1">IF($B17="","",IF(ISBLANK(INDIRECT(ADDRESS($B17,G$1,1,,"Score"))),"",1))</f>
        <v/>
      </c>
      <c r="H17" s="151" t="str">
        <f ca="1">IF($B17="","",IF(ISBLANK(INDIRECT(ADDRESS($B17,H$1,1,,"Score"))),"",1))</f>
        <v/>
      </c>
      <c r="I17" s="153" t="str">
        <f ca="1">IF(H17=1,F17,"")</f>
        <v/>
      </c>
      <c r="J17" s="151" t="str">
        <f t="shared" ca="1" si="1"/>
        <v/>
      </c>
      <c r="K17" s="151" t="str">
        <f t="shared" ca="1" si="1"/>
        <v/>
      </c>
      <c r="L17" s="151">
        <f t="shared" ca="1" si="1"/>
        <v>1</v>
      </c>
      <c r="M17" s="149">
        <f t="shared" ca="1" si="2"/>
        <v>0</v>
      </c>
      <c r="N17" s="6">
        <f ca="1">IF(ISNA(MATCH($A17,'Game Clock'!A$11:A$48,0)),"",INDIRECT(ADDRESS(MATCH($A17,'Game Clock'!A$11:A$48,0)+ROW('Game Clock'!A$10),N$1,1,,"Game Clock")))</f>
        <v>76</v>
      </c>
      <c r="O17" s="148">
        <f ca="1">IF(OR(N17="",N17=0),"",60*E17/N17)</f>
        <v>0</v>
      </c>
      <c r="Q17" s="148">
        <f>Q15+1</f>
        <v>8</v>
      </c>
      <c r="R17" s="149">
        <f>IF(ISNA(MATCH($Q17,Score!T$4:T$41,0)),"",MATCH($Q17,Score!T$4:T$41,0)++ROW(Score!T$3))</f>
        <v>14</v>
      </c>
      <c r="S17" s="150" t="str">
        <f t="shared" ca="1" si="3"/>
        <v>23</v>
      </c>
      <c r="T17" s="149">
        <f t="shared" ca="1" si="3"/>
        <v>4</v>
      </c>
      <c r="U17" s="148">
        <f ca="1">IF(R17="","",SUM(T17,T18))</f>
        <v>4</v>
      </c>
      <c r="V17" s="148">
        <f ca="1">IF(R17="","",U17-E17)</f>
        <v>4</v>
      </c>
      <c r="W17" s="151" t="str">
        <f ca="1">IF($R17="","",IF(ISBLANK(INDIRECT(ADDRESS($R17,W$1,1,,"Score"))),"",1))</f>
        <v/>
      </c>
      <c r="X17" s="151">
        <f ca="1">IF($R17="","",IF(ISBLANK(INDIRECT(ADDRESS($R17,X$1,1,,"Score"))),"",1))</f>
        <v>1</v>
      </c>
      <c r="Y17" s="153">
        <f ca="1">IF(X17=1,V17,"")</f>
        <v>4</v>
      </c>
      <c r="Z17" s="151">
        <f t="shared" ca="1" si="4"/>
        <v>1</v>
      </c>
      <c r="AA17" s="151" t="str">
        <f t="shared" ca="1" si="4"/>
        <v/>
      </c>
      <c r="AB17" s="151" t="str">
        <f t="shared" ca="1" si="4"/>
        <v/>
      </c>
      <c r="AC17" s="149">
        <f t="shared" ca="1" si="5"/>
        <v>1</v>
      </c>
      <c r="AD17" s="148">
        <f ca="1">N17</f>
        <v>76</v>
      </c>
      <c r="AE17" s="148">
        <f ca="1">IF(OR(AD17="",AD17=0),"",60*U17/AD17)</f>
        <v>3.1578947368421053</v>
      </c>
    </row>
    <row r="18" spans="1:31" x14ac:dyDescent="0.3">
      <c r="A18" s="148"/>
      <c r="B18" s="149">
        <f ca="1">IF($B17="","",IF(INDIRECT(ADDRESS($B17+1,C$1-1,1,,"Score"))="SP",$B17+1,""))</f>
        <v>15</v>
      </c>
      <c r="C18" s="150" t="str">
        <f t="shared" ca="1" si="0"/>
        <v>84</v>
      </c>
      <c r="D18" s="149">
        <f t="shared" ca="1" si="0"/>
        <v>0</v>
      </c>
      <c r="E18" s="148"/>
      <c r="F18" s="148"/>
      <c r="G18" s="151"/>
      <c r="H18" s="152"/>
      <c r="I18" s="153"/>
      <c r="J18" s="151" t="str">
        <f t="shared" ca="1" si="1"/>
        <v/>
      </c>
      <c r="K18" s="151" t="str">
        <f t="shared" ca="1" si="1"/>
        <v/>
      </c>
      <c r="L18" s="151">
        <f t="shared" ca="1" si="1"/>
        <v>1</v>
      </c>
      <c r="M18" s="149">
        <f t="shared" ca="1" si="2"/>
        <v>0</v>
      </c>
      <c r="N18" s="148"/>
      <c r="O18" s="148"/>
      <c r="Q18" s="148"/>
      <c r="R18" s="149" t="str">
        <f ca="1">IF($R17="","",IF(INDIRECT(ADDRESS($R17+1,S$1-1,1,,"Score"))="SP",$R17+1,""))</f>
        <v/>
      </c>
      <c r="S18" s="150" t="str">
        <f t="shared" ca="1" si="3"/>
        <v/>
      </c>
      <c r="T18" s="149" t="str">
        <f t="shared" ca="1" si="3"/>
        <v/>
      </c>
      <c r="U18" s="148"/>
      <c r="V18" s="148"/>
      <c r="W18" s="151"/>
      <c r="X18" s="152"/>
      <c r="Y18" s="153"/>
      <c r="Z18" s="151" t="str">
        <f t="shared" ca="1" si="4"/>
        <v/>
      </c>
      <c r="AA18" s="151" t="str">
        <f t="shared" ca="1" si="4"/>
        <v/>
      </c>
      <c r="AB18" s="151" t="str">
        <f t="shared" ca="1" si="4"/>
        <v/>
      </c>
      <c r="AC18" s="149" t="str">
        <f t="shared" ca="1" si="5"/>
        <v/>
      </c>
      <c r="AD18" s="148"/>
      <c r="AE18" s="148"/>
    </row>
    <row r="19" spans="1:31" x14ac:dyDescent="0.25">
      <c r="A19" s="6">
        <f>A17+1</f>
        <v>9</v>
      </c>
      <c r="B19" s="20">
        <f>IF(ISNA(MATCH($A19,Score!A$4:A$41,0)),"",MATCH($A19,Score!A$4:A$41,0)+ROW(Score!A$3))</f>
        <v>16</v>
      </c>
      <c r="C19" s="89" t="str">
        <f t="shared" ca="1" si="0"/>
        <v>352</v>
      </c>
      <c r="D19" s="20">
        <f t="shared" ca="1" si="0"/>
        <v>0</v>
      </c>
      <c r="E19" s="6">
        <f ca="1">IF(B19="","",SUM(D19,D20))</f>
        <v>0</v>
      </c>
      <c r="F19" s="6">
        <f ca="1">IF(B19="","",E19-U19)</f>
        <v>-4</v>
      </c>
      <c r="G19" s="157" t="str">
        <f ca="1">IF($B19="","",IF(ISBLANK(INDIRECT(ADDRESS($B19,G$1,1,,"Score"))),"",1))</f>
        <v/>
      </c>
      <c r="H19" s="157" t="str">
        <f ca="1">IF($B19="","",IF(ISBLANK(INDIRECT(ADDRESS($B19,H$1,1,,"Score"))),"",1))</f>
        <v/>
      </c>
      <c r="I19" s="147" t="str">
        <f ca="1">IF(H19=1,F19,"")</f>
        <v/>
      </c>
      <c r="J19" s="157" t="str">
        <f t="shared" ca="1" si="1"/>
        <v/>
      </c>
      <c r="K19" s="157" t="str">
        <f t="shared" ca="1" si="1"/>
        <v/>
      </c>
      <c r="L19" s="157" t="str">
        <f t="shared" ca="1" si="1"/>
        <v/>
      </c>
      <c r="M19" s="20">
        <f t="shared" ca="1" si="2"/>
        <v>1</v>
      </c>
      <c r="N19" s="6">
        <f ca="1">IF(ISNA(MATCH($A19,'Game Clock'!A$11:A$48,0)),"",INDIRECT(ADDRESS(MATCH($A19,'Game Clock'!A$11:A$48,0)+ROW('Game Clock'!A$10),N$1,1,,"Game Clock")))</f>
        <v>21</v>
      </c>
      <c r="O19" s="6">
        <f ca="1">IF(OR(N19="",N19=0),"",60*E19/N19)</f>
        <v>0</v>
      </c>
      <c r="Q19" s="6">
        <f>Q17+1</f>
        <v>9</v>
      </c>
      <c r="R19" s="20">
        <f>IF(ISNA(MATCH($Q19,Score!T$4:T$41,0)),"",MATCH($Q19,Score!T$4:T$41,0)++ROW(Score!T$3))</f>
        <v>16</v>
      </c>
      <c r="S19" s="89" t="str">
        <f t="shared" ca="1" si="3"/>
        <v>12</v>
      </c>
      <c r="T19" s="20">
        <f t="shared" ca="1" si="3"/>
        <v>4</v>
      </c>
      <c r="U19" s="6">
        <f ca="1">IF(R19="","",SUM(T19,T20))</f>
        <v>4</v>
      </c>
      <c r="V19" s="6">
        <f ca="1">IF(R19="","",U19-E19)</f>
        <v>4</v>
      </c>
      <c r="W19" s="157" t="str">
        <f ca="1">IF($R19="","",IF(ISBLANK(INDIRECT(ADDRESS($R19,W$1,1,,"Score"))),"",1))</f>
        <v/>
      </c>
      <c r="X19" s="157">
        <f ca="1">IF($R19="","",IF(ISBLANK(INDIRECT(ADDRESS($R19,X$1,1,,"Score"))),"",1))</f>
        <v>1</v>
      </c>
      <c r="Y19" s="147">
        <f ca="1">IF(X19=1,V19,"")</f>
        <v>4</v>
      </c>
      <c r="Z19" s="157">
        <f t="shared" ca="1" si="4"/>
        <v>1</v>
      </c>
      <c r="AA19" s="157" t="str">
        <f t="shared" ca="1" si="4"/>
        <v/>
      </c>
      <c r="AB19" s="157" t="str">
        <f t="shared" ca="1" si="4"/>
        <v/>
      </c>
      <c r="AC19" s="20">
        <f t="shared" ca="1" si="5"/>
        <v>1</v>
      </c>
      <c r="AD19" s="6">
        <f ca="1">N19</f>
        <v>21</v>
      </c>
      <c r="AE19" s="6">
        <f ca="1">IF(OR(AD19="",AD19=0),"",60*U19/AD19)</f>
        <v>11.428571428571429</v>
      </c>
    </row>
    <row r="20" spans="1:31" x14ac:dyDescent="0.25">
      <c r="A20" s="6"/>
      <c r="B20" s="20" t="str">
        <f ca="1">IF($B19="","",IF(INDIRECT(ADDRESS($B19+1,C$1-1,1,,"Score"))="SP",$B19+1,""))</f>
        <v/>
      </c>
      <c r="C20" s="89" t="str">
        <f t="shared" ca="1" si="0"/>
        <v/>
      </c>
      <c r="D20" s="20" t="str">
        <f t="shared" ca="1" si="0"/>
        <v/>
      </c>
      <c r="E20" s="6"/>
      <c r="F20" s="6"/>
      <c r="G20" s="157"/>
      <c r="H20" s="157"/>
      <c r="I20" s="147"/>
      <c r="J20" s="157" t="str">
        <f t="shared" ca="1" si="1"/>
        <v/>
      </c>
      <c r="K20" s="157" t="str">
        <f t="shared" ca="1" si="1"/>
        <v/>
      </c>
      <c r="L20" s="157" t="str">
        <f t="shared" ca="1" si="1"/>
        <v/>
      </c>
      <c r="M20" s="20" t="str">
        <f t="shared" ca="1" si="2"/>
        <v/>
      </c>
      <c r="N20" s="6"/>
      <c r="O20" s="6"/>
      <c r="Q20" s="6"/>
      <c r="R20" s="20" t="str">
        <f ca="1">IF($R19="","",IF(INDIRECT(ADDRESS($R19+1,S$1-1,1,,"Score"))="SP",$R19+1,""))</f>
        <v/>
      </c>
      <c r="S20" s="89" t="str">
        <f t="shared" ca="1" si="3"/>
        <v/>
      </c>
      <c r="T20" s="20" t="str">
        <f t="shared" ca="1" si="3"/>
        <v/>
      </c>
      <c r="U20" s="6"/>
      <c r="V20" s="6"/>
      <c r="W20" s="157"/>
      <c r="X20" s="157"/>
      <c r="Y20" s="147"/>
      <c r="Z20" s="157" t="str">
        <f t="shared" ca="1" si="4"/>
        <v/>
      </c>
      <c r="AA20" s="157" t="str">
        <f t="shared" ca="1" si="4"/>
        <v/>
      </c>
      <c r="AB20" s="157" t="str">
        <f t="shared" ca="1" si="4"/>
        <v/>
      </c>
      <c r="AC20" s="20" t="str">
        <f t="shared" ca="1" si="5"/>
        <v/>
      </c>
      <c r="AD20" s="6"/>
      <c r="AE20" s="6"/>
    </row>
    <row r="21" spans="1:31" x14ac:dyDescent="0.25">
      <c r="A21" s="148">
        <f>A19+1</f>
        <v>10</v>
      </c>
      <c r="B21" s="149">
        <f>IF(ISNA(MATCH($A21,Score!A$4:A$41,0)),"",MATCH($A21,Score!A$4:A$41,0)+ROW(Score!A$3))</f>
        <v>17</v>
      </c>
      <c r="C21" s="150" t="str">
        <f t="shared" ca="1" si="0"/>
        <v>123</v>
      </c>
      <c r="D21" s="149">
        <f t="shared" ca="1" si="0"/>
        <v>4</v>
      </c>
      <c r="E21" s="148">
        <f ca="1">IF(B21="","",SUM(D21,D22))</f>
        <v>4</v>
      </c>
      <c r="F21" s="148">
        <f ca="1">IF(B21="","",E21-U21)</f>
        <v>4</v>
      </c>
      <c r="G21" s="151" t="str">
        <f ca="1">IF($B21="","",IF(ISBLANK(INDIRECT(ADDRESS($B21,G$1,1,,"Score"))),"",1))</f>
        <v/>
      </c>
      <c r="H21" s="151">
        <f ca="1">IF($B21="","",IF(ISBLANK(INDIRECT(ADDRESS($B21,H$1,1,,"Score"))),"",1))</f>
        <v>1</v>
      </c>
      <c r="I21" s="153">
        <f ca="1">IF(H21=1,F21,"")</f>
        <v>4</v>
      </c>
      <c r="J21" s="151">
        <f t="shared" ca="1" si="1"/>
        <v>1</v>
      </c>
      <c r="K21" s="151" t="str">
        <f t="shared" ca="1" si="1"/>
        <v/>
      </c>
      <c r="L21" s="151" t="str">
        <f t="shared" ca="1" si="1"/>
        <v/>
      </c>
      <c r="M21" s="149">
        <f t="shared" ca="1" si="2"/>
        <v>2</v>
      </c>
      <c r="N21" s="6">
        <f ca="1">IF(ISNA(MATCH($A21,'Game Clock'!A$11:A$48,0)),"",INDIRECT(ADDRESS(MATCH($A21,'Game Clock'!A$11:A$48,0)+ROW('Game Clock'!A$10),N$1,1,,"Game Clock")))</f>
        <v>50</v>
      </c>
      <c r="O21" s="148">
        <f ca="1">IF(OR(N21="",N21=0),"",60*E21/N21)</f>
        <v>4.8</v>
      </c>
      <c r="Q21" s="148">
        <f>Q19+1</f>
        <v>10</v>
      </c>
      <c r="R21" s="149">
        <f>IF(ISNA(MATCH($Q21,Score!T$4:T$41,0)),"",MATCH($Q21,Score!T$4:T$41,0)++ROW(Score!T$3))</f>
        <v>17</v>
      </c>
      <c r="S21" s="150" t="str">
        <f t="shared" ca="1" si="3"/>
        <v>49</v>
      </c>
      <c r="T21" s="149">
        <f t="shared" ca="1" si="3"/>
        <v>0</v>
      </c>
      <c r="U21" s="148">
        <f ca="1">IF(R21="","",SUM(T21,T22))</f>
        <v>0</v>
      </c>
      <c r="V21" s="148">
        <f ca="1">IF(R21="","",U21-E21)</f>
        <v>-4</v>
      </c>
      <c r="W21" s="151" t="str">
        <f ca="1">IF($R21="","",IF(ISBLANK(INDIRECT(ADDRESS($R21,W$1,1,,"Score"))),"",1))</f>
        <v/>
      </c>
      <c r="X21" s="151" t="str">
        <f ca="1">IF($R21="","",IF(ISBLANK(INDIRECT(ADDRESS($R21,X$1,1,,"Score"))),"",1))</f>
        <v/>
      </c>
      <c r="Y21" s="153" t="str">
        <f ca="1">IF(X21=1,V21,"")</f>
        <v/>
      </c>
      <c r="Z21" s="151" t="str">
        <f t="shared" ca="1" si="4"/>
        <v/>
      </c>
      <c r="AA21" s="151" t="str">
        <f t="shared" ca="1" si="4"/>
        <v/>
      </c>
      <c r="AB21" s="151">
        <f t="shared" ca="1" si="4"/>
        <v>1</v>
      </c>
      <c r="AC21" s="149">
        <f t="shared" ca="1" si="5"/>
        <v>0</v>
      </c>
      <c r="AD21" s="148">
        <f ca="1">N21</f>
        <v>50</v>
      </c>
      <c r="AE21" s="148">
        <f ca="1">IF(OR(AD21="",AD21=0),"",60*U21/AD21)</f>
        <v>0</v>
      </c>
    </row>
    <row r="22" spans="1:31" x14ac:dyDescent="0.3">
      <c r="A22" s="148"/>
      <c r="B22" s="149" t="str">
        <f ca="1">IF($B21="","",IF(INDIRECT(ADDRESS($B21+1,C$1-1,1,,"Score"))="SP",$B21+1,""))</f>
        <v/>
      </c>
      <c r="C22" s="150" t="str">
        <f t="shared" ca="1" si="0"/>
        <v/>
      </c>
      <c r="D22" s="149" t="str">
        <f t="shared" ca="1" si="0"/>
        <v/>
      </c>
      <c r="E22" s="148"/>
      <c r="F22" s="148"/>
      <c r="G22" s="151"/>
      <c r="H22" s="152"/>
      <c r="I22" s="153"/>
      <c r="J22" s="151" t="str">
        <f t="shared" ca="1" si="1"/>
        <v/>
      </c>
      <c r="K22" s="151" t="str">
        <f t="shared" ca="1" si="1"/>
        <v/>
      </c>
      <c r="L22" s="151" t="str">
        <f t="shared" ca="1" si="1"/>
        <v/>
      </c>
      <c r="M22" s="149" t="str">
        <f t="shared" ca="1" si="2"/>
        <v/>
      </c>
      <c r="N22" s="148"/>
      <c r="O22" s="148"/>
      <c r="Q22" s="148"/>
      <c r="R22" s="149">
        <f ca="1">IF($R21="","",IF(INDIRECT(ADDRESS($R21+1,S$1-1,1,,"Score"))="SP",$R21+1,""))</f>
        <v>18</v>
      </c>
      <c r="S22" s="150" t="str">
        <f t="shared" ca="1" si="3"/>
        <v>25</v>
      </c>
      <c r="T22" s="149">
        <f t="shared" ca="1" si="3"/>
        <v>0</v>
      </c>
      <c r="U22" s="148"/>
      <c r="V22" s="148"/>
      <c r="W22" s="151"/>
      <c r="X22" s="152"/>
      <c r="Y22" s="153"/>
      <c r="Z22" s="151" t="str">
        <f t="shared" ca="1" si="4"/>
        <v/>
      </c>
      <c r="AA22" s="151" t="str">
        <f t="shared" ca="1" si="4"/>
        <v/>
      </c>
      <c r="AB22" s="151" t="str">
        <f t="shared" ca="1" si="4"/>
        <v/>
      </c>
      <c r="AC22" s="149">
        <f t="shared" ca="1" si="5"/>
        <v>1</v>
      </c>
      <c r="AD22" s="148"/>
      <c r="AE22" s="148"/>
    </row>
    <row r="23" spans="1:31" x14ac:dyDescent="0.25">
      <c r="A23" s="6">
        <f>A21+1</f>
        <v>11</v>
      </c>
      <c r="B23" s="20">
        <f>IF(ISNA(MATCH($A23,Score!A$4:A$41,0)),"",MATCH($A23,Score!A$4:A$41,0)+ROW(Score!A$3))</f>
        <v>19</v>
      </c>
      <c r="C23" s="89" t="str">
        <f t="shared" ref="C23:D42" ca="1" si="6">IF($B23="","",INDIRECT(ADDRESS($B23,C$1,1,,"Score")))</f>
        <v>202</v>
      </c>
      <c r="D23" s="20">
        <f t="shared" ca="1" si="6"/>
        <v>0</v>
      </c>
      <c r="E23" s="6">
        <f ca="1">IF(B23="","",SUM(D23,D24))</f>
        <v>0</v>
      </c>
      <c r="F23" s="6">
        <f ca="1">IF(B23="","",E23-U23)</f>
        <v>0</v>
      </c>
      <c r="G23" s="157" t="str">
        <f ca="1">IF($B23="","",IF(ISBLANK(INDIRECT(ADDRESS($B23,G$1,1,,"Score"))),"",1))</f>
        <v/>
      </c>
      <c r="H23" s="157">
        <f ca="1">IF($B23="","",IF(ISBLANK(INDIRECT(ADDRESS($B23,H$1,1,,"Score"))),"",1))</f>
        <v>1</v>
      </c>
      <c r="I23" s="147">
        <f ca="1">IF(H23=1,F23,"")</f>
        <v>0</v>
      </c>
      <c r="J23" s="157">
        <f t="shared" ref="J23:L42" ca="1" si="7">IF($B23="","",IF(ISBLANK(INDIRECT(ADDRESS($B23,J$1,1,,"Score"))),"",1))</f>
        <v>1</v>
      </c>
      <c r="K23" s="157" t="str">
        <f t="shared" ca="1" si="7"/>
        <v/>
      </c>
      <c r="L23" s="157" t="str">
        <f t="shared" ca="1" si="7"/>
        <v/>
      </c>
      <c r="M23" s="20">
        <f t="shared" ref="M23:M42" ca="1" si="8">IF($B23="","",INDIRECT(ADDRESS($B23,M$1,1,,"Score")))</f>
        <v>1</v>
      </c>
      <c r="N23" s="6">
        <f ca="1">IF(ISNA(MATCH($A23,'Game Clock'!A$11:A$48,0)),"",INDIRECT(ADDRESS(MATCH($A23,'Game Clock'!A$11:A$48,0)+ROW('Game Clock'!A$10),N$1,1,,"Game Clock")))</f>
        <v>71</v>
      </c>
      <c r="O23" s="6">
        <f ca="1">IF(OR(N23="",N23=0),"",60*E23/N23)</f>
        <v>0</v>
      </c>
      <c r="Q23" s="6">
        <f>Q21+1</f>
        <v>11</v>
      </c>
      <c r="R23" s="20">
        <f>IF(ISNA(MATCH($Q23,Score!T$4:T$41,0)),"",MATCH($Q23,Score!T$4:T$41,0)++ROW(Score!T$3))</f>
        <v>19</v>
      </c>
      <c r="S23" s="89" t="str">
        <f t="shared" ref="S23:T42" ca="1" si="9">IF($R23="","",INDIRECT(ADDRESS($R23,S$1,1,,"Score")))</f>
        <v>23</v>
      </c>
      <c r="T23" s="20">
        <f t="shared" ca="1" si="9"/>
        <v>0</v>
      </c>
      <c r="U23" s="6">
        <f ca="1">IF(R23="","",SUM(T23,T24))</f>
        <v>0</v>
      </c>
      <c r="V23" s="6">
        <f ca="1">IF(R23="","",U23-E23)</f>
        <v>0</v>
      </c>
      <c r="W23" s="157" t="str">
        <f ca="1">IF($R23="","",IF(ISBLANK(INDIRECT(ADDRESS($R23,W$1,1,,"Score"))),"",1))</f>
        <v/>
      </c>
      <c r="X23" s="157" t="str">
        <f ca="1">IF($R23="","",IF(ISBLANK(INDIRECT(ADDRESS($R23,X$1,1,,"Score"))),"",1))</f>
        <v/>
      </c>
      <c r="Y23" s="147" t="str">
        <f ca="1">IF(X23=1,V23,"")</f>
        <v/>
      </c>
      <c r="Z23" s="157" t="str">
        <f t="shared" ref="Z23:AB42" ca="1" si="10">IF($R23="","",IF(ISBLANK(INDIRECT(ADDRESS($R23,Z$1,1,,"Score"))),"",1))</f>
        <v/>
      </c>
      <c r="AA23" s="157" t="str">
        <f t="shared" ca="1" si="10"/>
        <v/>
      </c>
      <c r="AB23" s="157">
        <f t="shared" ca="1" si="10"/>
        <v>1</v>
      </c>
      <c r="AC23" s="20">
        <f t="shared" ref="AC23:AC42" ca="1" si="11">IF($R23="","",INDIRECT(ADDRESS($R23,AC$1,1,,"Score")))</f>
        <v>0</v>
      </c>
      <c r="AD23" s="6">
        <f ca="1">N23</f>
        <v>71</v>
      </c>
      <c r="AE23" s="6">
        <f ca="1">IF(OR(AD23="",AD23=0),"",60*U23/AD23)</f>
        <v>0</v>
      </c>
    </row>
    <row r="24" spans="1:31" x14ac:dyDescent="0.25">
      <c r="A24" s="6"/>
      <c r="B24" s="20" t="str">
        <f ca="1">IF($B23="","",IF(INDIRECT(ADDRESS($B23+1,C$1-1,1,,"Score"))="SP",$B23+1,""))</f>
        <v/>
      </c>
      <c r="C24" s="89" t="str">
        <f t="shared" ca="1" si="6"/>
        <v/>
      </c>
      <c r="D24" s="20" t="str">
        <f t="shared" ca="1" si="6"/>
        <v/>
      </c>
      <c r="E24" s="6"/>
      <c r="F24" s="6"/>
      <c r="G24" s="157"/>
      <c r="H24" s="157"/>
      <c r="I24" s="147"/>
      <c r="J24" s="157" t="str">
        <f t="shared" ca="1" si="7"/>
        <v/>
      </c>
      <c r="K24" s="157" t="str">
        <f t="shared" ca="1" si="7"/>
        <v/>
      </c>
      <c r="L24" s="157" t="str">
        <f t="shared" ca="1" si="7"/>
        <v/>
      </c>
      <c r="M24" s="20" t="str">
        <f t="shared" ca="1" si="8"/>
        <v/>
      </c>
      <c r="N24" s="6"/>
      <c r="O24" s="6"/>
      <c r="Q24" s="6"/>
      <c r="R24" s="20" t="str">
        <f ca="1">IF($R23="","",IF(INDIRECT(ADDRESS($R23+1,S$1-1,1,,"Score"))="SP",$R23+1,""))</f>
        <v/>
      </c>
      <c r="S24" s="89" t="str">
        <f t="shared" ca="1" si="9"/>
        <v/>
      </c>
      <c r="T24" s="20" t="str">
        <f t="shared" ca="1" si="9"/>
        <v/>
      </c>
      <c r="U24" s="6"/>
      <c r="V24" s="6"/>
      <c r="W24" s="157"/>
      <c r="X24" s="157"/>
      <c r="Y24" s="147"/>
      <c r="Z24" s="157" t="str">
        <f t="shared" ca="1" si="10"/>
        <v/>
      </c>
      <c r="AA24" s="157" t="str">
        <f t="shared" ca="1" si="10"/>
        <v/>
      </c>
      <c r="AB24" s="157" t="str">
        <f t="shared" ca="1" si="10"/>
        <v/>
      </c>
      <c r="AC24" s="20" t="str">
        <f t="shared" ca="1" si="11"/>
        <v/>
      </c>
      <c r="AD24" s="6"/>
      <c r="AE24" s="6"/>
    </row>
    <row r="25" spans="1:31" x14ac:dyDescent="0.25">
      <c r="A25" s="148">
        <f>A23+1</f>
        <v>12</v>
      </c>
      <c r="B25" s="149">
        <f>IF(ISNA(MATCH($A25,Score!A$4:A$41,0)),"",MATCH($A25,Score!A$4:A$41,0)+ROW(Score!A$3))</f>
        <v>20</v>
      </c>
      <c r="C25" s="150" t="str">
        <f t="shared" ca="1" si="6"/>
        <v>123</v>
      </c>
      <c r="D25" s="149">
        <f t="shared" ca="1" si="6"/>
        <v>4</v>
      </c>
      <c r="E25" s="148">
        <f ca="1">IF(B25="","",SUM(D25,D26))</f>
        <v>4</v>
      </c>
      <c r="F25" s="148">
        <f ca="1">IF(B25="","",E25-U25)</f>
        <v>4</v>
      </c>
      <c r="G25" s="151" t="str">
        <f ca="1">IF($B25="","",IF(ISBLANK(INDIRECT(ADDRESS($B25,G$1,1,,"Score"))),"",1))</f>
        <v/>
      </c>
      <c r="H25" s="151">
        <f ca="1">IF($B25="","",IF(ISBLANK(INDIRECT(ADDRESS($B25,H$1,1,,"Score"))),"",1))</f>
        <v>1</v>
      </c>
      <c r="I25" s="153">
        <f ca="1">IF(H25=1,F25,"")</f>
        <v>4</v>
      </c>
      <c r="J25" s="151">
        <f t="shared" ca="1" si="7"/>
        <v>1</v>
      </c>
      <c r="K25" s="151" t="str">
        <f t="shared" ca="1" si="7"/>
        <v/>
      </c>
      <c r="L25" s="151" t="str">
        <f t="shared" ca="1" si="7"/>
        <v/>
      </c>
      <c r="M25" s="149">
        <f t="shared" ca="1" si="8"/>
        <v>1</v>
      </c>
      <c r="N25" s="6">
        <f ca="1">IF(ISNA(MATCH($A25,'Game Clock'!A$11:A$48,0)),"",INDIRECT(ADDRESS(MATCH($A25,'Game Clock'!A$11:A$48,0)+ROW('Game Clock'!A$10),N$1,1,,"Game Clock")))</f>
        <v>40</v>
      </c>
      <c r="O25" s="148">
        <f ca="1">IF(OR(N25="",N25=0),"",60*E25/N25)</f>
        <v>6</v>
      </c>
      <c r="Q25" s="148">
        <f>Q23+1</f>
        <v>12</v>
      </c>
      <c r="R25" s="149">
        <f>IF(ISNA(MATCH($Q25,Score!T$4:T$41,0)),"",MATCH($Q25,Score!T$4:T$41,0)++ROW(Score!T$3))</f>
        <v>20</v>
      </c>
      <c r="S25" s="150" t="str">
        <f t="shared" ca="1" si="9"/>
        <v>12</v>
      </c>
      <c r="T25" s="149">
        <f t="shared" ca="1" si="9"/>
        <v>0</v>
      </c>
      <c r="U25" s="148">
        <f ca="1">IF(R25="","",SUM(T25,T26))</f>
        <v>0</v>
      </c>
      <c r="V25" s="148">
        <f ca="1">IF(R25="","",U25-E25)</f>
        <v>-4</v>
      </c>
      <c r="W25" s="151" t="str">
        <f ca="1">IF($R25="","",IF(ISBLANK(INDIRECT(ADDRESS($R25,W$1,1,,"Score"))),"",1))</f>
        <v/>
      </c>
      <c r="X25" s="151" t="str">
        <f ca="1">IF($R25="","",IF(ISBLANK(INDIRECT(ADDRESS($R25,X$1,1,,"Score"))),"",1))</f>
        <v/>
      </c>
      <c r="Y25" s="153" t="str">
        <f ca="1">IF(X25=1,V25,"")</f>
        <v/>
      </c>
      <c r="Z25" s="151" t="str">
        <f t="shared" ca="1" si="10"/>
        <v/>
      </c>
      <c r="AA25" s="151" t="str">
        <f t="shared" ca="1" si="10"/>
        <v/>
      </c>
      <c r="AB25" s="151" t="str">
        <f t="shared" ca="1" si="10"/>
        <v/>
      </c>
      <c r="AC25" s="149">
        <f t="shared" ca="1" si="11"/>
        <v>1</v>
      </c>
      <c r="AD25" s="148">
        <f ca="1">N25</f>
        <v>40</v>
      </c>
      <c r="AE25" s="148">
        <f ca="1">IF(OR(AD25="",AD25=0),"",60*U25/AD25)</f>
        <v>0</v>
      </c>
    </row>
    <row r="26" spans="1:31" x14ac:dyDescent="0.3">
      <c r="A26" s="148"/>
      <c r="B26" s="149" t="str">
        <f ca="1">IF($B25="","",IF(INDIRECT(ADDRESS($B25+1,C$1-1,1,,"Score"))="SP",$B25+1,""))</f>
        <v/>
      </c>
      <c r="C26" s="150" t="str">
        <f t="shared" ca="1" si="6"/>
        <v/>
      </c>
      <c r="D26" s="149" t="str">
        <f t="shared" ca="1" si="6"/>
        <v/>
      </c>
      <c r="E26" s="148"/>
      <c r="F26" s="148"/>
      <c r="G26" s="151"/>
      <c r="H26" s="152"/>
      <c r="I26" s="153"/>
      <c r="J26" s="151" t="str">
        <f t="shared" ca="1" si="7"/>
        <v/>
      </c>
      <c r="K26" s="151" t="str">
        <f t="shared" ca="1" si="7"/>
        <v/>
      </c>
      <c r="L26" s="151" t="str">
        <f t="shared" ca="1" si="7"/>
        <v/>
      </c>
      <c r="M26" s="149" t="str">
        <f t="shared" ca="1" si="8"/>
        <v/>
      </c>
      <c r="N26" s="148"/>
      <c r="O26" s="148"/>
      <c r="Q26" s="148"/>
      <c r="R26" s="149" t="str">
        <f ca="1">IF($R25="","",IF(INDIRECT(ADDRESS($R25+1,S$1-1,1,,"Score"))="SP",$R25+1,""))</f>
        <v/>
      </c>
      <c r="S26" s="150" t="str">
        <f t="shared" ca="1" si="9"/>
        <v/>
      </c>
      <c r="T26" s="149" t="str">
        <f t="shared" ca="1" si="9"/>
        <v/>
      </c>
      <c r="U26" s="148"/>
      <c r="V26" s="148"/>
      <c r="W26" s="151"/>
      <c r="X26" s="152"/>
      <c r="Y26" s="153"/>
      <c r="Z26" s="151" t="str">
        <f t="shared" ca="1" si="10"/>
        <v/>
      </c>
      <c r="AA26" s="151" t="str">
        <f t="shared" ca="1" si="10"/>
        <v/>
      </c>
      <c r="AB26" s="151" t="str">
        <f t="shared" ca="1" si="10"/>
        <v/>
      </c>
      <c r="AC26" s="149" t="str">
        <f t="shared" ca="1" si="11"/>
        <v/>
      </c>
      <c r="AD26" s="148"/>
      <c r="AE26" s="148"/>
    </row>
    <row r="27" spans="1:31" x14ac:dyDescent="0.25">
      <c r="A27" s="6">
        <f>A25+1</f>
        <v>13</v>
      </c>
      <c r="B27" s="20">
        <f>IF(ISNA(MATCH($A27,Score!A$4:A$41,0)),"",MATCH($A27,Score!A$4:A$41,0)+ROW(Score!A$3))</f>
        <v>21</v>
      </c>
      <c r="C27" s="89" t="str">
        <f t="shared" ca="1" si="6"/>
        <v>352</v>
      </c>
      <c r="D27" s="20">
        <f t="shared" ca="1" si="6"/>
        <v>0</v>
      </c>
      <c r="E27" s="6">
        <f ca="1">IF(B27="","",SUM(D27,D28))</f>
        <v>0</v>
      </c>
      <c r="F27" s="6">
        <f ca="1">IF(B27="","",E27-U27)</f>
        <v>-7</v>
      </c>
      <c r="G27" s="157" t="str">
        <f ca="1">IF($B27="","",IF(ISBLANK(INDIRECT(ADDRESS($B27,G$1,1,,"Score"))),"",1))</f>
        <v/>
      </c>
      <c r="H27" s="157" t="str">
        <f ca="1">IF($B27="","",IF(ISBLANK(INDIRECT(ADDRESS($B27,H$1,1,,"Score"))),"",1))</f>
        <v/>
      </c>
      <c r="I27" s="147" t="str">
        <f ca="1">IF(H27=1,F27,"")</f>
        <v/>
      </c>
      <c r="J27" s="157" t="str">
        <f t="shared" ca="1" si="7"/>
        <v/>
      </c>
      <c r="K27" s="157" t="str">
        <f t="shared" ca="1" si="7"/>
        <v/>
      </c>
      <c r="L27" s="157">
        <f t="shared" ca="1" si="7"/>
        <v>1</v>
      </c>
      <c r="M27" s="20">
        <f t="shared" ca="1" si="8"/>
        <v>0</v>
      </c>
      <c r="N27" s="6">
        <f ca="1">IF(ISNA(MATCH($A27,'Game Clock'!A$11:A$48,0)),"",INDIRECT(ADDRESS(MATCH($A27,'Game Clock'!A$11:A$48,0)+ROW('Game Clock'!A$10),N$1,1,,"Game Clock")))</f>
        <v>96</v>
      </c>
      <c r="O27" s="6">
        <f ca="1">IF(OR(N27="",N27=0),"",60*E27/N27)</f>
        <v>0</v>
      </c>
      <c r="Q27" s="6">
        <f>Q25+1</f>
        <v>13</v>
      </c>
      <c r="R27" s="20">
        <f>IF(ISNA(MATCH($Q27,Score!T$4:T$41,0)),"",MATCH($Q27,Score!T$4:T$41,0)++ROW(Score!T$3))</f>
        <v>21</v>
      </c>
      <c r="S27" s="89" t="str">
        <f t="shared" ca="1" si="9"/>
        <v>12</v>
      </c>
      <c r="T27" s="20">
        <f t="shared" ca="1" si="9"/>
        <v>7</v>
      </c>
      <c r="U27" s="6">
        <f ca="1">IF(R27="","",SUM(T27,T28))</f>
        <v>7</v>
      </c>
      <c r="V27" s="6">
        <f ca="1">IF(R27="","",U27-E27)</f>
        <v>7</v>
      </c>
      <c r="W27" s="157" t="str">
        <f ca="1">IF($R27="","",IF(ISBLANK(INDIRECT(ADDRESS($R27,W$1,1,,"Score"))),"",1))</f>
        <v/>
      </c>
      <c r="X27" s="157">
        <f ca="1">IF($R27="","",IF(ISBLANK(INDIRECT(ADDRESS($R27,X$1,1,,"Score"))),"",1))</f>
        <v>1</v>
      </c>
      <c r="Y27" s="147">
        <f ca="1">IF(X27=1,V27,"")</f>
        <v>7</v>
      </c>
      <c r="Z27" s="157">
        <f t="shared" ca="1" si="10"/>
        <v>1</v>
      </c>
      <c r="AA27" s="157" t="str">
        <f t="shared" ca="1" si="10"/>
        <v/>
      </c>
      <c r="AB27" s="157" t="str">
        <f t="shared" ca="1" si="10"/>
        <v/>
      </c>
      <c r="AC27" s="20">
        <f t="shared" ca="1" si="11"/>
        <v>2</v>
      </c>
      <c r="AD27" s="6">
        <f ca="1">N27</f>
        <v>96</v>
      </c>
      <c r="AE27" s="6">
        <f ca="1">IF(OR(AD27="",AD27=0),"",60*U27/AD27)</f>
        <v>4.375</v>
      </c>
    </row>
    <row r="28" spans="1:31" x14ac:dyDescent="0.25">
      <c r="A28" s="6"/>
      <c r="B28" s="20">
        <f ca="1">IF($B27="","",IF(INDIRECT(ADDRESS($B27+1,C$1-1,1,,"Score"))="SP",$B27+1,""))</f>
        <v>22</v>
      </c>
      <c r="C28" s="89" t="str">
        <f t="shared" ca="1" si="6"/>
        <v>1760</v>
      </c>
      <c r="D28" s="20">
        <f t="shared" ca="1" si="6"/>
        <v>0</v>
      </c>
      <c r="E28" s="6"/>
      <c r="F28" s="6"/>
      <c r="G28" s="157"/>
      <c r="H28" s="157"/>
      <c r="I28" s="147"/>
      <c r="J28" s="157" t="str">
        <f t="shared" ca="1" si="7"/>
        <v/>
      </c>
      <c r="K28" s="157" t="str">
        <f t="shared" ca="1" si="7"/>
        <v/>
      </c>
      <c r="L28" s="157" t="str">
        <f t="shared" ca="1" si="7"/>
        <v/>
      </c>
      <c r="M28" s="20">
        <f t="shared" ca="1" si="8"/>
        <v>1</v>
      </c>
      <c r="N28" s="6"/>
      <c r="O28" s="6"/>
      <c r="Q28" s="6"/>
      <c r="R28" s="20" t="str">
        <f ca="1">IF($R27="","",IF(INDIRECT(ADDRESS($R27+1,S$1-1,1,,"Score"))="SP",$R27+1,""))</f>
        <v/>
      </c>
      <c r="S28" s="89" t="str">
        <f t="shared" ca="1" si="9"/>
        <v/>
      </c>
      <c r="T28" s="20" t="str">
        <f t="shared" ca="1" si="9"/>
        <v/>
      </c>
      <c r="U28" s="6"/>
      <c r="V28" s="6"/>
      <c r="W28" s="157"/>
      <c r="X28" s="157"/>
      <c r="Y28" s="147"/>
      <c r="Z28" s="157" t="str">
        <f t="shared" ca="1" si="10"/>
        <v/>
      </c>
      <c r="AA28" s="157" t="str">
        <f t="shared" ca="1" si="10"/>
        <v/>
      </c>
      <c r="AB28" s="157" t="str">
        <f t="shared" ca="1" si="10"/>
        <v/>
      </c>
      <c r="AC28" s="20" t="str">
        <f t="shared" ca="1" si="11"/>
        <v/>
      </c>
      <c r="AD28" s="6"/>
      <c r="AE28" s="6"/>
    </row>
    <row r="29" spans="1:31" x14ac:dyDescent="0.25">
      <c r="A29" s="148">
        <f>A27+1</f>
        <v>14</v>
      </c>
      <c r="B29" s="149">
        <f>IF(ISNA(MATCH($A29,Score!A$4:A$41,0)),"",MATCH($A29,Score!A$4:A$41,0)+ROW(Score!A$3))</f>
        <v>23</v>
      </c>
      <c r="C29" s="150" t="str">
        <f t="shared" ca="1" si="6"/>
        <v>123</v>
      </c>
      <c r="D29" s="149">
        <f t="shared" ca="1" si="6"/>
        <v>4</v>
      </c>
      <c r="E29" s="148">
        <f ca="1">IF(B29="","",SUM(D29,D30))</f>
        <v>4</v>
      </c>
      <c r="F29" s="148">
        <f ca="1">IF(B29="","",E29-U29)</f>
        <v>4</v>
      </c>
      <c r="G29" s="151" t="str">
        <f ca="1">IF($B29="","",IF(ISBLANK(INDIRECT(ADDRESS($B29,G$1,1,,"Score"))),"",1))</f>
        <v/>
      </c>
      <c r="H29" s="151">
        <f ca="1">IF($B29="","",IF(ISBLANK(INDIRECT(ADDRESS($B29,H$1,1,,"Score"))),"",1))</f>
        <v>1</v>
      </c>
      <c r="I29" s="153">
        <f ca="1">IF(H29=1,F29,"")</f>
        <v>4</v>
      </c>
      <c r="J29" s="151">
        <f t="shared" ca="1" si="7"/>
        <v>1</v>
      </c>
      <c r="K29" s="151" t="str">
        <f t="shared" ca="1" si="7"/>
        <v/>
      </c>
      <c r="L29" s="151" t="str">
        <f t="shared" ca="1" si="7"/>
        <v/>
      </c>
      <c r="M29" s="149">
        <f t="shared" ca="1" si="8"/>
        <v>1</v>
      </c>
      <c r="N29" s="6">
        <f ca="1">IF(ISNA(MATCH($A29,'Game Clock'!A$11:A$48,0)),"",INDIRECT(ADDRESS(MATCH($A29,'Game Clock'!A$11:A$48,0)+ROW('Game Clock'!A$10),N$1,1,,"Game Clock")))</f>
        <v>40</v>
      </c>
      <c r="O29" s="148">
        <f ca="1">IF(OR(N29="",N29=0),"",60*E29/N29)</f>
        <v>6</v>
      </c>
      <c r="Q29" s="148">
        <f>Q27+1</f>
        <v>14</v>
      </c>
      <c r="R29" s="149">
        <f>IF(ISNA(MATCH($Q29,Score!T$4:T$41,0)),"",MATCH($Q29,Score!T$4:T$41,0)++ROW(Score!T$3))</f>
        <v>23</v>
      </c>
      <c r="S29" s="150" t="str">
        <f t="shared" ca="1" si="9"/>
        <v>49</v>
      </c>
      <c r="T29" s="149">
        <f t="shared" ca="1" si="9"/>
        <v>0</v>
      </c>
      <c r="U29" s="148">
        <f ca="1">IF(R29="","",SUM(T29,T30))</f>
        <v>0</v>
      </c>
      <c r="V29" s="148">
        <f ca="1">IF(R29="","",U29-E29)</f>
        <v>-4</v>
      </c>
      <c r="W29" s="151" t="str">
        <f ca="1">IF($R29="","",IF(ISBLANK(INDIRECT(ADDRESS($R29,W$1,1,,"Score"))),"",1))</f>
        <v/>
      </c>
      <c r="X29" s="151" t="str">
        <f ca="1">IF($R29="","",IF(ISBLANK(INDIRECT(ADDRESS($R29,X$1,1,,"Score"))),"",1))</f>
        <v/>
      </c>
      <c r="Y29" s="153" t="str">
        <f ca="1">IF(X29=1,V29,"")</f>
        <v/>
      </c>
      <c r="Z29" s="151" t="str">
        <f t="shared" ca="1" si="10"/>
        <v/>
      </c>
      <c r="AA29" s="151" t="str">
        <f t="shared" ca="1" si="10"/>
        <v/>
      </c>
      <c r="AB29" s="151">
        <f t="shared" ca="1" si="10"/>
        <v>1</v>
      </c>
      <c r="AC29" s="149">
        <f t="shared" ca="1" si="11"/>
        <v>0</v>
      </c>
      <c r="AD29" s="148">
        <f ca="1">N29</f>
        <v>40</v>
      </c>
      <c r="AE29" s="148">
        <f ca="1">IF(OR(AD29="",AD29=0),"",60*U29/AD29)</f>
        <v>0</v>
      </c>
    </row>
    <row r="30" spans="1:31" x14ac:dyDescent="0.3">
      <c r="A30" s="148"/>
      <c r="B30" s="149" t="str">
        <f ca="1">IF($B29="","",IF(INDIRECT(ADDRESS($B29+1,C$1-1,1,,"Score"))="SP",$B29+1,""))</f>
        <v/>
      </c>
      <c r="C30" s="150" t="str">
        <f t="shared" ca="1" si="6"/>
        <v/>
      </c>
      <c r="D30" s="149" t="str">
        <f t="shared" ca="1" si="6"/>
        <v/>
      </c>
      <c r="E30" s="148"/>
      <c r="F30" s="148"/>
      <c r="G30" s="151"/>
      <c r="H30" s="152"/>
      <c r="I30" s="153"/>
      <c r="J30" s="151" t="str">
        <f t="shared" ca="1" si="7"/>
        <v/>
      </c>
      <c r="K30" s="151" t="str">
        <f t="shared" ca="1" si="7"/>
        <v/>
      </c>
      <c r="L30" s="151" t="str">
        <f t="shared" ca="1" si="7"/>
        <v/>
      </c>
      <c r="M30" s="149" t="str">
        <f t="shared" ca="1" si="8"/>
        <v/>
      </c>
      <c r="N30" s="148"/>
      <c r="O30" s="148"/>
      <c r="Q30" s="148"/>
      <c r="R30" s="149">
        <f ca="1">IF($R29="","",IF(INDIRECT(ADDRESS($R29+1,S$1-1,1,,"Score"))="SP",$R29+1,""))</f>
        <v>24</v>
      </c>
      <c r="S30" s="150" t="str">
        <f t="shared" ca="1" si="9"/>
        <v>219</v>
      </c>
      <c r="T30" s="149">
        <f t="shared" ca="1" si="9"/>
        <v>0</v>
      </c>
      <c r="U30" s="148"/>
      <c r="V30" s="148"/>
      <c r="W30" s="151"/>
      <c r="X30" s="152"/>
      <c r="Y30" s="153"/>
      <c r="Z30" s="151" t="str">
        <f t="shared" ca="1" si="10"/>
        <v/>
      </c>
      <c r="AA30" s="151" t="str">
        <f t="shared" ca="1" si="10"/>
        <v/>
      </c>
      <c r="AB30" s="151" t="str">
        <f t="shared" ca="1" si="10"/>
        <v/>
      </c>
      <c r="AC30" s="149">
        <f t="shared" ca="1" si="11"/>
        <v>1</v>
      </c>
      <c r="AD30" s="148"/>
      <c r="AE30" s="148"/>
    </row>
    <row r="31" spans="1:31" x14ac:dyDescent="0.25">
      <c r="A31" s="6">
        <f>A29+1</f>
        <v>15</v>
      </c>
      <c r="B31" s="20">
        <f>IF(ISNA(MATCH($A31,Score!A$4:A$41,0)),"",MATCH($A31,Score!A$4:A$41,0)+ROW(Score!A$3))</f>
        <v>25</v>
      </c>
      <c r="C31" s="89" t="str">
        <f t="shared" ca="1" si="6"/>
        <v>352</v>
      </c>
      <c r="D31" s="20">
        <f t="shared" ca="1" si="6"/>
        <v>4</v>
      </c>
      <c r="E31" s="6">
        <f ca="1">IF(B31="","",SUM(D31,D32))</f>
        <v>4</v>
      </c>
      <c r="F31" s="6">
        <f ca="1">IF(B31="","",E31-U31)</f>
        <v>1</v>
      </c>
      <c r="G31" s="157" t="str">
        <f ca="1">IF($B31="","",IF(ISBLANK(INDIRECT(ADDRESS($B31,G$1,1,,"Score"))),"",1))</f>
        <v/>
      </c>
      <c r="H31" s="157" t="str">
        <f ca="1">IF($B31="","",IF(ISBLANK(INDIRECT(ADDRESS($B31,H$1,1,,"Score"))),"",1))</f>
        <v/>
      </c>
      <c r="I31" s="147" t="str">
        <f ca="1">IF(H31=1,F31,"")</f>
        <v/>
      </c>
      <c r="J31" s="157" t="str">
        <f t="shared" ca="1" si="7"/>
        <v/>
      </c>
      <c r="K31" s="157" t="str">
        <f t="shared" ca="1" si="7"/>
        <v/>
      </c>
      <c r="L31" s="157" t="str">
        <f t="shared" ca="1" si="7"/>
        <v/>
      </c>
      <c r="M31" s="20">
        <f t="shared" ca="1" si="8"/>
        <v>2</v>
      </c>
      <c r="N31" s="6">
        <f ca="1">IF(ISNA(MATCH($A31,'Game Clock'!A$11:A$48,0)),"",INDIRECT(ADDRESS(MATCH($A31,'Game Clock'!A$11:A$48,0)+ROW('Game Clock'!A$10),N$1,1,,"Game Clock")))</f>
        <v>38</v>
      </c>
      <c r="O31" s="6">
        <f ca="1">IF(OR(N31="",N31=0),"",60*E31/N31)</f>
        <v>6.3157894736842106</v>
      </c>
      <c r="Q31" s="6">
        <f>Q29+1</f>
        <v>15</v>
      </c>
      <c r="R31" s="20">
        <f>IF(ISNA(MATCH($Q31,Score!T$4:T$41,0)),"",MATCH($Q31,Score!T$4:T$41,0)++ROW(Score!T$3))</f>
        <v>25</v>
      </c>
      <c r="S31" s="89" t="str">
        <f t="shared" ca="1" si="9"/>
        <v>12</v>
      </c>
      <c r="T31" s="20">
        <f t="shared" ca="1" si="9"/>
        <v>3</v>
      </c>
      <c r="U31" s="6">
        <f ca="1">IF(R31="","",SUM(T31,T32))</f>
        <v>3</v>
      </c>
      <c r="V31" s="6">
        <f ca="1">IF(R31="","",U31-E31)</f>
        <v>-1</v>
      </c>
      <c r="W31" s="157" t="str">
        <f ca="1">IF($R31="","",IF(ISBLANK(INDIRECT(ADDRESS($R31,W$1,1,,"Score"))),"",1))</f>
        <v/>
      </c>
      <c r="X31" s="157">
        <f ca="1">IF($R31="","",IF(ISBLANK(INDIRECT(ADDRESS($R31,X$1,1,,"Score"))),"",1))</f>
        <v>1</v>
      </c>
      <c r="Y31" s="147">
        <f ca="1">IF(X31=1,V31,"")</f>
        <v>-1</v>
      </c>
      <c r="Z31" s="157">
        <f t="shared" ca="1" si="10"/>
        <v>1</v>
      </c>
      <c r="AA31" s="157" t="str">
        <f t="shared" ca="1" si="10"/>
        <v/>
      </c>
      <c r="AB31" s="157" t="str">
        <f t="shared" ca="1" si="10"/>
        <v/>
      </c>
      <c r="AC31" s="20">
        <f t="shared" ca="1" si="11"/>
        <v>1</v>
      </c>
      <c r="AD31" s="6">
        <f ca="1">N31</f>
        <v>38</v>
      </c>
      <c r="AE31" s="6">
        <f ca="1">IF(OR(AD31="",AD31=0),"",60*U31/AD31)</f>
        <v>4.7368421052631575</v>
      </c>
    </row>
    <row r="32" spans="1:31" x14ac:dyDescent="0.25">
      <c r="A32" s="6"/>
      <c r="B32" s="20" t="str">
        <f ca="1">IF($B31="","",IF(INDIRECT(ADDRESS($B31+1,C$1-1,1,,"Score"))="SP",$B31+1,""))</f>
        <v/>
      </c>
      <c r="C32" s="89" t="str">
        <f t="shared" ca="1" si="6"/>
        <v/>
      </c>
      <c r="D32" s="20" t="str">
        <f t="shared" ca="1" si="6"/>
        <v/>
      </c>
      <c r="E32" s="6"/>
      <c r="F32" s="6"/>
      <c r="G32" s="157"/>
      <c r="H32" s="157"/>
      <c r="I32" s="147"/>
      <c r="J32" s="157" t="str">
        <f t="shared" ca="1" si="7"/>
        <v/>
      </c>
      <c r="K32" s="157" t="str">
        <f t="shared" ca="1" si="7"/>
        <v/>
      </c>
      <c r="L32" s="157" t="str">
        <f t="shared" ca="1" si="7"/>
        <v/>
      </c>
      <c r="M32" s="20" t="str">
        <f t="shared" ca="1" si="8"/>
        <v/>
      </c>
      <c r="N32" s="6"/>
      <c r="O32" s="6"/>
      <c r="Q32" s="6"/>
      <c r="R32" s="20" t="str">
        <f ca="1">IF($R31="","",IF(INDIRECT(ADDRESS($R31+1,S$1-1,1,,"Score"))="SP",$R31+1,""))</f>
        <v/>
      </c>
      <c r="S32" s="89" t="str">
        <f t="shared" ca="1" si="9"/>
        <v/>
      </c>
      <c r="T32" s="20" t="str">
        <f t="shared" ca="1" si="9"/>
        <v/>
      </c>
      <c r="U32" s="6"/>
      <c r="V32" s="6"/>
      <c r="W32" s="157"/>
      <c r="X32" s="157"/>
      <c r="Y32" s="147"/>
      <c r="Z32" s="157" t="str">
        <f t="shared" ca="1" si="10"/>
        <v/>
      </c>
      <c r="AA32" s="157" t="str">
        <f t="shared" ca="1" si="10"/>
        <v/>
      </c>
      <c r="AB32" s="157" t="str">
        <f t="shared" ca="1" si="10"/>
        <v/>
      </c>
      <c r="AC32" s="20" t="str">
        <f t="shared" ca="1" si="11"/>
        <v/>
      </c>
      <c r="AD32" s="6"/>
      <c r="AE32" s="6"/>
    </row>
    <row r="33" spans="1:31" x14ac:dyDescent="0.25">
      <c r="A33" s="148">
        <f>A31+1</f>
        <v>16</v>
      </c>
      <c r="B33" s="149">
        <f>IF(ISNA(MATCH($A33,Score!A$4:A$41,0)),"",MATCH($A33,Score!A$4:A$41,0)+ROW(Score!A$3))</f>
        <v>26</v>
      </c>
      <c r="C33" s="150" t="str">
        <f t="shared" ca="1" si="6"/>
        <v>64</v>
      </c>
      <c r="D33" s="149">
        <f t="shared" ca="1" si="6"/>
        <v>4</v>
      </c>
      <c r="E33" s="148">
        <f ca="1">IF(B33="","",SUM(D33,D34))</f>
        <v>4</v>
      </c>
      <c r="F33" s="148">
        <f ca="1">IF(B33="","",E33-U33)</f>
        <v>4</v>
      </c>
      <c r="G33" s="151" t="str">
        <f ca="1">IF($B33="","",IF(ISBLANK(INDIRECT(ADDRESS($B33,G$1,1,,"Score"))),"",1))</f>
        <v/>
      </c>
      <c r="H33" s="151">
        <f ca="1">IF($B33="","",IF(ISBLANK(INDIRECT(ADDRESS($B33,H$1,1,,"Score"))),"",1))</f>
        <v>1</v>
      </c>
      <c r="I33" s="153">
        <f ca="1">IF(H33=1,F33,"")</f>
        <v>4</v>
      </c>
      <c r="J33" s="151">
        <f t="shared" ca="1" si="7"/>
        <v>1</v>
      </c>
      <c r="K33" s="151" t="str">
        <f t="shared" ca="1" si="7"/>
        <v/>
      </c>
      <c r="L33" s="151" t="str">
        <f t="shared" ca="1" si="7"/>
        <v/>
      </c>
      <c r="M33" s="149">
        <f t="shared" ca="1" si="8"/>
        <v>1</v>
      </c>
      <c r="N33" s="6">
        <f ca="1">IF(ISNA(MATCH($A33,'Game Clock'!A$11:A$48,0)),"",INDIRECT(ADDRESS(MATCH($A33,'Game Clock'!A$11:A$48,0)+ROW('Game Clock'!A$10),N$1,1,,"Game Clock")))</f>
        <v>26</v>
      </c>
      <c r="O33" s="148">
        <f ca="1">IF(OR(N33="",N33=0),"",60*E33/N33)</f>
        <v>9.2307692307692299</v>
      </c>
      <c r="Q33" s="148">
        <f>Q31+1</f>
        <v>16</v>
      </c>
      <c r="R33" s="149">
        <f>IF(ISNA(MATCH($Q33,Score!T$4:T$41,0)),"",MATCH($Q33,Score!T$4:T$41,0)++ROW(Score!T$3))</f>
        <v>26</v>
      </c>
      <c r="S33" s="150" t="str">
        <f t="shared" ca="1" si="9"/>
        <v>23</v>
      </c>
      <c r="T33" s="149">
        <f t="shared" ca="1" si="9"/>
        <v>0</v>
      </c>
      <c r="U33" s="148">
        <f ca="1">IF(R33="","",SUM(T33,T34))</f>
        <v>0</v>
      </c>
      <c r="V33" s="148">
        <f ca="1">IF(R33="","",U33-E33)</f>
        <v>-4</v>
      </c>
      <c r="W33" s="151" t="str">
        <f ca="1">IF($R33="","",IF(ISBLANK(INDIRECT(ADDRESS($R33,W$1,1,,"Score"))),"",1))</f>
        <v/>
      </c>
      <c r="X33" s="151" t="str">
        <f ca="1">IF($R33="","",IF(ISBLANK(INDIRECT(ADDRESS($R33,X$1,1,,"Score"))),"",1))</f>
        <v/>
      </c>
      <c r="Y33" s="153" t="str">
        <f ca="1">IF(X33=1,V33,"")</f>
        <v/>
      </c>
      <c r="Z33" s="151" t="str">
        <f t="shared" ca="1" si="10"/>
        <v/>
      </c>
      <c r="AA33" s="151" t="str">
        <f t="shared" ca="1" si="10"/>
        <v/>
      </c>
      <c r="AB33" s="151">
        <f t="shared" ca="1" si="10"/>
        <v>1</v>
      </c>
      <c r="AC33" s="149">
        <f t="shared" ca="1" si="11"/>
        <v>0</v>
      </c>
      <c r="AD33" s="148">
        <f ca="1">N33</f>
        <v>26</v>
      </c>
      <c r="AE33" s="148">
        <f ca="1">IF(OR(AD33="",AD33=0),"",60*U33/AD33)</f>
        <v>0</v>
      </c>
    </row>
    <row r="34" spans="1:31" x14ac:dyDescent="0.3">
      <c r="A34" s="148"/>
      <c r="B34" s="149" t="str">
        <f ca="1">IF($B33="","",IF(INDIRECT(ADDRESS($B33+1,C$1-1,1,,"Score"))="SP",$B33+1,""))</f>
        <v/>
      </c>
      <c r="C34" s="150" t="str">
        <f t="shared" ca="1" si="6"/>
        <v/>
      </c>
      <c r="D34" s="149" t="str">
        <f t="shared" ca="1" si="6"/>
        <v/>
      </c>
      <c r="E34" s="148"/>
      <c r="F34" s="148"/>
      <c r="G34" s="151"/>
      <c r="H34" s="152"/>
      <c r="I34" s="153"/>
      <c r="J34" s="151" t="str">
        <f t="shared" ca="1" si="7"/>
        <v/>
      </c>
      <c r="K34" s="151" t="str">
        <f t="shared" ca="1" si="7"/>
        <v/>
      </c>
      <c r="L34" s="151" t="str">
        <f t="shared" ca="1" si="7"/>
        <v/>
      </c>
      <c r="M34" s="149" t="str">
        <f t="shared" ca="1" si="8"/>
        <v/>
      </c>
      <c r="N34" s="148"/>
      <c r="O34" s="148"/>
      <c r="Q34" s="148"/>
      <c r="R34" s="149">
        <f ca="1">IF($R33="","",IF(INDIRECT(ADDRESS($R33+1,S$1-1,1,,"Score"))="SP",$R33+1,""))</f>
        <v>27</v>
      </c>
      <c r="S34" s="150" t="str">
        <f t="shared" ca="1" si="9"/>
        <v>219</v>
      </c>
      <c r="T34" s="149">
        <f t="shared" ca="1" si="9"/>
        <v>0</v>
      </c>
      <c r="U34" s="148"/>
      <c r="V34" s="148"/>
      <c r="W34" s="151"/>
      <c r="X34" s="152"/>
      <c r="Y34" s="153"/>
      <c r="Z34" s="151" t="str">
        <f t="shared" ca="1" si="10"/>
        <v/>
      </c>
      <c r="AA34" s="151" t="str">
        <f t="shared" ca="1" si="10"/>
        <v/>
      </c>
      <c r="AB34" s="151">
        <f t="shared" ca="1" si="10"/>
        <v>1</v>
      </c>
      <c r="AC34" s="149">
        <f t="shared" ca="1" si="11"/>
        <v>0</v>
      </c>
      <c r="AD34" s="148"/>
      <c r="AE34" s="148"/>
    </row>
    <row r="35" spans="1:31" x14ac:dyDescent="0.25">
      <c r="A35" s="6">
        <f>A33+1</f>
        <v>17</v>
      </c>
      <c r="B35" s="20">
        <f>IF(ISNA(MATCH($A35,Score!A$4:A$41,0)),"",MATCH($A35,Score!A$4:A$41,0)+ROW(Score!A$3))</f>
        <v>28</v>
      </c>
      <c r="C35" s="89" t="str">
        <f t="shared" ca="1" si="6"/>
        <v>123</v>
      </c>
      <c r="D35" s="20">
        <f t="shared" ca="1" si="6"/>
        <v>11</v>
      </c>
      <c r="E35" s="6">
        <f ca="1">IF(B35="","",SUM(D35,D36))</f>
        <v>11</v>
      </c>
      <c r="F35" s="6">
        <f ca="1">IF(B35="","",E35-U35)</f>
        <v>11</v>
      </c>
      <c r="G35" s="157" t="str">
        <f ca="1">IF($B35="","",IF(ISBLANK(INDIRECT(ADDRESS($B35,G$1,1,,"Score"))),"",1))</f>
        <v/>
      </c>
      <c r="H35" s="157">
        <f ca="1">IF($B35="","",IF(ISBLANK(INDIRECT(ADDRESS($B35,H$1,1,,"Score"))),"",1))</f>
        <v>1</v>
      </c>
      <c r="I35" s="147">
        <f ca="1">IF(H35=1,F35,"")</f>
        <v>11</v>
      </c>
      <c r="J35" s="157" t="str">
        <f t="shared" ca="1" si="7"/>
        <v/>
      </c>
      <c r="K35" s="157" t="str">
        <f t="shared" ca="1" si="7"/>
        <v/>
      </c>
      <c r="L35" s="157" t="str">
        <f t="shared" ca="1" si="7"/>
        <v/>
      </c>
      <c r="M35" s="20">
        <f t="shared" ca="1" si="8"/>
        <v>3</v>
      </c>
      <c r="N35" s="6">
        <f ca="1">IF(ISNA(MATCH($A35,'Game Clock'!A$11:A$48,0)),"",INDIRECT(ADDRESS(MATCH($A35,'Game Clock'!A$11:A$48,0)+ROW('Game Clock'!A$10),N$1,1,,"Game Clock")))</f>
        <v>120</v>
      </c>
      <c r="O35" s="6">
        <f ca="1">IF(OR(N35="",N35=0),"",60*E35/N35)</f>
        <v>5.5</v>
      </c>
      <c r="Q35" s="6">
        <f>Q33+1</f>
        <v>17</v>
      </c>
      <c r="R35" s="20">
        <f>IF(ISNA(MATCH($Q35,Score!T$4:T$41,0)),"",MATCH($Q35,Score!T$4:T$41,0)++ROW(Score!T$3))</f>
        <v>28</v>
      </c>
      <c r="S35" s="89" t="str">
        <f t="shared" ca="1" si="9"/>
        <v>49</v>
      </c>
      <c r="T35" s="20">
        <f t="shared" ca="1" si="9"/>
        <v>0</v>
      </c>
      <c r="U35" s="6">
        <f ca="1">IF(R35="","",SUM(T35,T36))</f>
        <v>0</v>
      </c>
      <c r="V35" s="6">
        <f ca="1">IF(R35="","",U35-E35)</f>
        <v>-11</v>
      </c>
      <c r="W35" s="157" t="str">
        <f ca="1">IF($R35="","",IF(ISBLANK(INDIRECT(ADDRESS($R35,W$1,1,,"Score"))),"",1))</f>
        <v/>
      </c>
      <c r="X35" s="157" t="str">
        <f ca="1">IF($R35="","",IF(ISBLANK(INDIRECT(ADDRESS($R35,X$1,1,,"Score"))),"",1))</f>
        <v/>
      </c>
      <c r="Y35" s="147" t="str">
        <f ca="1">IF(X35=1,V35,"")</f>
        <v/>
      </c>
      <c r="Z35" s="157" t="str">
        <f t="shared" ca="1" si="10"/>
        <v/>
      </c>
      <c r="AA35" s="157" t="str">
        <f t="shared" ca="1" si="10"/>
        <v/>
      </c>
      <c r="AB35" s="157">
        <f t="shared" ca="1" si="10"/>
        <v>1</v>
      </c>
      <c r="AC35" s="20">
        <f t="shared" ca="1" si="11"/>
        <v>0</v>
      </c>
      <c r="AD35" s="6">
        <f ca="1">N35</f>
        <v>120</v>
      </c>
      <c r="AE35" s="6">
        <f ca="1">IF(OR(AD35="",AD35=0),"",60*U35/AD35)</f>
        <v>0</v>
      </c>
    </row>
    <row r="36" spans="1:31" x14ac:dyDescent="0.25">
      <c r="A36" s="6"/>
      <c r="B36" s="20" t="str">
        <f ca="1">IF($B35="","",IF(INDIRECT(ADDRESS($B35+1,C$1-1,1,,"Score"))="SP",$B35+1,""))</f>
        <v/>
      </c>
      <c r="C36" s="89" t="str">
        <f t="shared" ca="1" si="6"/>
        <v/>
      </c>
      <c r="D36" s="20" t="str">
        <f t="shared" ca="1" si="6"/>
        <v/>
      </c>
      <c r="E36" s="6"/>
      <c r="F36" s="6"/>
      <c r="G36" s="157"/>
      <c r="H36" s="157"/>
      <c r="I36" s="147"/>
      <c r="J36" s="157" t="str">
        <f t="shared" ca="1" si="7"/>
        <v/>
      </c>
      <c r="K36" s="157" t="str">
        <f t="shared" ca="1" si="7"/>
        <v/>
      </c>
      <c r="L36" s="157" t="str">
        <f t="shared" ca="1" si="7"/>
        <v/>
      </c>
      <c r="M36" s="20" t="str">
        <f t="shared" ca="1" si="8"/>
        <v/>
      </c>
      <c r="N36" s="6"/>
      <c r="O36" s="6"/>
      <c r="Q36" s="6"/>
      <c r="R36" s="20" t="str">
        <f ca="1">IF($R35="","",IF(INDIRECT(ADDRESS($R35+1,S$1-1,1,,"Score"))="SP",$R35+1,""))</f>
        <v/>
      </c>
      <c r="S36" s="89" t="str">
        <f t="shared" ca="1" si="9"/>
        <v/>
      </c>
      <c r="T36" s="20" t="str">
        <f t="shared" ca="1" si="9"/>
        <v/>
      </c>
      <c r="U36" s="6"/>
      <c r="V36" s="6"/>
      <c r="W36" s="157"/>
      <c r="X36" s="157"/>
      <c r="Y36" s="147"/>
      <c r="Z36" s="157" t="str">
        <f t="shared" ca="1" si="10"/>
        <v/>
      </c>
      <c r="AA36" s="157" t="str">
        <f t="shared" ca="1" si="10"/>
        <v/>
      </c>
      <c r="AB36" s="157" t="str">
        <f t="shared" ca="1" si="10"/>
        <v/>
      </c>
      <c r="AC36" s="20" t="str">
        <f t="shared" ca="1" si="11"/>
        <v/>
      </c>
      <c r="AD36" s="6"/>
      <c r="AE36" s="6"/>
    </row>
    <row r="37" spans="1:31" x14ac:dyDescent="0.25">
      <c r="A37" s="148">
        <f>A35+1</f>
        <v>18</v>
      </c>
      <c r="B37" s="149">
        <f>IF(ISNA(MATCH($A37,Score!A$4:A$41,0)),"",MATCH($A37,Score!A$4:A$41,0)+ROW(Score!A$3))</f>
        <v>29</v>
      </c>
      <c r="C37" s="150" t="str">
        <f t="shared" ca="1" si="6"/>
        <v>352</v>
      </c>
      <c r="D37" s="149">
        <f t="shared" ca="1" si="6"/>
        <v>0</v>
      </c>
      <c r="E37" s="148">
        <f ca="1">IF(B37="","",SUM(D37,D38))</f>
        <v>0</v>
      </c>
      <c r="F37" s="148">
        <f ca="1">IF(B37="","",E37-U37)</f>
        <v>-1</v>
      </c>
      <c r="G37" s="151" t="str">
        <f ca="1">IF($B37="","",IF(ISBLANK(INDIRECT(ADDRESS($B37,G$1,1,,"Score"))),"",1))</f>
        <v/>
      </c>
      <c r="H37" s="151">
        <f ca="1">IF($B37="","",IF(ISBLANK(INDIRECT(ADDRESS($B37,H$1,1,,"Score"))),"",1))</f>
        <v>1</v>
      </c>
      <c r="I37" s="153">
        <f ca="1">IF(H37=1,F37,"")</f>
        <v>-1</v>
      </c>
      <c r="J37" s="151">
        <f t="shared" ca="1" si="7"/>
        <v>1</v>
      </c>
      <c r="K37" s="151" t="str">
        <f t="shared" ca="1" si="7"/>
        <v/>
      </c>
      <c r="L37" s="151" t="str">
        <f t="shared" ca="1" si="7"/>
        <v/>
      </c>
      <c r="M37" s="149">
        <f t="shared" ca="1" si="8"/>
        <v>1</v>
      </c>
      <c r="N37" s="6">
        <f ca="1">IF(ISNA(MATCH($A37,'Game Clock'!A$11:A$48,0)),"",INDIRECT(ADDRESS(MATCH($A37,'Game Clock'!A$11:A$48,0)+ROW('Game Clock'!A$10),N$1,1,,"Game Clock")))</f>
        <v>30</v>
      </c>
      <c r="O37" s="148">
        <f ca="1">IF(OR(N37="",N37=0),"",60*E37/N37)</f>
        <v>0</v>
      </c>
      <c r="Q37" s="148">
        <f>Q35+1</f>
        <v>18</v>
      </c>
      <c r="R37" s="149">
        <f>IF(ISNA(MATCH($Q37,Score!T$4:T$41,0)),"",MATCH($Q37,Score!T$4:T$41,0)++ROW(Score!T$3))</f>
        <v>29</v>
      </c>
      <c r="S37" s="150" t="str">
        <f t="shared" ca="1" si="9"/>
        <v>12</v>
      </c>
      <c r="T37" s="149">
        <f t="shared" ca="1" si="9"/>
        <v>1</v>
      </c>
      <c r="U37" s="148">
        <f ca="1">IF(R37="","",SUM(T37,T38))</f>
        <v>1</v>
      </c>
      <c r="V37" s="148">
        <f ca="1">IF(R37="","",U37-E37)</f>
        <v>1</v>
      </c>
      <c r="W37" s="151" t="str">
        <f ca="1">IF($R37="","",IF(ISBLANK(INDIRECT(ADDRESS($R37,W$1,1,,"Score"))),"",1))</f>
        <v/>
      </c>
      <c r="X37" s="151" t="str">
        <f ca="1">IF($R37="","",IF(ISBLANK(INDIRECT(ADDRESS($R37,X$1,1,,"Score"))),"",1))</f>
        <v/>
      </c>
      <c r="Y37" s="153" t="str">
        <f ca="1">IF(X37=1,V37,"")</f>
        <v/>
      </c>
      <c r="Z37" s="151" t="str">
        <f t="shared" ca="1" si="10"/>
        <v/>
      </c>
      <c r="AA37" s="151" t="str">
        <f t="shared" ca="1" si="10"/>
        <v/>
      </c>
      <c r="AB37" s="151" t="str">
        <f t="shared" ca="1" si="10"/>
        <v/>
      </c>
      <c r="AC37" s="149">
        <f t="shared" ca="1" si="11"/>
        <v>1</v>
      </c>
      <c r="AD37" s="148">
        <f ca="1">N37</f>
        <v>30</v>
      </c>
      <c r="AE37" s="148">
        <f ca="1">IF(OR(AD37="",AD37=0),"",60*U37/AD37)</f>
        <v>2</v>
      </c>
    </row>
    <row r="38" spans="1:31" x14ac:dyDescent="0.3">
      <c r="A38" s="148"/>
      <c r="B38" s="149" t="str">
        <f ca="1">IF($B37="","",IF(INDIRECT(ADDRESS($B37+1,C$1-1,1,,"Score"))="SP",$B37+1,""))</f>
        <v/>
      </c>
      <c r="C38" s="150" t="str">
        <f t="shared" ca="1" si="6"/>
        <v/>
      </c>
      <c r="D38" s="149" t="str">
        <f t="shared" ca="1" si="6"/>
        <v/>
      </c>
      <c r="E38" s="148"/>
      <c r="F38" s="148"/>
      <c r="G38" s="151"/>
      <c r="H38" s="152"/>
      <c r="I38" s="153"/>
      <c r="J38" s="151" t="str">
        <f t="shared" ca="1" si="7"/>
        <v/>
      </c>
      <c r="K38" s="151" t="str">
        <f t="shared" ca="1" si="7"/>
        <v/>
      </c>
      <c r="L38" s="151" t="str">
        <f t="shared" ca="1" si="7"/>
        <v/>
      </c>
      <c r="M38" s="149" t="str">
        <f t="shared" ca="1" si="8"/>
        <v/>
      </c>
      <c r="N38" s="148"/>
      <c r="O38" s="148"/>
      <c r="Q38" s="148"/>
      <c r="R38" s="149" t="str">
        <f ca="1">IF($R37="","",IF(INDIRECT(ADDRESS($R37+1,S$1-1,1,,"Score"))="SP",$R37+1,""))</f>
        <v/>
      </c>
      <c r="S38" s="150" t="str">
        <f t="shared" ca="1" si="9"/>
        <v/>
      </c>
      <c r="T38" s="149" t="str">
        <f t="shared" ca="1" si="9"/>
        <v/>
      </c>
      <c r="U38" s="148"/>
      <c r="V38" s="148"/>
      <c r="W38" s="151"/>
      <c r="X38" s="152"/>
      <c r="Y38" s="153"/>
      <c r="Z38" s="151" t="str">
        <f t="shared" ca="1" si="10"/>
        <v/>
      </c>
      <c r="AA38" s="151" t="str">
        <f t="shared" ca="1" si="10"/>
        <v/>
      </c>
      <c r="AB38" s="151" t="str">
        <f t="shared" ca="1" si="10"/>
        <v/>
      </c>
      <c r="AC38" s="149" t="str">
        <f t="shared" ca="1" si="11"/>
        <v/>
      </c>
      <c r="AD38" s="148"/>
      <c r="AE38" s="148"/>
    </row>
    <row r="39" spans="1:31" x14ac:dyDescent="0.25">
      <c r="A39" s="6">
        <f>A37+1</f>
        <v>19</v>
      </c>
      <c r="B39" s="20">
        <f>IF(ISNA(MATCH($A39,Score!A$4:A$41,0)),"",MATCH($A39,Score!A$4:A$41,0)+ROW(Score!A$3))</f>
        <v>30</v>
      </c>
      <c r="C39" s="89" t="str">
        <f t="shared" ca="1" si="6"/>
        <v>202</v>
      </c>
      <c r="D39" s="20">
        <f t="shared" ca="1" si="6"/>
        <v>8</v>
      </c>
      <c r="E39" s="6">
        <f ca="1">IF(B39="","",SUM(D39,D40))</f>
        <v>8</v>
      </c>
      <c r="F39" s="6">
        <f ca="1">IF(B39="","",E39-U39)</f>
        <v>5</v>
      </c>
      <c r="G39" s="157" t="str">
        <f ca="1">IF($B39="","",IF(ISBLANK(INDIRECT(ADDRESS($B39,G$1,1,,"Score"))),"",1))</f>
        <v/>
      </c>
      <c r="H39" s="157">
        <f ca="1">IF($B39="","",IF(ISBLANK(INDIRECT(ADDRESS($B39,H$1,1,,"Score"))),"",1))</f>
        <v>1</v>
      </c>
      <c r="I39" s="147">
        <f ca="1">IF(H39=1,F39,"")</f>
        <v>5</v>
      </c>
      <c r="J39" s="157" t="str">
        <f t="shared" ca="1" si="7"/>
        <v/>
      </c>
      <c r="K39" s="157" t="str">
        <f t="shared" ca="1" si="7"/>
        <v/>
      </c>
      <c r="L39" s="157" t="str">
        <f t="shared" ca="1" si="7"/>
        <v/>
      </c>
      <c r="M39" s="20">
        <f t="shared" ca="1" si="8"/>
        <v>3</v>
      </c>
      <c r="N39" s="6">
        <f ca="1">IF(ISNA(MATCH($A39,'Game Clock'!A$11:A$48,0)),"",INDIRECT(ADDRESS(MATCH($A39,'Game Clock'!A$11:A$48,0)+ROW('Game Clock'!A$10),N$1,1,,"Game Clock")))</f>
        <v>120</v>
      </c>
      <c r="O39" s="6">
        <f ca="1">IF(OR(N39="",N39=0),"",60*E39/N39)</f>
        <v>4</v>
      </c>
      <c r="Q39" s="6">
        <f>Q37+1</f>
        <v>19</v>
      </c>
      <c r="R39" s="20">
        <f>IF(ISNA(MATCH($Q39,Score!T$4:T$41,0)),"",MATCH($Q39,Score!T$4:T$41,0)++ROW(Score!T$3))</f>
        <v>30</v>
      </c>
      <c r="S39" s="89" t="str">
        <f t="shared" ca="1" si="9"/>
        <v>23</v>
      </c>
      <c r="T39" s="20">
        <f t="shared" ca="1" si="9"/>
        <v>3</v>
      </c>
      <c r="U39" s="6">
        <f ca="1">IF(R39="","",SUM(T39,T40))</f>
        <v>3</v>
      </c>
      <c r="V39" s="6">
        <f ca="1">IF(R39="","",U39-E39)</f>
        <v>-5</v>
      </c>
      <c r="W39" s="157" t="str">
        <f ca="1">IF($R39="","",IF(ISBLANK(INDIRECT(ADDRESS($R39,W$1,1,,"Score"))),"",1))</f>
        <v/>
      </c>
      <c r="X39" s="157" t="str">
        <f ca="1">IF($R39="","",IF(ISBLANK(INDIRECT(ADDRESS($R39,X$1,1,,"Score"))),"",1))</f>
        <v/>
      </c>
      <c r="Y39" s="147" t="str">
        <f ca="1">IF(X39=1,V39,"")</f>
        <v/>
      </c>
      <c r="Z39" s="157" t="str">
        <f t="shared" ca="1" si="10"/>
        <v/>
      </c>
      <c r="AA39" s="157" t="str">
        <f t="shared" ca="1" si="10"/>
        <v/>
      </c>
      <c r="AB39" s="157" t="str">
        <f t="shared" ca="1" si="10"/>
        <v/>
      </c>
      <c r="AC39" s="20">
        <f t="shared" ca="1" si="11"/>
        <v>1</v>
      </c>
      <c r="AD39" s="6">
        <f ca="1">N39</f>
        <v>120</v>
      </c>
      <c r="AE39" s="6">
        <f ca="1">IF(OR(AD39="",AD39=0),"",60*U39/AD39)</f>
        <v>1.5</v>
      </c>
    </row>
    <row r="40" spans="1:31" x14ac:dyDescent="0.25">
      <c r="A40" s="6"/>
      <c r="B40" s="20" t="str">
        <f ca="1">IF($B39="","",IF(INDIRECT(ADDRESS($B39+1,C$1-1,1,,"Score"))="SP",$B39+1,""))</f>
        <v/>
      </c>
      <c r="C40" s="89" t="str">
        <f t="shared" ca="1" si="6"/>
        <v/>
      </c>
      <c r="D40" s="20" t="str">
        <f t="shared" ca="1" si="6"/>
        <v/>
      </c>
      <c r="E40" s="6"/>
      <c r="F40" s="6"/>
      <c r="G40" s="157"/>
      <c r="H40" s="157"/>
      <c r="I40" s="147"/>
      <c r="J40" s="157" t="str">
        <f t="shared" ca="1" si="7"/>
        <v/>
      </c>
      <c r="K40" s="157" t="str">
        <f t="shared" ca="1" si="7"/>
        <v/>
      </c>
      <c r="L40" s="157" t="str">
        <f t="shared" ca="1" si="7"/>
        <v/>
      </c>
      <c r="M40" s="20" t="str">
        <f t="shared" ca="1" si="8"/>
        <v/>
      </c>
      <c r="N40" s="6"/>
      <c r="O40" s="6"/>
      <c r="Q40" s="6"/>
      <c r="R40" s="20" t="str">
        <f ca="1">IF($R39="","",IF(INDIRECT(ADDRESS($R39+1,S$1-1,1,,"Score"))="SP",$R39+1,""))</f>
        <v/>
      </c>
      <c r="S40" s="89" t="str">
        <f t="shared" ca="1" si="9"/>
        <v/>
      </c>
      <c r="T40" s="20" t="str">
        <f t="shared" ca="1" si="9"/>
        <v/>
      </c>
      <c r="U40" s="6"/>
      <c r="V40" s="6"/>
      <c r="W40" s="157"/>
      <c r="X40" s="157"/>
      <c r="Y40" s="147"/>
      <c r="Z40" s="157" t="str">
        <f t="shared" ca="1" si="10"/>
        <v/>
      </c>
      <c r="AA40" s="157" t="str">
        <f t="shared" ca="1" si="10"/>
        <v/>
      </c>
      <c r="AB40" s="157" t="str">
        <f t="shared" ca="1" si="10"/>
        <v/>
      </c>
      <c r="AC40" s="20" t="str">
        <f t="shared" ca="1" si="11"/>
        <v/>
      </c>
      <c r="AD40" s="6"/>
      <c r="AE40" s="6"/>
    </row>
    <row r="41" spans="1:31" x14ac:dyDescent="0.25">
      <c r="A41" s="148">
        <f>A39+1</f>
        <v>20</v>
      </c>
      <c r="B41" s="149">
        <f>IF(ISNA(MATCH($A41,Score!A$4:A$41,0)),"",MATCH($A41,Score!A$4:A$41,0)+ROW(Score!A$3))</f>
        <v>31</v>
      </c>
      <c r="C41" s="150" t="str">
        <f t="shared" ca="1" si="6"/>
        <v>352</v>
      </c>
      <c r="D41" s="149">
        <f t="shared" ca="1" si="6"/>
        <v>4</v>
      </c>
      <c r="E41" s="148">
        <f ca="1">IF(B41="","",SUM(D41,D42))</f>
        <v>4</v>
      </c>
      <c r="F41" s="148">
        <f ca="1">IF(B41="","",E41-U41)</f>
        <v>-6</v>
      </c>
      <c r="G41" s="151" t="str">
        <f ca="1">IF($B41="","",IF(ISBLANK(INDIRECT(ADDRESS($B41,G$1,1,,"Score"))),"",1))</f>
        <v/>
      </c>
      <c r="H41" s="151" t="str">
        <f ca="1">IF($B41="","",IF(ISBLANK(INDIRECT(ADDRESS($B41,H$1,1,,"Score"))),"",1))</f>
        <v/>
      </c>
      <c r="I41" s="153" t="str">
        <f ca="1">IF(H41=1,F41,"")</f>
        <v/>
      </c>
      <c r="J41" s="151" t="str">
        <f t="shared" ca="1" si="7"/>
        <v/>
      </c>
      <c r="K41" s="151" t="str">
        <f t="shared" ca="1" si="7"/>
        <v/>
      </c>
      <c r="L41" s="151" t="str">
        <f t="shared" ca="1" si="7"/>
        <v/>
      </c>
      <c r="M41" s="149">
        <f t="shared" ca="1" si="8"/>
        <v>2</v>
      </c>
      <c r="N41" s="6">
        <f ca="1">IF(ISNA(MATCH($A41,'Game Clock'!A$11:A$48,0)),"",INDIRECT(ADDRESS(MATCH($A41,'Game Clock'!A$11:A$48,0)+ROW('Game Clock'!A$10),N$1,1,,"Game Clock")))</f>
        <v>86</v>
      </c>
      <c r="O41" s="148">
        <f ca="1">IF(OR(N41="",N41=0),"",60*E41/N41)</f>
        <v>2.7906976744186047</v>
      </c>
      <c r="Q41" s="148">
        <f>Q39+1</f>
        <v>20</v>
      </c>
      <c r="R41" s="149">
        <f>IF(ISNA(MATCH($Q41,Score!T$4:T$41,0)),"",MATCH($Q41,Score!T$4:T$41,0)++ROW(Score!T$3))</f>
        <v>31</v>
      </c>
      <c r="S41" s="150" t="str">
        <f t="shared" ca="1" si="9"/>
        <v>12</v>
      </c>
      <c r="T41" s="149">
        <f t="shared" ca="1" si="9"/>
        <v>10</v>
      </c>
      <c r="U41" s="148">
        <f ca="1">IF(R41="","",SUM(T41,T42))</f>
        <v>10</v>
      </c>
      <c r="V41" s="148">
        <f ca="1">IF(R41="","",U41-E41)</f>
        <v>6</v>
      </c>
      <c r="W41" s="151" t="str">
        <f ca="1">IF($R41="","",IF(ISBLANK(INDIRECT(ADDRESS($R41,W$1,1,,"Score"))),"",1))</f>
        <v/>
      </c>
      <c r="X41" s="151">
        <f ca="1">IF($R41="","",IF(ISBLANK(INDIRECT(ADDRESS($R41,X$1,1,,"Score"))),"",1))</f>
        <v>1</v>
      </c>
      <c r="Y41" s="153">
        <f ca="1">IF(X41=1,V41,"")</f>
        <v>6</v>
      </c>
      <c r="Z41" s="151">
        <f t="shared" ca="1" si="10"/>
        <v>1</v>
      </c>
      <c r="AA41" s="151" t="str">
        <f t="shared" ca="1" si="10"/>
        <v/>
      </c>
      <c r="AB41" s="151" t="str">
        <f t="shared" ca="1" si="10"/>
        <v/>
      </c>
      <c r="AC41" s="149">
        <f t="shared" ca="1" si="11"/>
        <v>3</v>
      </c>
      <c r="AD41" s="148">
        <f ca="1">N41</f>
        <v>86</v>
      </c>
      <c r="AE41" s="148">
        <f ca="1">IF(OR(AD41="",AD41=0),"",60*U41/AD41)</f>
        <v>6.9767441860465116</v>
      </c>
    </row>
    <row r="42" spans="1:31" x14ac:dyDescent="0.3">
      <c r="A42" s="148"/>
      <c r="B42" s="149" t="str">
        <f ca="1">IF($B41="","",IF(INDIRECT(ADDRESS($B41+1,C$1-1,1,,"Score"))="SP",$B41+1,""))</f>
        <v/>
      </c>
      <c r="C42" s="150" t="str">
        <f t="shared" ca="1" si="6"/>
        <v/>
      </c>
      <c r="D42" s="149" t="str">
        <f t="shared" ca="1" si="6"/>
        <v/>
      </c>
      <c r="E42" s="148"/>
      <c r="F42" s="148"/>
      <c r="G42" s="151"/>
      <c r="H42" s="152"/>
      <c r="I42" s="153"/>
      <c r="J42" s="151" t="str">
        <f t="shared" ca="1" si="7"/>
        <v/>
      </c>
      <c r="K42" s="151" t="str">
        <f t="shared" ca="1" si="7"/>
        <v/>
      </c>
      <c r="L42" s="151" t="str">
        <f t="shared" ca="1" si="7"/>
        <v/>
      </c>
      <c r="M42" s="149" t="str">
        <f t="shared" ca="1" si="8"/>
        <v/>
      </c>
      <c r="N42" s="148"/>
      <c r="O42" s="148"/>
      <c r="Q42" s="148"/>
      <c r="R42" s="149" t="str">
        <f ca="1">IF($R41="","",IF(INDIRECT(ADDRESS($R41+1,S$1-1,1,,"Score"))="SP",$R41+1,""))</f>
        <v/>
      </c>
      <c r="S42" s="150" t="str">
        <f t="shared" ca="1" si="9"/>
        <v/>
      </c>
      <c r="T42" s="149" t="str">
        <f t="shared" ca="1" si="9"/>
        <v/>
      </c>
      <c r="U42" s="148"/>
      <c r="V42" s="148"/>
      <c r="W42" s="151"/>
      <c r="X42" s="152"/>
      <c r="Y42" s="153"/>
      <c r="Z42" s="151" t="str">
        <f t="shared" ca="1" si="10"/>
        <v/>
      </c>
      <c r="AA42" s="151" t="str">
        <f t="shared" ca="1" si="10"/>
        <v/>
      </c>
      <c r="AB42" s="151" t="str">
        <f t="shared" ca="1" si="10"/>
        <v/>
      </c>
      <c r="AC42" s="149" t="str">
        <f t="shared" ca="1" si="11"/>
        <v/>
      </c>
      <c r="AD42" s="148"/>
      <c r="AE42" s="148"/>
    </row>
    <row r="43" spans="1:31" x14ac:dyDescent="0.25">
      <c r="A43" s="6">
        <f>A41+1</f>
        <v>21</v>
      </c>
      <c r="B43" s="20" t="str">
        <f>IF(ISNA(MATCH($A43,Score!A$4:A$41,0)),"",MATCH($A43,Score!A$4:A$41,0)+ROW(Score!A$3))</f>
        <v/>
      </c>
      <c r="C43" s="89" t="str">
        <f t="shared" ref="C43:D58" ca="1" si="12">IF($B43="","",INDIRECT(ADDRESS($B43,C$1,1,,"Score")))</f>
        <v/>
      </c>
      <c r="D43" s="20" t="str">
        <f t="shared" ca="1" si="12"/>
        <v/>
      </c>
      <c r="E43" s="6" t="str">
        <f>IF(B43="","",SUM(D43,D44))</f>
        <v/>
      </c>
      <c r="F43" s="6" t="str">
        <f>IF(B43="","",E43-U43)</f>
        <v/>
      </c>
      <c r="G43" s="157" t="str">
        <f ca="1">IF($B43="","",IF(ISBLANK(INDIRECT(ADDRESS($B43,G$1,1,,"Score"))),"",1))</f>
        <v/>
      </c>
      <c r="H43" s="157" t="str">
        <f ca="1">IF($B43="","",IF(ISBLANK(INDIRECT(ADDRESS($B43,H$1,1,,"Score"))),"",1))</f>
        <v/>
      </c>
      <c r="I43" s="147" t="str">
        <f ca="1">IF(H43=1,F43,"")</f>
        <v/>
      </c>
      <c r="J43" s="157" t="str">
        <f t="shared" ref="J43:L58" ca="1" si="13">IF($B43="","",IF(ISBLANK(INDIRECT(ADDRESS($B43,J$1,1,,"Score"))),"",1))</f>
        <v/>
      </c>
      <c r="K43" s="157" t="str">
        <f t="shared" ca="1" si="13"/>
        <v/>
      </c>
      <c r="L43" s="157" t="str">
        <f t="shared" ca="1" si="13"/>
        <v/>
      </c>
      <c r="M43" s="20" t="str">
        <f t="shared" ref="M43:M58" ca="1" si="14">IF($B43="","",INDIRECT(ADDRESS($B43,M$1,1,,"Score")))</f>
        <v/>
      </c>
      <c r="N43" s="6" t="str">
        <f ca="1">IF(ISNA(MATCH($A43,'Game Clock'!A$11:A$48,0)),"",INDIRECT(ADDRESS(MATCH($A43,'Game Clock'!A$11:A$48,0)+ROW('Game Clock'!A$10),N$1,1,,"Game Clock")))</f>
        <v/>
      </c>
      <c r="O43" s="6" t="str">
        <f ca="1">IF(OR(N43="",N43=0),"",60*E43/N43)</f>
        <v/>
      </c>
      <c r="Q43" s="6">
        <f>Q41+1</f>
        <v>21</v>
      </c>
      <c r="R43" s="20" t="str">
        <f>IF(ISNA(MATCH($Q43,Score!T$4:T$41,0)),"",MATCH($Q43,Score!T$4:T$41,0)++ROW(Score!T$3))</f>
        <v/>
      </c>
      <c r="S43" s="89" t="str">
        <f t="shared" ref="S43:T58" ca="1" si="15">IF($R43="","",INDIRECT(ADDRESS($R43,S$1,1,,"Score")))</f>
        <v/>
      </c>
      <c r="T43" s="20" t="str">
        <f t="shared" ca="1" si="15"/>
        <v/>
      </c>
      <c r="U43" s="6" t="str">
        <f>IF(R43="","",SUM(T43,T44))</f>
        <v/>
      </c>
      <c r="V43" s="6" t="str">
        <f>IF(R43="","",U43-E43)</f>
        <v/>
      </c>
      <c r="W43" s="157" t="str">
        <f ca="1">IF($R43="","",IF(ISBLANK(INDIRECT(ADDRESS($R43,W$1,1,,"Score"))),"",1))</f>
        <v/>
      </c>
      <c r="X43" s="157" t="str">
        <f ca="1">IF($R43="","",IF(ISBLANK(INDIRECT(ADDRESS($R43,X$1,1,,"Score"))),"",1))</f>
        <v/>
      </c>
      <c r="Y43" s="147" t="str">
        <f ca="1">IF(X43=1,V43,"")</f>
        <v/>
      </c>
      <c r="Z43" s="157" t="str">
        <f t="shared" ref="Z43:AB58" ca="1" si="16">IF($R43="","",IF(ISBLANK(INDIRECT(ADDRESS($R43,Z$1,1,,"Score"))),"",1))</f>
        <v/>
      </c>
      <c r="AA43" s="157" t="str">
        <f t="shared" ca="1" si="16"/>
        <v/>
      </c>
      <c r="AB43" s="157" t="str">
        <f t="shared" ca="1" si="16"/>
        <v/>
      </c>
      <c r="AC43" s="20" t="str">
        <f t="shared" ref="AC43:AC58" ca="1" si="17">IF($R43="","",INDIRECT(ADDRESS($R43,AC$1,1,,"Score")))</f>
        <v/>
      </c>
      <c r="AD43" s="6" t="str">
        <f ca="1">N43</f>
        <v/>
      </c>
      <c r="AE43" s="6" t="str">
        <f ca="1">IF(OR(AD43="",AD43=0),"",60*U43/AD43)</f>
        <v/>
      </c>
    </row>
    <row r="44" spans="1:31" x14ac:dyDescent="0.25">
      <c r="A44" s="6"/>
      <c r="B44" s="20" t="str">
        <f ca="1">IF($B43="","",IF(INDIRECT(ADDRESS($B43+1,C$1-1,1,,"Score"))="SP",$B43+1,""))</f>
        <v/>
      </c>
      <c r="C44" s="89" t="str">
        <f t="shared" ca="1" si="12"/>
        <v/>
      </c>
      <c r="D44" s="20" t="str">
        <f t="shared" ca="1" si="12"/>
        <v/>
      </c>
      <c r="E44" s="6"/>
      <c r="F44" s="6"/>
      <c r="G44" s="157"/>
      <c r="H44" s="157"/>
      <c r="I44" s="147"/>
      <c r="J44" s="157" t="str">
        <f t="shared" ca="1" si="13"/>
        <v/>
      </c>
      <c r="K44" s="157" t="str">
        <f t="shared" ca="1" si="13"/>
        <v/>
      </c>
      <c r="L44" s="157" t="str">
        <f t="shared" ca="1" si="13"/>
        <v/>
      </c>
      <c r="M44" s="20" t="str">
        <f t="shared" ca="1" si="14"/>
        <v/>
      </c>
      <c r="N44" s="6"/>
      <c r="O44" s="6"/>
      <c r="Q44" s="6"/>
      <c r="R44" s="20" t="str">
        <f ca="1">IF($R43="","",IF(INDIRECT(ADDRESS($R43+1,S$1-1,1,,"Score"))="SP",$R43+1,""))</f>
        <v/>
      </c>
      <c r="S44" s="89" t="str">
        <f t="shared" ca="1" si="15"/>
        <v/>
      </c>
      <c r="T44" s="20" t="str">
        <f t="shared" ca="1" si="15"/>
        <v/>
      </c>
      <c r="U44" s="6"/>
      <c r="V44" s="6"/>
      <c r="W44" s="157"/>
      <c r="X44" s="157"/>
      <c r="Y44" s="147"/>
      <c r="Z44" s="157" t="str">
        <f t="shared" ca="1" si="16"/>
        <v/>
      </c>
      <c r="AA44" s="157" t="str">
        <f t="shared" ca="1" si="16"/>
        <v/>
      </c>
      <c r="AB44" s="157" t="str">
        <f t="shared" ca="1" si="16"/>
        <v/>
      </c>
      <c r="AC44" s="20" t="str">
        <f t="shared" ca="1" si="17"/>
        <v/>
      </c>
      <c r="AD44" s="6"/>
      <c r="AE44" s="6"/>
    </row>
    <row r="45" spans="1:31" x14ac:dyDescent="0.25">
      <c r="A45" s="148">
        <f>A43+1</f>
        <v>22</v>
      </c>
      <c r="B45" s="149" t="str">
        <f>IF(ISNA(MATCH($A45,Score!A$4:A$41,0)),"",MATCH($A45,Score!A$4:A$41,0)+ROW(Score!A$3))</f>
        <v/>
      </c>
      <c r="C45" s="150" t="str">
        <f t="shared" ca="1" si="12"/>
        <v/>
      </c>
      <c r="D45" s="149" t="str">
        <f t="shared" ca="1" si="12"/>
        <v/>
      </c>
      <c r="E45" s="148" t="str">
        <f>IF(B45="","",SUM(D45,D46))</f>
        <v/>
      </c>
      <c r="F45" s="148" t="str">
        <f>IF(B45="","",E45-U45)</f>
        <v/>
      </c>
      <c r="G45" s="151" t="str">
        <f ca="1">IF($B45="","",IF(ISBLANK(INDIRECT(ADDRESS($B45,G$1,1,,"Score"))),"",1))</f>
        <v/>
      </c>
      <c r="H45" s="151" t="str">
        <f ca="1">IF($B45="","",IF(ISBLANK(INDIRECT(ADDRESS($B45,H$1,1,,"Score"))),"",1))</f>
        <v/>
      </c>
      <c r="I45" s="153" t="str">
        <f ca="1">IF(H45=1,F45,"")</f>
        <v/>
      </c>
      <c r="J45" s="151" t="str">
        <f t="shared" ca="1" si="13"/>
        <v/>
      </c>
      <c r="K45" s="151" t="str">
        <f t="shared" ca="1" si="13"/>
        <v/>
      </c>
      <c r="L45" s="151" t="str">
        <f t="shared" ca="1" si="13"/>
        <v/>
      </c>
      <c r="M45" s="149" t="str">
        <f t="shared" ca="1" si="14"/>
        <v/>
      </c>
      <c r="N45" s="6" t="str">
        <f ca="1">IF(ISNA(MATCH($A45,'Game Clock'!A$11:A$48,0)),"",INDIRECT(ADDRESS(MATCH($A45,'Game Clock'!A$11:A$48,0)+ROW('Game Clock'!A$10),N$1,1,,"Game Clock")))</f>
        <v/>
      </c>
      <c r="O45" s="148" t="str">
        <f ca="1">IF(OR(N45="",N45=0),"",60*E45/N45)</f>
        <v/>
      </c>
      <c r="Q45" s="148">
        <f>Q43+1</f>
        <v>22</v>
      </c>
      <c r="R45" s="149" t="str">
        <f>IF(ISNA(MATCH($Q45,Score!T$4:T$41,0)),"",MATCH($Q45,Score!T$4:T$41,0)++ROW(Score!T$3))</f>
        <v/>
      </c>
      <c r="S45" s="150" t="str">
        <f t="shared" ca="1" si="15"/>
        <v/>
      </c>
      <c r="T45" s="149" t="str">
        <f t="shared" ca="1" si="15"/>
        <v/>
      </c>
      <c r="U45" s="148" t="str">
        <f>IF(R45="","",SUM(T45,T46))</f>
        <v/>
      </c>
      <c r="V45" s="148" t="str">
        <f>IF(R45="","",U45-E45)</f>
        <v/>
      </c>
      <c r="W45" s="151" t="str">
        <f ca="1">IF($R45="","",IF(ISBLANK(INDIRECT(ADDRESS($R45,W$1,1,,"Score"))),"",1))</f>
        <v/>
      </c>
      <c r="X45" s="151" t="str">
        <f ca="1">IF($R45="","",IF(ISBLANK(INDIRECT(ADDRESS($R45,X$1,1,,"Score"))),"",1))</f>
        <v/>
      </c>
      <c r="Y45" s="153" t="str">
        <f ca="1">IF(X45=1,V45,"")</f>
        <v/>
      </c>
      <c r="Z45" s="151" t="str">
        <f t="shared" ca="1" si="16"/>
        <v/>
      </c>
      <c r="AA45" s="151" t="str">
        <f t="shared" ca="1" si="16"/>
        <v/>
      </c>
      <c r="AB45" s="151" t="str">
        <f t="shared" ca="1" si="16"/>
        <v/>
      </c>
      <c r="AC45" s="149" t="str">
        <f t="shared" ca="1" si="17"/>
        <v/>
      </c>
      <c r="AD45" s="148" t="str">
        <f ca="1">N45</f>
        <v/>
      </c>
      <c r="AE45" s="148" t="str">
        <f ca="1">IF(OR(AD45="",AD45=0),"",60*U45/AD45)</f>
        <v/>
      </c>
    </row>
    <row r="46" spans="1:31" x14ac:dyDescent="0.3">
      <c r="A46" s="148"/>
      <c r="B46" s="149" t="str">
        <f ca="1">IF($B45="","",IF(INDIRECT(ADDRESS($B45+1,C$1-1,1,,"Score"))="SP",$B45+1,""))</f>
        <v/>
      </c>
      <c r="C46" s="150" t="str">
        <f t="shared" ca="1" si="12"/>
        <v/>
      </c>
      <c r="D46" s="149" t="str">
        <f t="shared" ca="1" si="12"/>
        <v/>
      </c>
      <c r="E46" s="148"/>
      <c r="F46" s="148"/>
      <c r="G46" s="151"/>
      <c r="H46" s="152"/>
      <c r="I46" s="153"/>
      <c r="J46" s="151" t="str">
        <f t="shared" ca="1" si="13"/>
        <v/>
      </c>
      <c r="K46" s="151" t="str">
        <f t="shared" ca="1" si="13"/>
        <v/>
      </c>
      <c r="L46" s="151" t="str">
        <f t="shared" ca="1" si="13"/>
        <v/>
      </c>
      <c r="M46" s="149" t="str">
        <f t="shared" ca="1" si="14"/>
        <v/>
      </c>
      <c r="N46" s="148"/>
      <c r="O46" s="148"/>
      <c r="Q46" s="148"/>
      <c r="R46" s="149" t="str">
        <f ca="1">IF($R45="","",IF(INDIRECT(ADDRESS($R45+1,S$1-1,1,,"Score"))="SP",$R45+1,""))</f>
        <v/>
      </c>
      <c r="S46" s="150" t="str">
        <f t="shared" ca="1" si="15"/>
        <v/>
      </c>
      <c r="T46" s="149" t="str">
        <f t="shared" ca="1" si="15"/>
        <v/>
      </c>
      <c r="U46" s="148"/>
      <c r="V46" s="148"/>
      <c r="W46" s="151"/>
      <c r="X46" s="152"/>
      <c r="Y46" s="153"/>
      <c r="Z46" s="151" t="str">
        <f t="shared" ca="1" si="16"/>
        <v/>
      </c>
      <c r="AA46" s="151" t="str">
        <f t="shared" ca="1" si="16"/>
        <v/>
      </c>
      <c r="AB46" s="151" t="str">
        <f t="shared" ca="1" si="16"/>
        <v/>
      </c>
      <c r="AC46" s="149" t="str">
        <f t="shared" ca="1" si="17"/>
        <v/>
      </c>
      <c r="AD46" s="148"/>
      <c r="AE46" s="148"/>
    </row>
    <row r="47" spans="1:31" x14ac:dyDescent="0.25">
      <c r="A47" s="6">
        <f>A45+1</f>
        <v>23</v>
      </c>
      <c r="B47" s="20" t="str">
        <f>IF(ISNA(MATCH($A47,Score!A$4:A$41,0)),"",MATCH($A47,Score!A$4:A$41,0)+ROW(Score!A$3))</f>
        <v/>
      </c>
      <c r="C47" s="89" t="str">
        <f t="shared" ca="1" si="12"/>
        <v/>
      </c>
      <c r="D47" s="20" t="str">
        <f t="shared" ca="1" si="12"/>
        <v/>
      </c>
      <c r="E47" s="6" t="str">
        <f>IF(B47="","",SUM(D47,D48))</f>
        <v/>
      </c>
      <c r="F47" s="6" t="str">
        <f>IF(B47="","",E47-U47)</f>
        <v/>
      </c>
      <c r="G47" s="157" t="str">
        <f ca="1">IF($B47="","",IF(ISBLANK(INDIRECT(ADDRESS($B47,G$1,1,,"Score"))),"",1))</f>
        <v/>
      </c>
      <c r="H47" s="157" t="str">
        <f ca="1">IF($B47="","",IF(ISBLANK(INDIRECT(ADDRESS($B47,H$1,1,,"Score"))),"",1))</f>
        <v/>
      </c>
      <c r="I47" s="147" t="str">
        <f ca="1">IF(H47=1,F47,"")</f>
        <v/>
      </c>
      <c r="J47" s="157" t="str">
        <f t="shared" ca="1" si="13"/>
        <v/>
      </c>
      <c r="K47" s="157" t="str">
        <f t="shared" ca="1" si="13"/>
        <v/>
      </c>
      <c r="L47" s="157" t="str">
        <f t="shared" ca="1" si="13"/>
        <v/>
      </c>
      <c r="M47" s="20" t="str">
        <f t="shared" ca="1" si="14"/>
        <v/>
      </c>
      <c r="N47" s="6" t="str">
        <f ca="1">IF(ISNA(MATCH($A47,'Game Clock'!A$11:A$48,0)),"",INDIRECT(ADDRESS(MATCH($A47,'Game Clock'!A$11:A$48,0)+ROW('Game Clock'!A$10),N$1,1,,"Game Clock")))</f>
        <v/>
      </c>
      <c r="O47" s="6" t="str">
        <f ca="1">IF(OR(N47="",N47=0),"",60*E47/N47)</f>
        <v/>
      </c>
      <c r="Q47" s="6">
        <f>Q45+1</f>
        <v>23</v>
      </c>
      <c r="R47" s="20" t="str">
        <f>IF(ISNA(MATCH($Q47,Score!T$4:T$41,0)),"",MATCH($Q47,Score!T$4:T$41,0)++ROW(Score!T$3))</f>
        <v/>
      </c>
      <c r="S47" s="89" t="str">
        <f t="shared" ca="1" si="15"/>
        <v/>
      </c>
      <c r="T47" s="20" t="str">
        <f t="shared" ca="1" si="15"/>
        <v/>
      </c>
      <c r="U47" s="6" t="str">
        <f>IF(R47="","",SUM(T47,T48))</f>
        <v/>
      </c>
      <c r="V47" s="6" t="str">
        <f>IF(R47="","",U47-E47)</f>
        <v/>
      </c>
      <c r="W47" s="157" t="str">
        <f ca="1">IF($R47="","",IF(ISBLANK(INDIRECT(ADDRESS($R47,W$1,1,,"Score"))),"",1))</f>
        <v/>
      </c>
      <c r="X47" s="157" t="str">
        <f ca="1">IF($R47="","",IF(ISBLANK(INDIRECT(ADDRESS($R47,X$1,1,,"Score"))),"",1))</f>
        <v/>
      </c>
      <c r="Y47" s="147" t="str">
        <f ca="1">IF(X47=1,V47,"")</f>
        <v/>
      </c>
      <c r="Z47" s="157" t="str">
        <f t="shared" ca="1" si="16"/>
        <v/>
      </c>
      <c r="AA47" s="157" t="str">
        <f t="shared" ca="1" si="16"/>
        <v/>
      </c>
      <c r="AB47" s="157" t="str">
        <f t="shared" ca="1" si="16"/>
        <v/>
      </c>
      <c r="AC47" s="20" t="str">
        <f t="shared" ca="1" si="17"/>
        <v/>
      </c>
      <c r="AD47" s="6" t="str">
        <f ca="1">N47</f>
        <v/>
      </c>
      <c r="AE47" s="6" t="str">
        <f ca="1">IF(OR(AD47="",AD47=0),"",60*U47/AD47)</f>
        <v/>
      </c>
    </row>
    <row r="48" spans="1:31" x14ac:dyDescent="0.25">
      <c r="A48" s="6"/>
      <c r="B48" s="20" t="str">
        <f ca="1">IF($B47="","",IF(INDIRECT(ADDRESS($B47+1,C$1-1,1,,"Score"))="SP",$B47+1,""))</f>
        <v/>
      </c>
      <c r="C48" s="89" t="str">
        <f t="shared" ca="1" si="12"/>
        <v/>
      </c>
      <c r="D48" s="20" t="str">
        <f t="shared" ca="1" si="12"/>
        <v/>
      </c>
      <c r="E48" s="6"/>
      <c r="F48" s="6"/>
      <c r="G48" s="157"/>
      <c r="H48" s="157"/>
      <c r="I48" s="147"/>
      <c r="J48" s="157" t="str">
        <f t="shared" ca="1" si="13"/>
        <v/>
      </c>
      <c r="K48" s="157" t="str">
        <f t="shared" ca="1" si="13"/>
        <v/>
      </c>
      <c r="L48" s="157" t="str">
        <f t="shared" ca="1" si="13"/>
        <v/>
      </c>
      <c r="M48" s="20" t="str">
        <f t="shared" ca="1" si="14"/>
        <v/>
      </c>
      <c r="N48" s="6"/>
      <c r="O48" s="6"/>
      <c r="Q48" s="6"/>
      <c r="R48" s="20" t="str">
        <f ca="1">IF($R47="","",IF(INDIRECT(ADDRESS($R47+1,S$1-1,1,,"Score"))="SP",$R47+1,""))</f>
        <v/>
      </c>
      <c r="S48" s="89" t="str">
        <f t="shared" ca="1" si="15"/>
        <v/>
      </c>
      <c r="T48" s="20" t="str">
        <f t="shared" ca="1" si="15"/>
        <v/>
      </c>
      <c r="U48" s="6"/>
      <c r="V48" s="6"/>
      <c r="W48" s="157"/>
      <c r="X48" s="157"/>
      <c r="Y48" s="147"/>
      <c r="Z48" s="157" t="str">
        <f t="shared" ca="1" si="16"/>
        <v/>
      </c>
      <c r="AA48" s="157" t="str">
        <f t="shared" ca="1" si="16"/>
        <v/>
      </c>
      <c r="AB48" s="157" t="str">
        <f t="shared" ca="1" si="16"/>
        <v/>
      </c>
      <c r="AC48" s="20" t="str">
        <f t="shared" ca="1" si="17"/>
        <v/>
      </c>
      <c r="AD48" s="6"/>
      <c r="AE48" s="6"/>
    </row>
    <row r="49" spans="1:31" x14ac:dyDescent="0.25">
      <c r="A49" s="148">
        <f>A47+1</f>
        <v>24</v>
      </c>
      <c r="B49" s="149" t="str">
        <f>IF(ISNA(MATCH($A49,Score!A$4:A$41,0)),"",MATCH($A49,Score!A$4:A$41,0)+ROW(Score!A$3))</f>
        <v/>
      </c>
      <c r="C49" s="150" t="str">
        <f t="shared" ca="1" si="12"/>
        <v/>
      </c>
      <c r="D49" s="149" t="str">
        <f t="shared" ca="1" si="12"/>
        <v/>
      </c>
      <c r="E49" s="148" t="str">
        <f>IF(B49="","",SUM(D49,D50))</f>
        <v/>
      </c>
      <c r="F49" s="148" t="str">
        <f>IF(B49="","",E49-U49)</f>
        <v/>
      </c>
      <c r="G49" s="151" t="str">
        <f ca="1">IF($B49="","",IF(ISBLANK(INDIRECT(ADDRESS($B49,G$1,1,,"Score"))),"",1))</f>
        <v/>
      </c>
      <c r="H49" s="151" t="str">
        <f ca="1">IF($B49="","",IF(ISBLANK(INDIRECT(ADDRESS($B49,H$1,1,,"Score"))),"",1))</f>
        <v/>
      </c>
      <c r="I49" s="153" t="str">
        <f ca="1">IF(H49=1,F49,"")</f>
        <v/>
      </c>
      <c r="J49" s="151" t="str">
        <f t="shared" ca="1" si="13"/>
        <v/>
      </c>
      <c r="K49" s="151" t="str">
        <f t="shared" ca="1" si="13"/>
        <v/>
      </c>
      <c r="L49" s="151" t="str">
        <f t="shared" ca="1" si="13"/>
        <v/>
      </c>
      <c r="M49" s="149" t="str">
        <f t="shared" ca="1" si="14"/>
        <v/>
      </c>
      <c r="N49" s="6" t="str">
        <f ca="1">IF(ISNA(MATCH($A49,'Game Clock'!A$11:A$48,0)),"",INDIRECT(ADDRESS(MATCH($A49,'Game Clock'!A$11:A$48,0)+ROW('Game Clock'!A$10),N$1,1,,"Game Clock")))</f>
        <v/>
      </c>
      <c r="O49" s="148" t="str">
        <f ca="1">IF(OR(N49="",N49=0),"",60*E49/N49)</f>
        <v/>
      </c>
      <c r="Q49" s="148">
        <f>Q47+1</f>
        <v>24</v>
      </c>
      <c r="R49" s="149" t="str">
        <f>IF(ISNA(MATCH($Q49,Score!T$4:T$41,0)),"",MATCH($Q49,Score!T$4:T$41,0)++ROW(Score!T$3))</f>
        <v/>
      </c>
      <c r="S49" s="150" t="str">
        <f t="shared" ca="1" si="15"/>
        <v/>
      </c>
      <c r="T49" s="149" t="str">
        <f t="shared" ca="1" si="15"/>
        <v/>
      </c>
      <c r="U49" s="148" t="str">
        <f>IF(R49="","",SUM(T49,T50))</f>
        <v/>
      </c>
      <c r="V49" s="148" t="str">
        <f>IF(R49="","",U49-E49)</f>
        <v/>
      </c>
      <c r="W49" s="151" t="str">
        <f ca="1">IF($R49="","",IF(ISBLANK(INDIRECT(ADDRESS($R49,W$1,1,,"Score"))),"",1))</f>
        <v/>
      </c>
      <c r="X49" s="151" t="str">
        <f ca="1">IF($R49="","",IF(ISBLANK(INDIRECT(ADDRESS($R49,X$1,1,,"Score"))),"",1))</f>
        <v/>
      </c>
      <c r="Y49" s="153" t="str">
        <f ca="1">IF(X49=1,V49,"")</f>
        <v/>
      </c>
      <c r="Z49" s="151" t="str">
        <f t="shared" ca="1" si="16"/>
        <v/>
      </c>
      <c r="AA49" s="151" t="str">
        <f t="shared" ca="1" si="16"/>
        <v/>
      </c>
      <c r="AB49" s="151" t="str">
        <f t="shared" ca="1" si="16"/>
        <v/>
      </c>
      <c r="AC49" s="149" t="str">
        <f t="shared" ca="1" si="17"/>
        <v/>
      </c>
      <c r="AD49" s="148" t="str">
        <f ca="1">N49</f>
        <v/>
      </c>
      <c r="AE49" s="148" t="str">
        <f ca="1">IF(OR(AD49="",AD49=0),"",60*U49/AD49)</f>
        <v/>
      </c>
    </row>
    <row r="50" spans="1:31" x14ac:dyDescent="0.3">
      <c r="A50" s="148"/>
      <c r="B50" s="149" t="str">
        <f ca="1">IF($B49="","",IF(INDIRECT(ADDRESS($B49+1,C$1-1,1,,"Score"))="SP",$B49+1,""))</f>
        <v/>
      </c>
      <c r="C50" s="150" t="str">
        <f t="shared" ca="1" si="12"/>
        <v/>
      </c>
      <c r="D50" s="149" t="str">
        <f t="shared" ca="1" si="12"/>
        <v/>
      </c>
      <c r="E50" s="148"/>
      <c r="F50" s="148"/>
      <c r="G50" s="151"/>
      <c r="H50" s="152"/>
      <c r="I50" s="153"/>
      <c r="J50" s="151" t="str">
        <f t="shared" ca="1" si="13"/>
        <v/>
      </c>
      <c r="K50" s="151" t="str">
        <f t="shared" ca="1" si="13"/>
        <v/>
      </c>
      <c r="L50" s="151" t="str">
        <f t="shared" ca="1" si="13"/>
        <v/>
      </c>
      <c r="M50" s="149" t="str">
        <f t="shared" ca="1" si="14"/>
        <v/>
      </c>
      <c r="N50" s="148"/>
      <c r="O50" s="148"/>
      <c r="Q50" s="148"/>
      <c r="R50" s="149" t="str">
        <f ca="1">IF($R49="","",IF(INDIRECT(ADDRESS($R49+1,S$1-1,1,,"Score"))="SP",$R49+1,""))</f>
        <v/>
      </c>
      <c r="S50" s="150" t="str">
        <f t="shared" ca="1" si="15"/>
        <v/>
      </c>
      <c r="T50" s="149" t="str">
        <f t="shared" ca="1" si="15"/>
        <v/>
      </c>
      <c r="U50" s="148"/>
      <c r="V50" s="148"/>
      <c r="W50" s="151"/>
      <c r="X50" s="152"/>
      <c r="Y50" s="153"/>
      <c r="Z50" s="151" t="str">
        <f t="shared" ca="1" si="16"/>
        <v/>
      </c>
      <c r="AA50" s="151" t="str">
        <f t="shared" ca="1" si="16"/>
        <v/>
      </c>
      <c r="AB50" s="151" t="str">
        <f t="shared" ca="1" si="16"/>
        <v/>
      </c>
      <c r="AC50" s="149" t="str">
        <f t="shared" ca="1" si="17"/>
        <v/>
      </c>
      <c r="AD50" s="148"/>
      <c r="AE50" s="148"/>
    </row>
    <row r="51" spans="1:31" x14ac:dyDescent="0.25">
      <c r="A51" s="6">
        <f>A49+1</f>
        <v>25</v>
      </c>
      <c r="B51" s="20" t="str">
        <f>IF(ISNA(MATCH($A51,Score!A$4:A$41,0)),"",MATCH($A51,Score!A$4:A$41,0)+ROW(Score!A$3))</f>
        <v/>
      </c>
      <c r="C51" s="89" t="str">
        <f t="shared" ca="1" si="12"/>
        <v/>
      </c>
      <c r="D51" s="20" t="str">
        <f t="shared" ca="1" si="12"/>
        <v/>
      </c>
      <c r="E51" s="6" t="str">
        <f>IF(B51="","",SUM(D51,D52))</f>
        <v/>
      </c>
      <c r="F51" s="6" t="str">
        <f>IF(B51="","",E51-U51)</f>
        <v/>
      </c>
      <c r="G51" s="157" t="str">
        <f ca="1">IF($B51="","",IF(ISBLANK(INDIRECT(ADDRESS($B51,G$1,1,,"Score"))),"",1))</f>
        <v/>
      </c>
      <c r="H51" s="157" t="str">
        <f ca="1">IF($B51="","",IF(ISBLANK(INDIRECT(ADDRESS($B51,H$1,1,,"Score"))),"",1))</f>
        <v/>
      </c>
      <c r="I51" s="147" t="str">
        <f ca="1">IF(H51=1,F51,"")</f>
        <v/>
      </c>
      <c r="J51" s="157" t="str">
        <f t="shared" ca="1" si="13"/>
        <v/>
      </c>
      <c r="K51" s="157" t="str">
        <f t="shared" ca="1" si="13"/>
        <v/>
      </c>
      <c r="L51" s="157" t="str">
        <f t="shared" ca="1" si="13"/>
        <v/>
      </c>
      <c r="M51" s="20" t="str">
        <f t="shared" ca="1" si="14"/>
        <v/>
      </c>
      <c r="N51" s="6" t="str">
        <f ca="1">IF(ISNA(MATCH($A51,'Game Clock'!A$11:A$48,0)),"",INDIRECT(ADDRESS(MATCH($A51,'Game Clock'!A$11:A$48,0)+ROW('Game Clock'!A$10),N$1,1,,"Game Clock")))</f>
        <v/>
      </c>
      <c r="O51" s="6" t="str">
        <f ca="1">IF(OR(N51="",N51=0),"",60*E51/N51)</f>
        <v/>
      </c>
      <c r="Q51" s="6">
        <f>Q49+1</f>
        <v>25</v>
      </c>
      <c r="R51" s="20" t="str">
        <f>IF(ISNA(MATCH($Q51,Score!T$4:T$41,0)),"",MATCH($Q51,Score!T$4:T$41,0)++ROW(Score!T$3))</f>
        <v/>
      </c>
      <c r="S51" s="89" t="str">
        <f t="shared" ca="1" si="15"/>
        <v/>
      </c>
      <c r="T51" s="20" t="str">
        <f t="shared" ca="1" si="15"/>
        <v/>
      </c>
      <c r="U51" s="6" t="str">
        <f>IF(R51="","",SUM(T51,T52))</f>
        <v/>
      </c>
      <c r="V51" s="6" t="str">
        <f>IF(R51="","",U51-E51)</f>
        <v/>
      </c>
      <c r="W51" s="157" t="str">
        <f ca="1">IF($R51="","",IF(ISBLANK(INDIRECT(ADDRESS($R51,W$1,1,,"Score"))),"",1))</f>
        <v/>
      </c>
      <c r="X51" s="157" t="str">
        <f ca="1">IF($R51="","",IF(ISBLANK(INDIRECT(ADDRESS($R51,X$1,1,,"Score"))),"",1))</f>
        <v/>
      </c>
      <c r="Y51" s="147" t="str">
        <f ca="1">IF(X51=1,V51,"")</f>
        <v/>
      </c>
      <c r="Z51" s="157" t="str">
        <f t="shared" ca="1" si="16"/>
        <v/>
      </c>
      <c r="AA51" s="157" t="str">
        <f t="shared" ca="1" si="16"/>
        <v/>
      </c>
      <c r="AB51" s="157" t="str">
        <f t="shared" ca="1" si="16"/>
        <v/>
      </c>
      <c r="AC51" s="20" t="str">
        <f t="shared" ca="1" si="17"/>
        <v/>
      </c>
      <c r="AD51" s="6" t="str">
        <f ca="1">N51</f>
        <v/>
      </c>
      <c r="AE51" s="6" t="str">
        <f ca="1">IF(OR(AD51="",AD51=0),"",60*U51/AD51)</f>
        <v/>
      </c>
    </row>
    <row r="52" spans="1:31" x14ac:dyDescent="0.25">
      <c r="A52" s="6"/>
      <c r="B52" s="20" t="str">
        <f ca="1">IF($B51="","",IF(INDIRECT(ADDRESS($B51+1,C$1-1,1,,"Score"))="SP",$B51+1,""))</f>
        <v/>
      </c>
      <c r="C52" s="89" t="str">
        <f t="shared" ca="1" si="12"/>
        <v/>
      </c>
      <c r="D52" s="20" t="str">
        <f t="shared" ca="1" si="12"/>
        <v/>
      </c>
      <c r="E52" s="6"/>
      <c r="F52" s="6"/>
      <c r="G52" s="157"/>
      <c r="H52" s="157"/>
      <c r="I52" s="147"/>
      <c r="J52" s="157" t="str">
        <f t="shared" ca="1" si="13"/>
        <v/>
      </c>
      <c r="K52" s="157" t="str">
        <f t="shared" ca="1" si="13"/>
        <v/>
      </c>
      <c r="L52" s="157" t="str">
        <f t="shared" ca="1" si="13"/>
        <v/>
      </c>
      <c r="M52" s="20" t="str">
        <f t="shared" ca="1" si="14"/>
        <v/>
      </c>
      <c r="N52" s="6"/>
      <c r="O52" s="6"/>
      <c r="Q52" s="6"/>
      <c r="R52" s="20" t="str">
        <f ca="1">IF($R51="","",IF(INDIRECT(ADDRESS($R51+1,S$1-1,1,,"Score"))="SP",$R51+1,""))</f>
        <v/>
      </c>
      <c r="S52" s="89" t="str">
        <f t="shared" ca="1" si="15"/>
        <v/>
      </c>
      <c r="T52" s="20" t="str">
        <f t="shared" ca="1" si="15"/>
        <v/>
      </c>
      <c r="U52" s="6"/>
      <c r="V52" s="6"/>
      <c r="W52" s="157"/>
      <c r="X52" s="157"/>
      <c r="Y52" s="147"/>
      <c r="Z52" s="157" t="str">
        <f t="shared" ca="1" si="16"/>
        <v/>
      </c>
      <c r="AA52" s="157" t="str">
        <f t="shared" ca="1" si="16"/>
        <v/>
      </c>
      <c r="AB52" s="157" t="str">
        <f t="shared" ca="1" si="16"/>
        <v/>
      </c>
      <c r="AC52" s="20" t="str">
        <f t="shared" ca="1" si="17"/>
        <v/>
      </c>
      <c r="AD52" s="6"/>
      <c r="AE52" s="6"/>
    </row>
    <row r="53" spans="1:31" x14ac:dyDescent="0.25">
      <c r="A53" s="148">
        <f>A51+1</f>
        <v>26</v>
      </c>
      <c r="B53" s="149" t="str">
        <f>IF(ISNA(MATCH($A53,Score!A$4:A$41,0)),"",MATCH($A53,Score!A$4:A$41,0)+ROW(Score!A$3))</f>
        <v/>
      </c>
      <c r="C53" s="150" t="str">
        <f t="shared" ca="1" si="12"/>
        <v/>
      </c>
      <c r="D53" s="149" t="str">
        <f t="shared" ca="1" si="12"/>
        <v/>
      </c>
      <c r="E53" s="148" t="str">
        <f>IF(B53="","",SUM(D53,D54))</f>
        <v/>
      </c>
      <c r="F53" s="148" t="str">
        <f>IF(B53="","",E53-U53)</f>
        <v/>
      </c>
      <c r="G53" s="151" t="str">
        <f ca="1">IF($B53="","",IF(ISBLANK(INDIRECT(ADDRESS($B53,G$1,1,,"Score"))),"",1))</f>
        <v/>
      </c>
      <c r="H53" s="151" t="str">
        <f ca="1">IF($B53="","",IF(ISBLANK(INDIRECT(ADDRESS($B53,H$1,1,,"Score"))),"",1))</f>
        <v/>
      </c>
      <c r="I53" s="153" t="str">
        <f ca="1">IF(H53=1,F53,"")</f>
        <v/>
      </c>
      <c r="J53" s="151" t="str">
        <f t="shared" ca="1" si="13"/>
        <v/>
      </c>
      <c r="K53" s="151" t="str">
        <f t="shared" ca="1" si="13"/>
        <v/>
      </c>
      <c r="L53" s="151" t="str">
        <f t="shared" ca="1" si="13"/>
        <v/>
      </c>
      <c r="M53" s="149" t="str">
        <f t="shared" ca="1" si="14"/>
        <v/>
      </c>
      <c r="N53" s="6" t="str">
        <f ca="1">IF(ISNA(MATCH($A53,'Game Clock'!A$11:A$48,0)),"",INDIRECT(ADDRESS(MATCH($A53,'Game Clock'!A$11:A$48,0)+ROW('Game Clock'!A$10),N$1,1,,"Game Clock")))</f>
        <v/>
      </c>
      <c r="O53" s="148" t="str">
        <f ca="1">IF(OR(N53="",N53=0),"",60*E53/N53)</f>
        <v/>
      </c>
      <c r="Q53" s="148">
        <f>Q51+1</f>
        <v>26</v>
      </c>
      <c r="R53" s="149" t="str">
        <f>IF(ISNA(MATCH($Q53,Score!T$4:T$41,0)),"",MATCH($Q53,Score!T$4:T$41,0)++ROW(Score!T$3))</f>
        <v/>
      </c>
      <c r="S53" s="150" t="str">
        <f t="shared" ca="1" si="15"/>
        <v/>
      </c>
      <c r="T53" s="149" t="str">
        <f t="shared" ca="1" si="15"/>
        <v/>
      </c>
      <c r="U53" s="148" t="str">
        <f>IF(R53="","",SUM(T53,T54))</f>
        <v/>
      </c>
      <c r="V53" s="148" t="str">
        <f>IF(R53="","",U53-E53)</f>
        <v/>
      </c>
      <c r="W53" s="151" t="str">
        <f ca="1">IF($R53="","",IF(ISBLANK(INDIRECT(ADDRESS($R53,W$1,1,,"Score"))),"",1))</f>
        <v/>
      </c>
      <c r="X53" s="151" t="str">
        <f ca="1">IF($R53="","",IF(ISBLANK(INDIRECT(ADDRESS($R53,X$1,1,,"Score"))),"",1))</f>
        <v/>
      </c>
      <c r="Y53" s="153" t="str">
        <f ca="1">IF(X53=1,V53,"")</f>
        <v/>
      </c>
      <c r="Z53" s="151" t="str">
        <f t="shared" ca="1" si="16"/>
        <v/>
      </c>
      <c r="AA53" s="151" t="str">
        <f t="shared" ca="1" si="16"/>
        <v/>
      </c>
      <c r="AB53" s="151" t="str">
        <f t="shared" ca="1" si="16"/>
        <v/>
      </c>
      <c r="AC53" s="149" t="str">
        <f t="shared" ca="1" si="17"/>
        <v/>
      </c>
      <c r="AD53" s="148" t="str">
        <f ca="1">N53</f>
        <v/>
      </c>
      <c r="AE53" s="148" t="str">
        <f ca="1">IF(OR(AD53="",AD53=0),"",60*U53/AD53)</f>
        <v/>
      </c>
    </row>
    <row r="54" spans="1:31" x14ac:dyDescent="0.3">
      <c r="A54" s="148"/>
      <c r="B54" s="149" t="str">
        <f ca="1">IF($B53="","",IF(INDIRECT(ADDRESS($B53+1,C$1-1,1,,"Score"))="SP",$B53+1,""))</f>
        <v/>
      </c>
      <c r="C54" s="150" t="str">
        <f t="shared" ca="1" si="12"/>
        <v/>
      </c>
      <c r="D54" s="149" t="str">
        <f t="shared" ca="1" si="12"/>
        <v/>
      </c>
      <c r="E54" s="148"/>
      <c r="F54" s="148"/>
      <c r="G54" s="151"/>
      <c r="H54" s="152"/>
      <c r="I54" s="153"/>
      <c r="J54" s="151" t="str">
        <f t="shared" ca="1" si="13"/>
        <v/>
      </c>
      <c r="K54" s="151" t="str">
        <f t="shared" ca="1" si="13"/>
        <v/>
      </c>
      <c r="L54" s="151" t="str">
        <f t="shared" ca="1" si="13"/>
        <v/>
      </c>
      <c r="M54" s="149" t="str">
        <f t="shared" ca="1" si="14"/>
        <v/>
      </c>
      <c r="N54" s="148"/>
      <c r="O54" s="148"/>
      <c r="Q54" s="148"/>
      <c r="R54" s="149" t="str">
        <f ca="1">IF($R53="","",IF(INDIRECT(ADDRESS($R53+1,S$1-1,1,,"Score"))="SP",$R53+1,""))</f>
        <v/>
      </c>
      <c r="S54" s="150" t="str">
        <f t="shared" ca="1" si="15"/>
        <v/>
      </c>
      <c r="T54" s="149" t="str">
        <f t="shared" ca="1" si="15"/>
        <v/>
      </c>
      <c r="U54" s="148"/>
      <c r="V54" s="148"/>
      <c r="W54" s="151"/>
      <c r="X54" s="152"/>
      <c r="Y54" s="153"/>
      <c r="Z54" s="151" t="str">
        <f t="shared" ca="1" si="16"/>
        <v/>
      </c>
      <c r="AA54" s="151" t="str">
        <f t="shared" ca="1" si="16"/>
        <v/>
      </c>
      <c r="AB54" s="151" t="str">
        <f t="shared" ca="1" si="16"/>
        <v/>
      </c>
      <c r="AC54" s="149" t="str">
        <f t="shared" ca="1" si="17"/>
        <v/>
      </c>
      <c r="AD54" s="148"/>
      <c r="AE54" s="148"/>
    </row>
    <row r="55" spans="1:31" x14ac:dyDescent="0.25">
      <c r="A55" s="6">
        <f>A53+1</f>
        <v>27</v>
      </c>
      <c r="B55" s="20" t="str">
        <f>IF(ISNA(MATCH($A55,Score!A$4:A$41,0)),"",MATCH($A55,Score!A$4:A$41,0)+ROW(Score!A$3))</f>
        <v/>
      </c>
      <c r="C55" s="89" t="str">
        <f t="shared" ca="1" si="12"/>
        <v/>
      </c>
      <c r="D55" s="20" t="str">
        <f t="shared" ca="1" si="12"/>
        <v/>
      </c>
      <c r="E55" s="6" t="str">
        <f>IF(B55="","",SUM(D55,D56))</f>
        <v/>
      </c>
      <c r="F55" s="6" t="str">
        <f>IF(B55="","",E55-U55)</f>
        <v/>
      </c>
      <c r="G55" s="157" t="str">
        <f ca="1">IF($B55="","",IF(ISBLANK(INDIRECT(ADDRESS($B55,G$1,1,,"Score"))),"",1))</f>
        <v/>
      </c>
      <c r="H55" s="157" t="str">
        <f ca="1">IF($B55="","",IF(ISBLANK(INDIRECT(ADDRESS($B55,H$1,1,,"Score"))),"",1))</f>
        <v/>
      </c>
      <c r="I55" s="147" t="str">
        <f ca="1">IF(H55=1,F55,"")</f>
        <v/>
      </c>
      <c r="J55" s="157" t="str">
        <f t="shared" ca="1" si="13"/>
        <v/>
      </c>
      <c r="K55" s="157" t="str">
        <f t="shared" ca="1" si="13"/>
        <v/>
      </c>
      <c r="L55" s="157" t="str">
        <f t="shared" ca="1" si="13"/>
        <v/>
      </c>
      <c r="M55" s="20" t="str">
        <f t="shared" ca="1" si="14"/>
        <v/>
      </c>
      <c r="N55" s="6" t="str">
        <f ca="1">IF(ISNA(MATCH($A55,'Game Clock'!A$11:A$48,0)),"",INDIRECT(ADDRESS(MATCH($A55,'Game Clock'!A$11:A$48,0)+ROW('Game Clock'!A$10),N$1,1,,"Game Clock")))</f>
        <v/>
      </c>
      <c r="O55" s="6" t="str">
        <f ca="1">IF(OR(N55="",N55=0),"",60*E55/N55)</f>
        <v/>
      </c>
      <c r="Q55" s="6">
        <f>Q53+1</f>
        <v>27</v>
      </c>
      <c r="R55" s="20" t="str">
        <f>IF(ISNA(MATCH($Q55,Score!T$4:T$41,0)),"",MATCH($Q55,Score!T$4:T$41,0)++ROW(Score!T$3))</f>
        <v/>
      </c>
      <c r="S55" s="89" t="str">
        <f t="shared" ca="1" si="15"/>
        <v/>
      </c>
      <c r="T55" s="20" t="str">
        <f t="shared" ca="1" si="15"/>
        <v/>
      </c>
      <c r="U55" s="6" t="str">
        <f>IF(R55="","",SUM(T55,T56))</f>
        <v/>
      </c>
      <c r="V55" s="6" t="str">
        <f>IF(R55="","",U55-E55)</f>
        <v/>
      </c>
      <c r="W55" s="157" t="str">
        <f ca="1">IF($R55="","",IF(ISBLANK(INDIRECT(ADDRESS($R55,W$1,1,,"Score"))),"",1))</f>
        <v/>
      </c>
      <c r="X55" s="157" t="str">
        <f ca="1">IF($R55="","",IF(ISBLANK(INDIRECT(ADDRESS($R55,X$1,1,,"Score"))),"",1))</f>
        <v/>
      </c>
      <c r="Y55" s="147" t="str">
        <f ca="1">IF(X55=1,V55,"")</f>
        <v/>
      </c>
      <c r="Z55" s="157" t="str">
        <f t="shared" ca="1" si="16"/>
        <v/>
      </c>
      <c r="AA55" s="157" t="str">
        <f t="shared" ca="1" si="16"/>
        <v/>
      </c>
      <c r="AB55" s="157" t="str">
        <f t="shared" ca="1" si="16"/>
        <v/>
      </c>
      <c r="AC55" s="20" t="str">
        <f t="shared" ca="1" si="17"/>
        <v/>
      </c>
      <c r="AD55" s="6" t="str">
        <f ca="1">N55</f>
        <v/>
      </c>
      <c r="AE55" s="6" t="str">
        <f ca="1">IF(OR(AD55="",AD55=0),"",60*U55/AD55)</f>
        <v/>
      </c>
    </row>
    <row r="56" spans="1:31" x14ac:dyDescent="0.25">
      <c r="A56" s="6"/>
      <c r="B56" s="20" t="str">
        <f ca="1">IF($B55="","",IF(INDIRECT(ADDRESS($B55+1,C$1-1,1,,"Score"))="SP",$B55+1,""))</f>
        <v/>
      </c>
      <c r="C56" s="89" t="str">
        <f t="shared" ca="1" si="12"/>
        <v/>
      </c>
      <c r="D56" s="20" t="str">
        <f t="shared" ca="1" si="12"/>
        <v/>
      </c>
      <c r="E56" s="6"/>
      <c r="F56" s="6"/>
      <c r="G56" s="157"/>
      <c r="H56" s="157"/>
      <c r="I56" s="147"/>
      <c r="J56" s="157" t="str">
        <f t="shared" ca="1" si="13"/>
        <v/>
      </c>
      <c r="K56" s="157" t="str">
        <f t="shared" ca="1" si="13"/>
        <v/>
      </c>
      <c r="L56" s="157" t="str">
        <f t="shared" ca="1" si="13"/>
        <v/>
      </c>
      <c r="M56" s="20" t="str">
        <f t="shared" ca="1" si="14"/>
        <v/>
      </c>
      <c r="N56" s="6"/>
      <c r="O56" s="6"/>
      <c r="Q56" s="6"/>
      <c r="R56" s="20" t="str">
        <f ca="1">IF($R55="","",IF(INDIRECT(ADDRESS($R55+1,S$1-1,1,,"Score"))="SP",$R55+1,""))</f>
        <v/>
      </c>
      <c r="S56" s="89" t="str">
        <f t="shared" ca="1" si="15"/>
        <v/>
      </c>
      <c r="T56" s="20" t="str">
        <f t="shared" ca="1" si="15"/>
        <v/>
      </c>
      <c r="U56" s="6"/>
      <c r="V56" s="6"/>
      <c r="W56" s="157"/>
      <c r="X56" s="157"/>
      <c r="Y56" s="147"/>
      <c r="Z56" s="157" t="str">
        <f t="shared" ca="1" si="16"/>
        <v/>
      </c>
      <c r="AA56" s="157" t="str">
        <f t="shared" ca="1" si="16"/>
        <v/>
      </c>
      <c r="AB56" s="157" t="str">
        <f t="shared" ca="1" si="16"/>
        <v/>
      </c>
      <c r="AC56" s="20" t="str">
        <f t="shared" ca="1" si="17"/>
        <v/>
      </c>
      <c r="AD56" s="6"/>
      <c r="AE56" s="6"/>
    </row>
    <row r="57" spans="1:31" x14ac:dyDescent="0.25">
      <c r="A57" s="148">
        <f>A55+1</f>
        <v>28</v>
      </c>
      <c r="B57" s="149" t="str">
        <f>IF(ISNA(MATCH($A57,Score!A$4:A$41,0)),"",MATCH($A57,Score!A$4:A$41,0)+ROW(Score!A$3))</f>
        <v/>
      </c>
      <c r="C57" s="150" t="str">
        <f t="shared" ca="1" si="12"/>
        <v/>
      </c>
      <c r="D57" s="149" t="str">
        <f t="shared" ca="1" si="12"/>
        <v/>
      </c>
      <c r="E57" s="148" t="str">
        <f>IF(B57="","",SUM(D57,D58))</f>
        <v/>
      </c>
      <c r="F57" s="148" t="str">
        <f>IF(B57="","",E57-U57)</f>
        <v/>
      </c>
      <c r="G57" s="151" t="str">
        <f ca="1">IF($B57="","",IF(ISBLANK(INDIRECT(ADDRESS($B57,G$1,1,,"Score"))),"",1))</f>
        <v/>
      </c>
      <c r="H57" s="151" t="str">
        <f ca="1">IF($B57="","",IF(ISBLANK(INDIRECT(ADDRESS($B57,H$1,1,,"Score"))),"",1))</f>
        <v/>
      </c>
      <c r="I57" s="153" t="str">
        <f ca="1">IF(H57=1,F57,"")</f>
        <v/>
      </c>
      <c r="J57" s="151" t="str">
        <f t="shared" ca="1" si="13"/>
        <v/>
      </c>
      <c r="K57" s="151" t="str">
        <f t="shared" ca="1" si="13"/>
        <v/>
      </c>
      <c r="L57" s="151" t="str">
        <f t="shared" ca="1" si="13"/>
        <v/>
      </c>
      <c r="M57" s="149" t="str">
        <f t="shared" ca="1" si="14"/>
        <v/>
      </c>
      <c r="N57" s="6" t="str">
        <f ca="1">IF(ISNA(MATCH($A57,'Game Clock'!A$11:A$48,0)),"",INDIRECT(ADDRESS(MATCH($A57,'Game Clock'!A$11:A$48,0)+ROW('Game Clock'!A$10),N$1,1,,"Game Clock")))</f>
        <v/>
      </c>
      <c r="O57" s="148" t="str">
        <f ca="1">IF(OR(N57="",N57=0),"",60*E57/N57)</f>
        <v/>
      </c>
      <c r="Q57" s="148">
        <f>Q55+1</f>
        <v>28</v>
      </c>
      <c r="R57" s="149" t="str">
        <f>IF(ISNA(MATCH($Q57,Score!T$4:T$41,0)),"",MATCH($Q57,Score!T$4:T$41,0)++ROW(Score!T$3))</f>
        <v/>
      </c>
      <c r="S57" s="150" t="str">
        <f t="shared" ca="1" si="15"/>
        <v/>
      </c>
      <c r="T57" s="149" t="str">
        <f t="shared" ca="1" si="15"/>
        <v/>
      </c>
      <c r="U57" s="148" t="str">
        <f>IF(R57="","",SUM(T57,T58))</f>
        <v/>
      </c>
      <c r="V57" s="148" t="str">
        <f>IF(R57="","",U57-E57)</f>
        <v/>
      </c>
      <c r="W57" s="151" t="str">
        <f ca="1">IF($R57="","",IF(ISBLANK(INDIRECT(ADDRESS($R57,W$1,1,,"Score"))),"",1))</f>
        <v/>
      </c>
      <c r="X57" s="151" t="str">
        <f ca="1">IF($R57="","",IF(ISBLANK(INDIRECT(ADDRESS($R57,X$1,1,,"Score"))),"",1))</f>
        <v/>
      </c>
      <c r="Y57" s="153" t="str">
        <f ca="1">IF(X57=1,V57,"")</f>
        <v/>
      </c>
      <c r="Z57" s="151" t="str">
        <f t="shared" ca="1" si="16"/>
        <v/>
      </c>
      <c r="AA57" s="151" t="str">
        <f t="shared" ca="1" si="16"/>
        <v/>
      </c>
      <c r="AB57" s="151" t="str">
        <f t="shared" ca="1" si="16"/>
        <v/>
      </c>
      <c r="AC57" s="149" t="str">
        <f t="shared" ca="1" si="17"/>
        <v/>
      </c>
      <c r="AD57" s="148" t="str">
        <f ca="1">N57</f>
        <v/>
      </c>
      <c r="AE57" s="148" t="str">
        <f ca="1">IF(OR(AD57="",AD57=0),"",60*U57/AD57)</f>
        <v/>
      </c>
    </row>
    <row r="58" spans="1:31" x14ac:dyDescent="0.3">
      <c r="A58" s="148"/>
      <c r="B58" s="149" t="str">
        <f ca="1">IF($B57="","",IF(INDIRECT(ADDRESS($B57+1,C$1-1,1,,"Score"))="SP",$B57+1,""))</f>
        <v/>
      </c>
      <c r="C58" s="150" t="str">
        <f t="shared" ca="1" si="12"/>
        <v/>
      </c>
      <c r="D58" s="149" t="str">
        <f t="shared" ca="1" si="12"/>
        <v/>
      </c>
      <c r="E58" s="148"/>
      <c r="F58" s="148"/>
      <c r="G58" s="151"/>
      <c r="H58" s="152"/>
      <c r="I58" s="153"/>
      <c r="J58" s="151" t="str">
        <f t="shared" ca="1" si="13"/>
        <v/>
      </c>
      <c r="K58" s="151" t="str">
        <f t="shared" ca="1" si="13"/>
        <v/>
      </c>
      <c r="L58" s="151" t="str">
        <f t="shared" ca="1" si="13"/>
        <v/>
      </c>
      <c r="M58" s="149" t="str">
        <f t="shared" ca="1" si="14"/>
        <v/>
      </c>
      <c r="N58" s="148"/>
      <c r="O58" s="148"/>
      <c r="Q58" s="148"/>
      <c r="R58" s="149" t="str">
        <f ca="1">IF($R57="","",IF(INDIRECT(ADDRESS($R57+1,S$1-1,1,,"Score"))="SP",$R57+1,""))</f>
        <v/>
      </c>
      <c r="S58" s="150" t="str">
        <f t="shared" ca="1" si="15"/>
        <v/>
      </c>
      <c r="T58" s="149" t="str">
        <f t="shared" ca="1" si="15"/>
        <v/>
      </c>
      <c r="U58" s="148"/>
      <c r="V58" s="148"/>
      <c r="W58" s="151"/>
      <c r="X58" s="152"/>
      <c r="Y58" s="153"/>
      <c r="Z58" s="151" t="str">
        <f t="shared" ca="1" si="16"/>
        <v/>
      </c>
      <c r="AA58" s="151" t="str">
        <f t="shared" ca="1" si="16"/>
        <v/>
      </c>
      <c r="AB58" s="151" t="str">
        <f t="shared" ca="1" si="16"/>
        <v/>
      </c>
      <c r="AC58" s="149" t="str">
        <f t="shared" ca="1" si="17"/>
        <v/>
      </c>
      <c r="AD58" s="148"/>
      <c r="AE58" s="148"/>
    </row>
    <row r="59" spans="1:31" x14ac:dyDescent="0.25">
      <c r="A59" s="6">
        <f>A57+1</f>
        <v>29</v>
      </c>
      <c r="B59" s="20" t="str">
        <f>IF(ISNA(MATCH($A59,Score!A$4:A$41,0)),"",MATCH($A59,Score!A$4:A$41,0)+ROW(Score!A$3))</f>
        <v/>
      </c>
      <c r="C59" s="89" t="str">
        <f t="shared" ref="C59:D74" ca="1" si="18">IF($B59="","",INDIRECT(ADDRESS($B59,C$1,1,,"Score")))</f>
        <v/>
      </c>
      <c r="D59" s="20" t="str">
        <f t="shared" ca="1" si="18"/>
        <v/>
      </c>
      <c r="E59" s="6" t="str">
        <f>IF(B59="","",SUM(D59,D60))</f>
        <v/>
      </c>
      <c r="F59" s="6" t="str">
        <f>IF(B59="","",E59-U59)</f>
        <v/>
      </c>
      <c r="G59" s="157" t="str">
        <f ca="1">IF($B59="","",IF(ISBLANK(INDIRECT(ADDRESS($B59,G$1,1,,"Score"))),"",1))</f>
        <v/>
      </c>
      <c r="H59" s="157" t="str">
        <f ca="1">IF($B59="","",IF(ISBLANK(INDIRECT(ADDRESS($B59,H$1,1,,"Score"))),"",1))</f>
        <v/>
      </c>
      <c r="I59" s="147" t="str">
        <f ca="1">IF(H59=1,F59,"")</f>
        <v/>
      </c>
      <c r="J59" s="157" t="str">
        <f t="shared" ref="J59:L74" ca="1" si="19">IF($B59="","",IF(ISBLANK(INDIRECT(ADDRESS($B59,J$1,1,,"Score"))),"",1))</f>
        <v/>
      </c>
      <c r="K59" s="157" t="str">
        <f t="shared" ca="1" si="19"/>
        <v/>
      </c>
      <c r="L59" s="157" t="str">
        <f t="shared" ca="1" si="19"/>
        <v/>
      </c>
      <c r="M59" s="20" t="str">
        <f t="shared" ref="M59:M78" ca="1" si="20">IF($B59="","",INDIRECT(ADDRESS($B59,M$1,1,,"Score")))</f>
        <v/>
      </c>
      <c r="N59" s="6" t="str">
        <f ca="1">IF(ISNA(MATCH($A59,'Game Clock'!A$11:A$48,0)),"",INDIRECT(ADDRESS(MATCH($A59,'Game Clock'!A$11:A$48,0)+ROW('Game Clock'!A$10),N$1,1,,"Game Clock")))</f>
        <v/>
      </c>
      <c r="O59" s="6" t="str">
        <f ca="1">IF(OR(N59="",N59=0),"",60*E59/N59)</f>
        <v/>
      </c>
      <c r="Q59" s="6">
        <f>Q57+1</f>
        <v>29</v>
      </c>
      <c r="R59" s="20" t="str">
        <f>IF(ISNA(MATCH($Q59,Score!T$4:T$41,0)),"",MATCH($Q59,Score!T$4:T$41,0)++ROW(Score!T$3))</f>
        <v/>
      </c>
      <c r="S59" s="89" t="str">
        <f t="shared" ref="S59:T74" ca="1" si="21">IF($R59="","",INDIRECT(ADDRESS($R59,S$1,1,,"Score")))</f>
        <v/>
      </c>
      <c r="T59" s="20" t="str">
        <f t="shared" ca="1" si="21"/>
        <v/>
      </c>
      <c r="U59" s="6" t="str">
        <f>IF(R59="","",SUM(T59,T60))</f>
        <v/>
      </c>
      <c r="V59" s="6" t="str">
        <f>IF(R59="","",U59-E59)</f>
        <v/>
      </c>
      <c r="W59" s="157" t="str">
        <f ca="1">IF($R59="","",IF(ISBLANK(INDIRECT(ADDRESS($R59,W$1,1,,"Score"))),"",1))</f>
        <v/>
      </c>
      <c r="X59" s="157" t="str">
        <f ca="1">IF($R59="","",IF(ISBLANK(INDIRECT(ADDRESS($R59,X$1,1,,"Score"))),"",1))</f>
        <v/>
      </c>
      <c r="Y59" s="147" t="str">
        <f ca="1">IF(X59=1,V59,"")</f>
        <v/>
      </c>
      <c r="Z59" s="157" t="str">
        <f t="shared" ref="Z59:AB74" ca="1" si="22">IF($R59="","",IF(ISBLANK(INDIRECT(ADDRESS($R59,Z$1,1,,"Score"))),"",1))</f>
        <v/>
      </c>
      <c r="AA59" s="157" t="str">
        <f t="shared" ca="1" si="22"/>
        <v/>
      </c>
      <c r="AB59" s="157" t="str">
        <f t="shared" ca="1" si="22"/>
        <v/>
      </c>
      <c r="AC59" s="20" t="str">
        <f t="shared" ref="AC59:AC78" ca="1" si="23">IF($R59="","",INDIRECT(ADDRESS($R59,AC$1,1,,"Score")))</f>
        <v/>
      </c>
      <c r="AD59" s="6" t="str">
        <f ca="1">N59</f>
        <v/>
      </c>
      <c r="AE59" s="6" t="str">
        <f ca="1">IF(OR(AD59="",AD59=0),"",60*U59/AD59)</f>
        <v/>
      </c>
    </row>
    <row r="60" spans="1:31" x14ac:dyDescent="0.25">
      <c r="A60" s="6"/>
      <c r="B60" s="20" t="str">
        <f ca="1">IF($B59="","",IF(INDIRECT(ADDRESS($B59+1,C$1-1,1,,"Score"))="SP",$B59+1,""))</f>
        <v/>
      </c>
      <c r="C60" s="89" t="str">
        <f t="shared" ca="1" si="18"/>
        <v/>
      </c>
      <c r="D60" s="20" t="str">
        <f t="shared" ca="1" si="18"/>
        <v/>
      </c>
      <c r="E60" s="6"/>
      <c r="F60" s="6"/>
      <c r="G60" s="157"/>
      <c r="H60" s="157"/>
      <c r="I60" s="147"/>
      <c r="J60" s="157" t="str">
        <f t="shared" ca="1" si="19"/>
        <v/>
      </c>
      <c r="K60" s="157" t="str">
        <f t="shared" ca="1" si="19"/>
        <v/>
      </c>
      <c r="L60" s="157" t="str">
        <f t="shared" ca="1" si="19"/>
        <v/>
      </c>
      <c r="M60" s="20" t="str">
        <f t="shared" ca="1" si="20"/>
        <v/>
      </c>
      <c r="N60" s="6"/>
      <c r="O60" s="6"/>
      <c r="Q60" s="6"/>
      <c r="R60" s="20" t="str">
        <f ca="1">IF($R59="","",IF(INDIRECT(ADDRESS($R59+1,S$1-1,1,,"Score"))="SP",$R59+1,""))</f>
        <v/>
      </c>
      <c r="S60" s="89" t="str">
        <f t="shared" ca="1" si="21"/>
        <v/>
      </c>
      <c r="T60" s="20" t="str">
        <f t="shared" ca="1" si="21"/>
        <v/>
      </c>
      <c r="U60" s="6"/>
      <c r="V60" s="6"/>
      <c r="W60" s="157"/>
      <c r="X60" s="157"/>
      <c r="Y60" s="147"/>
      <c r="Z60" s="157" t="str">
        <f t="shared" ca="1" si="22"/>
        <v/>
      </c>
      <c r="AA60" s="157" t="str">
        <f t="shared" ca="1" si="22"/>
        <v/>
      </c>
      <c r="AB60" s="157" t="str">
        <f t="shared" ca="1" si="22"/>
        <v/>
      </c>
      <c r="AC60" s="20" t="str">
        <f t="shared" ca="1" si="23"/>
        <v/>
      </c>
      <c r="AD60" s="6"/>
      <c r="AE60" s="6"/>
    </row>
    <row r="61" spans="1:31" x14ac:dyDescent="0.25">
      <c r="A61" s="148">
        <f>A59+1</f>
        <v>30</v>
      </c>
      <c r="B61" s="149" t="str">
        <f>IF(ISNA(MATCH($A61,Score!A$4:A$41,0)),"",MATCH($A61,Score!A$4:A$41,0)+ROW(Score!A$3))</f>
        <v/>
      </c>
      <c r="C61" s="150" t="str">
        <f t="shared" ca="1" si="18"/>
        <v/>
      </c>
      <c r="D61" s="149" t="str">
        <f t="shared" ca="1" si="18"/>
        <v/>
      </c>
      <c r="E61" s="148" t="str">
        <f>IF(B61="","",SUM(D61,D62))</f>
        <v/>
      </c>
      <c r="F61" s="148" t="str">
        <f>IF(B61="","",E61-U61)</f>
        <v/>
      </c>
      <c r="G61" s="151" t="str">
        <f ca="1">IF($B61="","",IF(ISBLANK(INDIRECT(ADDRESS($B61,G$1,1,,"Score"))),"",1))</f>
        <v/>
      </c>
      <c r="H61" s="151" t="str">
        <f ca="1">IF($B61="","",IF(ISBLANK(INDIRECT(ADDRESS($B61,H$1,1,,"Score"))),"",1))</f>
        <v/>
      </c>
      <c r="I61" s="153" t="str">
        <f ca="1">IF(H61=1,F61,"")</f>
        <v/>
      </c>
      <c r="J61" s="151" t="str">
        <f t="shared" ca="1" si="19"/>
        <v/>
      </c>
      <c r="K61" s="151" t="str">
        <f t="shared" ca="1" si="19"/>
        <v/>
      </c>
      <c r="L61" s="151" t="str">
        <f t="shared" ca="1" si="19"/>
        <v/>
      </c>
      <c r="M61" s="149" t="str">
        <f t="shared" ca="1" si="20"/>
        <v/>
      </c>
      <c r="N61" s="6" t="str">
        <f ca="1">IF(ISNA(MATCH($A61,'Game Clock'!A$11:A$48,0)),"",INDIRECT(ADDRESS(MATCH($A61,'Game Clock'!A$11:A$48,0)+ROW('Game Clock'!A$10),N$1,1,,"Game Clock")))</f>
        <v/>
      </c>
      <c r="O61" s="148" t="str">
        <f ca="1">IF(OR(N61="",N61=0),"",60*E61/N61)</f>
        <v/>
      </c>
      <c r="Q61" s="148">
        <f>Q59+1</f>
        <v>30</v>
      </c>
      <c r="R61" s="149" t="str">
        <f>IF(ISNA(MATCH($Q61,Score!T$4:T$41,0)),"",MATCH($Q61,Score!T$4:T$41,0)++ROW(Score!T$3))</f>
        <v/>
      </c>
      <c r="S61" s="150" t="str">
        <f t="shared" ca="1" si="21"/>
        <v/>
      </c>
      <c r="T61" s="149" t="str">
        <f t="shared" ca="1" si="21"/>
        <v/>
      </c>
      <c r="U61" s="148" t="str">
        <f>IF(R61="","",SUM(T61,T62))</f>
        <v/>
      </c>
      <c r="V61" s="148" t="str">
        <f>IF(R61="","",U61-E61)</f>
        <v/>
      </c>
      <c r="W61" s="151" t="str">
        <f ca="1">IF($R61="","",IF(ISBLANK(INDIRECT(ADDRESS($R61,W$1,1,,"Score"))),"",1))</f>
        <v/>
      </c>
      <c r="X61" s="151" t="str">
        <f ca="1">IF($R61="","",IF(ISBLANK(INDIRECT(ADDRESS($R61,X$1,1,,"Score"))),"",1))</f>
        <v/>
      </c>
      <c r="Y61" s="153" t="str">
        <f ca="1">IF(X61=1,V61,"")</f>
        <v/>
      </c>
      <c r="Z61" s="151" t="str">
        <f t="shared" ca="1" si="22"/>
        <v/>
      </c>
      <c r="AA61" s="151" t="str">
        <f t="shared" ca="1" si="22"/>
        <v/>
      </c>
      <c r="AB61" s="151" t="str">
        <f t="shared" ca="1" si="22"/>
        <v/>
      </c>
      <c r="AC61" s="149" t="str">
        <f t="shared" ca="1" si="23"/>
        <v/>
      </c>
      <c r="AD61" s="148" t="str">
        <f ca="1">N61</f>
        <v/>
      </c>
      <c r="AE61" s="148" t="str">
        <f ca="1">IF(OR(AD61="",AD61=0),"",60*U61/AD61)</f>
        <v/>
      </c>
    </row>
    <row r="62" spans="1:31" x14ac:dyDescent="0.3">
      <c r="A62" s="148"/>
      <c r="B62" s="149" t="str">
        <f ca="1">IF($B61="","",IF(INDIRECT(ADDRESS($B61+1,C$1-1,1,,"Score"))="SP",$B61+1,""))</f>
        <v/>
      </c>
      <c r="C62" s="150" t="str">
        <f t="shared" ca="1" si="18"/>
        <v/>
      </c>
      <c r="D62" s="149" t="str">
        <f t="shared" ca="1" si="18"/>
        <v/>
      </c>
      <c r="E62" s="148"/>
      <c r="F62" s="148"/>
      <c r="G62" s="151"/>
      <c r="H62" s="152"/>
      <c r="I62" s="153"/>
      <c r="J62" s="151" t="str">
        <f t="shared" ca="1" si="19"/>
        <v/>
      </c>
      <c r="K62" s="151" t="str">
        <f t="shared" ca="1" si="19"/>
        <v/>
      </c>
      <c r="L62" s="151" t="str">
        <f t="shared" ca="1" si="19"/>
        <v/>
      </c>
      <c r="M62" s="149" t="str">
        <f t="shared" ca="1" si="20"/>
        <v/>
      </c>
      <c r="N62" s="148"/>
      <c r="O62" s="148"/>
      <c r="Q62" s="148"/>
      <c r="R62" s="149" t="str">
        <f ca="1">IF($R61="","",IF(INDIRECT(ADDRESS($R61+1,S$1-1,1,,"Score"))="SP",$R61+1,""))</f>
        <v/>
      </c>
      <c r="S62" s="150" t="str">
        <f t="shared" ca="1" si="21"/>
        <v/>
      </c>
      <c r="T62" s="149" t="str">
        <f t="shared" ca="1" si="21"/>
        <v/>
      </c>
      <c r="U62" s="148"/>
      <c r="V62" s="148"/>
      <c r="W62" s="151"/>
      <c r="X62" s="152"/>
      <c r="Y62" s="153"/>
      <c r="Z62" s="151" t="str">
        <f t="shared" ca="1" si="22"/>
        <v/>
      </c>
      <c r="AA62" s="151" t="str">
        <f t="shared" ca="1" si="22"/>
        <v/>
      </c>
      <c r="AB62" s="151" t="str">
        <f t="shared" ca="1" si="22"/>
        <v/>
      </c>
      <c r="AC62" s="149" t="str">
        <f t="shared" ca="1" si="23"/>
        <v/>
      </c>
      <c r="AD62" s="148"/>
      <c r="AE62" s="148"/>
    </row>
    <row r="63" spans="1:31" x14ac:dyDescent="0.25">
      <c r="A63" s="6">
        <f>A61+1</f>
        <v>31</v>
      </c>
      <c r="B63" s="20" t="str">
        <f>IF(ISNA(MATCH($A63,Score!A$4:A$41,0)),"",MATCH($A63,Score!A$4:A$41,0)+ROW(Score!A$3))</f>
        <v/>
      </c>
      <c r="C63" s="89" t="str">
        <f t="shared" ca="1" si="18"/>
        <v/>
      </c>
      <c r="D63" s="20" t="str">
        <f t="shared" ca="1" si="18"/>
        <v/>
      </c>
      <c r="E63" s="6" t="str">
        <f>IF(B63="","",SUM(D63,D64))</f>
        <v/>
      </c>
      <c r="F63" s="6" t="str">
        <f>IF(B63="","",E63-U63)</f>
        <v/>
      </c>
      <c r="G63" s="157" t="str">
        <f ca="1">IF($B63="","",IF(ISBLANK(INDIRECT(ADDRESS($B63,G$1,1,,"Score"))),"",1))</f>
        <v/>
      </c>
      <c r="H63" s="157" t="str">
        <f ca="1">IF($B63="","",IF(ISBLANK(INDIRECT(ADDRESS($B63,H$1,1,,"Score"))),"",1))</f>
        <v/>
      </c>
      <c r="I63" s="147" t="str">
        <f ca="1">IF(H63=1,F63,"")</f>
        <v/>
      </c>
      <c r="J63" s="157" t="str">
        <f t="shared" ca="1" si="19"/>
        <v/>
      </c>
      <c r="K63" s="157" t="str">
        <f t="shared" ca="1" si="19"/>
        <v/>
      </c>
      <c r="L63" s="157" t="str">
        <f t="shared" ca="1" si="19"/>
        <v/>
      </c>
      <c r="M63" s="20" t="str">
        <f t="shared" ca="1" si="20"/>
        <v/>
      </c>
      <c r="N63" s="6" t="str">
        <f ca="1">IF(ISNA(MATCH($A63,'Game Clock'!A$11:A$48,0)),"",INDIRECT(ADDRESS(MATCH($A63,'Game Clock'!A$11:A$48,0)+ROW('Game Clock'!A$10),N$1,1,,"Game Clock")))</f>
        <v/>
      </c>
      <c r="O63" s="6" t="str">
        <f ca="1">IF(OR(N63="",N63=0),"",60*E63/N63)</f>
        <v/>
      </c>
      <c r="Q63" s="6">
        <f>Q61+1</f>
        <v>31</v>
      </c>
      <c r="R63" s="20" t="str">
        <f>IF(ISNA(MATCH($Q63,Score!T$4:T$41,0)),"",MATCH($Q63,Score!T$4:T$41,0)++ROW(Score!T$3))</f>
        <v/>
      </c>
      <c r="S63" s="89" t="str">
        <f t="shared" ca="1" si="21"/>
        <v/>
      </c>
      <c r="T63" s="20" t="str">
        <f t="shared" ca="1" si="21"/>
        <v/>
      </c>
      <c r="U63" s="6" t="str">
        <f>IF(R63="","",SUM(T63,T64))</f>
        <v/>
      </c>
      <c r="V63" s="6" t="str">
        <f>IF(R63="","",U63-E63)</f>
        <v/>
      </c>
      <c r="W63" s="157" t="str">
        <f ca="1">IF($R63="","",IF(ISBLANK(INDIRECT(ADDRESS($R63,W$1,1,,"Score"))),"",1))</f>
        <v/>
      </c>
      <c r="X63" s="157" t="str">
        <f ca="1">IF($R63="","",IF(ISBLANK(INDIRECT(ADDRESS($R63,X$1,1,,"Score"))),"",1))</f>
        <v/>
      </c>
      <c r="Y63" s="147" t="str">
        <f ca="1">IF(X63=1,V63,"")</f>
        <v/>
      </c>
      <c r="Z63" s="157" t="str">
        <f t="shared" ca="1" si="22"/>
        <v/>
      </c>
      <c r="AA63" s="157" t="str">
        <f t="shared" ca="1" si="22"/>
        <v/>
      </c>
      <c r="AB63" s="157" t="str">
        <f t="shared" ca="1" si="22"/>
        <v/>
      </c>
      <c r="AC63" s="20" t="str">
        <f t="shared" ca="1" si="23"/>
        <v/>
      </c>
      <c r="AD63" s="6" t="str">
        <f ca="1">N63</f>
        <v/>
      </c>
      <c r="AE63" s="6" t="str">
        <f ca="1">IF(OR(AD63="",AD63=0),"",60*U63/AD63)</f>
        <v/>
      </c>
    </row>
    <row r="64" spans="1:31" x14ac:dyDescent="0.25">
      <c r="A64" s="6"/>
      <c r="B64" s="20" t="str">
        <f ca="1">IF($B63="","",IF(INDIRECT(ADDRESS($B63+1,C$1-1,1,,"Score"))="SP",$B63+1,""))</f>
        <v/>
      </c>
      <c r="C64" s="89" t="str">
        <f t="shared" ca="1" si="18"/>
        <v/>
      </c>
      <c r="D64" s="20" t="str">
        <f t="shared" ca="1" si="18"/>
        <v/>
      </c>
      <c r="E64" s="6"/>
      <c r="F64" s="6"/>
      <c r="G64" s="157"/>
      <c r="H64" s="157"/>
      <c r="I64" s="147"/>
      <c r="J64" s="157" t="str">
        <f t="shared" ca="1" si="19"/>
        <v/>
      </c>
      <c r="K64" s="157" t="str">
        <f t="shared" ca="1" si="19"/>
        <v/>
      </c>
      <c r="L64" s="157" t="str">
        <f t="shared" ca="1" si="19"/>
        <v/>
      </c>
      <c r="M64" s="20" t="str">
        <f t="shared" ca="1" si="20"/>
        <v/>
      </c>
      <c r="N64" s="6"/>
      <c r="O64" s="6"/>
      <c r="Q64" s="6"/>
      <c r="R64" s="20" t="str">
        <f ca="1">IF($R63="","",IF(INDIRECT(ADDRESS($R63+1,S$1-1,1,,"Score"))="SP",$R63+1,""))</f>
        <v/>
      </c>
      <c r="S64" s="89" t="str">
        <f t="shared" ca="1" si="21"/>
        <v/>
      </c>
      <c r="T64" s="20" t="str">
        <f t="shared" ca="1" si="21"/>
        <v/>
      </c>
      <c r="U64" s="6"/>
      <c r="V64" s="6"/>
      <c r="W64" s="157"/>
      <c r="X64" s="157"/>
      <c r="Y64" s="147"/>
      <c r="Z64" s="157" t="str">
        <f t="shared" ca="1" si="22"/>
        <v/>
      </c>
      <c r="AA64" s="157" t="str">
        <f t="shared" ca="1" si="22"/>
        <v/>
      </c>
      <c r="AB64" s="157" t="str">
        <f t="shared" ca="1" si="22"/>
        <v/>
      </c>
      <c r="AC64" s="20" t="str">
        <f t="shared" ca="1" si="23"/>
        <v/>
      </c>
      <c r="AD64" s="6"/>
      <c r="AE64" s="6"/>
    </row>
    <row r="65" spans="1:31" x14ac:dyDescent="0.25">
      <c r="A65" s="148">
        <f>A63+1</f>
        <v>32</v>
      </c>
      <c r="B65" s="149" t="str">
        <f>IF(ISNA(MATCH($A65,Score!A$4:A$41,0)),"",MATCH($A65,Score!A$4:A$41,0)+ROW(Score!A$3))</f>
        <v/>
      </c>
      <c r="C65" s="150" t="str">
        <f t="shared" ca="1" si="18"/>
        <v/>
      </c>
      <c r="D65" s="149" t="str">
        <f t="shared" ca="1" si="18"/>
        <v/>
      </c>
      <c r="E65" s="148" t="str">
        <f>IF(B65="","",SUM(D65,D66))</f>
        <v/>
      </c>
      <c r="F65" s="148" t="str">
        <f>IF(B65="","",E65-U65)</f>
        <v/>
      </c>
      <c r="G65" s="151" t="str">
        <f ca="1">IF($B65="","",IF(ISBLANK(INDIRECT(ADDRESS($B65,G$1,1,,"Score"))),"",1))</f>
        <v/>
      </c>
      <c r="H65" s="151" t="str">
        <f ca="1">IF($B65="","",IF(ISBLANK(INDIRECT(ADDRESS($B65,H$1,1,,"Score"))),"",1))</f>
        <v/>
      </c>
      <c r="I65" s="153" t="str">
        <f ca="1">IF(H65=1,F65,"")</f>
        <v/>
      </c>
      <c r="J65" s="151" t="str">
        <f t="shared" ca="1" si="19"/>
        <v/>
      </c>
      <c r="K65" s="151" t="str">
        <f t="shared" ca="1" si="19"/>
        <v/>
      </c>
      <c r="L65" s="151" t="str">
        <f t="shared" ca="1" si="19"/>
        <v/>
      </c>
      <c r="M65" s="149" t="str">
        <f t="shared" ca="1" si="20"/>
        <v/>
      </c>
      <c r="N65" s="6" t="str">
        <f ca="1">IF(ISNA(MATCH($A65,'Game Clock'!A$11:A$48,0)),"",INDIRECT(ADDRESS(MATCH($A65,'Game Clock'!A$11:A$48,0)+ROW('Game Clock'!A$10),N$1,1,,"Game Clock")))</f>
        <v/>
      </c>
      <c r="O65" s="148" t="str">
        <f ca="1">IF(OR(N65="",N65=0),"",60*E65/N65)</f>
        <v/>
      </c>
      <c r="Q65" s="148">
        <f>Q63+1</f>
        <v>32</v>
      </c>
      <c r="R65" s="149" t="str">
        <f>IF(ISNA(MATCH($Q65,Score!T$4:T$41,0)),"",MATCH($Q65,Score!T$4:T$41,0)++ROW(Score!T$3))</f>
        <v/>
      </c>
      <c r="S65" s="150" t="str">
        <f t="shared" ca="1" si="21"/>
        <v/>
      </c>
      <c r="T65" s="149" t="str">
        <f t="shared" ca="1" si="21"/>
        <v/>
      </c>
      <c r="U65" s="148" t="str">
        <f>IF(R65="","",SUM(T65,T66))</f>
        <v/>
      </c>
      <c r="V65" s="148" t="str">
        <f>IF(R65="","",U65-E65)</f>
        <v/>
      </c>
      <c r="W65" s="151" t="str">
        <f ca="1">IF($R65="","",IF(ISBLANK(INDIRECT(ADDRESS($R65,W$1,1,,"Score"))),"",1))</f>
        <v/>
      </c>
      <c r="X65" s="151" t="str">
        <f ca="1">IF($R65="","",IF(ISBLANK(INDIRECT(ADDRESS($R65,X$1,1,,"Score"))),"",1))</f>
        <v/>
      </c>
      <c r="Y65" s="153" t="str">
        <f ca="1">IF(X65=1,V65,"")</f>
        <v/>
      </c>
      <c r="Z65" s="151" t="str">
        <f t="shared" ca="1" si="22"/>
        <v/>
      </c>
      <c r="AA65" s="151" t="str">
        <f t="shared" ca="1" si="22"/>
        <v/>
      </c>
      <c r="AB65" s="151" t="str">
        <f t="shared" ca="1" si="22"/>
        <v/>
      </c>
      <c r="AC65" s="149" t="str">
        <f t="shared" ca="1" si="23"/>
        <v/>
      </c>
      <c r="AD65" s="148" t="str">
        <f ca="1">N65</f>
        <v/>
      </c>
      <c r="AE65" s="148" t="str">
        <f ca="1">IF(OR(AD65="",AD65=0),"",60*U65/AD65)</f>
        <v/>
      </c>
    </row>
    <row r="66" spans="1:31" x14ac:dyDescent="0.3">
      <c r="A66" s="148"/>
      <c r="B66" s="149" t="str">
        <f ca="1">IF($B65="","",IF(INDIRECT(ADDRESS($B65+1,C$1-1,1,,"Score"))="SP",$B65+1,""))</f>
        <v/>
      </c>
      <c r="C66" s="150" t="str">
        <f t="shared" ca="1" si="18"/>
        <v/>
      </c>
      <c r="D66" s="149" t="str">
        <f t="shared" ca="1" si="18"/>
        <v/>
      </c>
      <c r="E66" s="148"/>
      <c r="F66" s="148"/>
      <c r="G66" s="151"/>
      <c r="H66" s="152"/>
      <c r="I66" s="153"/>
      <c r="J66" s="151" t="str">
        <f t="shared" ca="1" si="19"/>
        <v/>
      </c>
      <c r="K66" s="151" t="str">
        <f t="shared" ca="1" si="19"/>
        <v/>
      </c>
      <c r="L66" s="151" t="str">
        <f t="shared" ca="1" si="19"/>
        <v/>
      </c>
      <c r="M66" s="149" t="str">
        <f t="shared" ca="1" si="20"/>
        <v/>
      </c>
      <c r="N66" s="148"/>
      <c r="O66" s="148"/>
      <c r="Q66" s="148"/>
      <c r="R66" s="149" t="str">
        <f ca="1">IF($R65="","",IF(INDIRECT(ADDRESS($R65+1,S$1-1,1,,"Score"))="SP",$R65+1,""))</f>
        <v/>
      </c>
      <c r="S66" s="150" t="str">
        <f t="shared" ca="1" si="21"/>
        <v/>
      </c>
      <c r="T66" s="149" t="str">
        <f t="shared" ca="1" si="21"/>
        <v/>
      </c>
      <c r="U66" s="148"/>
      <c r="V66" s="148"/>
      <c r="W66" s="151"/>
      <c r="X66" s="152"/>
      <c r="Y66" s="153"/>
      <c r="Z66" s="151" t="str">
        <f t="shared" ca="1" si="22"/>
        <v/>
      </c>
      <c r="AA66" s="151" t="str">
        <f t="shared" ca="1" si="22"/>
        <v/>
      </c>
      <c r="AB66" s="151" t="str">
        <f t="shared" ca="1" si="22"/>
        <v/>
      </c>
      <c r="AC66" s="149" t="str">
        <f t="shared" ca="1" si="23"/>
        <v/>
      </c>
      <c r="AD66" s="148"/>
      <c r="AE66" s="148"/>
    </row>
    <row r="67" spans="1:31" x14ac:dyDescent="0.25">
      <c r="A67" s="6">
        <f>A65+1</f>
        <v>33</v>
      </c>
      <c r="B67" s="20" t="str">
        <f>IF(ISNA(MATCH($A67,Score!A$4:A$41,0)),"",MATCH($A67,Score!A$4:A$41,0)+ROW(Score!A$3))</f>
        <v/>
      </c>
      <c r="C67" s="89" t="str">
        <f t="shared" ca="1" si="18"/>
        <v/>
      </c>
      <c r="D67" s="20" t="str">
        <f t="shared" ca="1" si="18"/>
        <v/>
      </c>
      <c r="E67" s="6" t="str">
        <f>IF(B67="","",SUM(D67,D68))</f>
        <v/>
      </c>
      <c r="F67" s="6" t="str">
        <f>IF(B67="","",E67-U67)</f>
        <v/>
      </c>
      <c r="G67" s="157" t="str">
        <f ca="1">IF($B67="","",IF(ISBLANK(INDIRECT(ADDRESS($B67,G$1,1,,"Score"))),"",1))</f>
        <v/>
      </c>
      <c r="H67" s="157" t="str">
        <f ca="1">IF($B67="","",IF(ISBLANK(INDIRECT(ADDRESS($B67,H$1,1,,"Score"))),"",1))</f>
        <v/>
      </c>
      <c r="I67" s="147" t="str">
        <f ca="1">IF(H67=1,F67,"")</f>
        <v/>
      </c>
      <c r="J67" s="157" t="str">
        <f t="shared" ca="1" si="19"/>
        <v/>
      </c>
      <c r="K67" s="157" t="str">
        <f t="shared" ca="1" si="19"/>
        <v/>
      </c>
      <c r="L67" s="157" t="str">
        <f t="shared" ca="1" si="19"/>
        <v/>
      </c>
      <c r="M67" s="20" t="str">
        <f t="shared" ca="1" si="20"/>
        <v/>
      </c>
      <c r="N67" s="6" t="str">
        <f ca="1">IF(ISNA(MATCH($A67,'Game Clock'!A$11:A$48,0)),"",INDIRECT(ADDRESS(MATCH($A67,'Game Clock'!A$11:A$48,0)+ROW('Game Clock'!A$10),N$1,1,,"Game Clock")))</f>
        <v/>
      </c>
      <c r="O67" s="6" t="str">
        <f ca="1">IF(OR(N67="",N67=0),"",60*E67/N67)</f>
        <v/>
      </c>
      <c r="Q67" s="6">
        <f>Q65+1</f>
        <v>33</v>
      </c>
      <c r="R67" s="20" t="str">
        <f>IF(ISNA(MATCH($Q67,Score!T$4:T$41,0)),"",MATCH($Q67,Score!T$4:T$41,0)++ROW(Score!T$3))</f>
        <v/>
      </c>
      <c r="S67" s="89" t="str">
        <f t="shared" ca="1" si="21"/>
        <v/>
      </c>
      <c r="T67" s="20" t="str">
        <f t="shared" ca="1" si="21"/>
        <v/>
      </c>
      <c r="U67" s="6" t="str">
        <f>IF(R67="","",SUM(T67,T68))</f>
        <v/>
      </c>
      <c r="V67" s="6" t="str">
        <f>IF(R67="","",U67-E67)</f>
        <v/>
      </c>
      <c r="W67" s="157" t="str">
        <f ca="1">IF($R67="","",IF(ISBLANK(INDIRECT(ADDRESS($R67,W$1,1,,"Score"))),"",1))</f>
        <v/>
      </c>
      <c r="X67" s="157" t="str">
        <f ca="1">IF($R67="","",IF(ISBLANK(INDIRECT(ADDRESS($R67,X$1,1,,"Score"))),"",1))</f>
        <v/>
      </c>
      <c r="Y67" s="147" t="str">
        <f ca="1">IF(X67=1,V67,"")</f>
        <v/>
      </c>
      <c r="Z67" s="157" t="str">
        <f t="shared" ca="1" si="22"/>
        <v/>
      </c>
      <c r="AA67" s="157" t="str">
        <f t="shared" ca="1" si="22"/>
        <v/>
      </c>
      <c r="AB67" s="157" t="str">
        <f t="shared" ca="1" si="22"/>
        <v/>
      </c>
      <c r="AC67" s="20" t="str">
        <f t="shared" ca="1" si="23"/>
        <v/>
      </c>
      <c r="AD67" s="6" t="str">
        <f ca="1">N67</f>
        <v/>
      </c>
      <c r="AE67" s="6" t="str">
        <f ca="1">IF(OR(AD67="",AD67=0),"",60*U67/AD67)</f>
        <v/>
      </c>
    </row>
    <row r="68" spans="1:31" x14ac:dyDescent="0.25">
      <c r="A68" s="6"/>
      <c r="B68" s="20" t="str">
        <f ca="1">IF($B67="","",IF(INDIRECT(ADDRESS($B67+1,C$1-1,1,,"Score"))="SP",$B67+1,""))</f>
        <v/>
      </c>
      <c r="C68" s="89" t="str">
        <f t="shared" ca="1" si="18"/>
        <v/>
      </c>
      <c r="D68" s="20" t="str">
        <f t="shared" ca="1" si="18"/>
        <v/>
      </c>
      <c r="E68" s="6"/>
      <c r="F68" s="6"/>
      <c r="G68" s="157"/>
      <c r="H68" s="157"/>
      <c r="I68" s="147"/>
      <c r="J68" s="157" t="str">
        <f t="shared" ca="1" si="19"/>
        <v/>
      </c>
      <c r="K68" s="157" t="str">
        <f t="shared" ca="1" si="19"/>
        <v/>
      </c>
      <c r="L68" s="157" t="str">
        <f t="shared" ca="1" si="19"/>
        <v/>
      </c>
      <c r="M68" s="20" t="str">
        <f t="shared" ca="1" si="20"/>
        <v/>
      </c>
      <c r="N68" s="6"/>
      <c r="O68" s="6"/>
      <c r="Q68" s="6"/>
      <c r="R68" s="20" t="str">
        <f ca="1">IF($R67="","",IF(INDIRECT(ADDRESS($R67+1,S$1-1,1,,"Score"))="SP",$R67+1,""))</f>
        <v/>
      </c>
      <c r="S68" s="89" t="str">
        <f t="shared" ca="1" si="21"/>
        <v/>
      </c>
      <c r="T68" s="20" t="str">
        <f t="shared" ca="1" si="21"/>
        <v/>
      </c>
      <c r="U68" s="6"/>
      <c r="V68" s="6"/>
      <c r="W68" s="157"/>
      <c r="X68" s="157"/>
      <c r="Y68" s="147"/>
      <c r="Z68" s="157" t="str">
        <f t="shared" ca="1" si="22"/>
        <v/>
      </c>
      <c r="AA68" s="157" t="str">
        <f t="shared" ca="1" si="22"/>
        <v/>
      </c>
      <c r="AB68" s="157" t="str">
        <f t="shared" ca="1" si="22"/>
        <v/>
      </c>
      <c r="AC68" s="20" t="str">
        <f t="shared" ca="1" si="23"/>
        <v/>
      </c>
      <c r="AD68" s="6"/>
      <c r="AE68" s="6"/>
    </row>
    <row r="69" spans="1:31" x14ac:dyDescent="0.25">
      <c r="A69" s="148">
        <f>A67+1</f>
        <v>34</v>
      </c>
      <c r="B69" s="149" t="str">
        <f>IF(ISNA(MATCH($A69,Score!A$4:A$41,0)),"",MATCH($A69,Score!A$4:A$41,0)+ROW(Score!A$3))</f>
        <v/>
      </c>
      <c r="C69" s="150" t="str">
        <f t="shared" ca="1" si="18"/>
        <v/>
      </c>
      <c r="D69" s="149" t="str">
        <f t="shared" ca="1" si="18"/>
        <v/>
      </c>
      <c r="E69" s="148" t="str">
        <f>IF(B69="","",SUM(D69,D70))</f>
        <v/>
      </c>
      <c r="F69" s="148" t="str">
        <f>IF(B69="","",E69-U69)</f>
        <v/>
      </c>
      <c r="G69" s="151" t="str">
        <f ca="1">IF($B69="","",IF(ISBLANK(INDIRECT(ADDRESS($B69,G$1,1,,"Score"))),"",1))</f>
        <v/>
      </c>
      <c r="H69" s="151" t="str">
        <f ca="1">IF($B69="","",IF(ISBLANK(INDIRECT(ADDRESS($B69,H$1,1,,"Score"))),"",1))</f>
        <v/>
      </c>
      <c r="I69" s="153" t="str">
        <f ca="1">IF(H69=1,F69,"")</f>
        <v/>
      </c>
      <c r="J69" s="151" t="str">
        <f t="shared" ca="1" si="19"/>
        <v/>
      </c>
      <c r="K69" s="151" t="str">
        <f t="shared" ca="1" si="19"/>
        <v/>
      </c>
      <c r="L69" s="151" t="str">
        <f t="shared" ca="1" si="19"/>
        <v/>
      </c>
      <c r="M69" s="149" t="str">
        <f t="shared" ca="1" si="20"/>
        <v/>
      </c>
      <c r="N69" s="6" t="str">
        <f ca="1">IF(ISNA(MATCH($A69,'Game Clock'!A$11:A$48,0)),"",INDIRECT(ADDRESS(MATCH($A69,'Game Clock'!A$11:A$48,0)+ROW('Game Clock'!A$10),N$1,1,,"Game Clock")))</f>
        <v/>
      </c>
      <c r="O69" s="148" t="str">
        <f ca="1">IF(OR(N69="",N69=0),"",60*E69/N69)</f>
        <v/>
      </c>
      <c r="Q69" s="148">
        <f>Q67+1</f>
        <v>34</v>
      </c>
      <c r="R69" s="149" t="str">
        <f>IF(ISNA(MATCH($Q69,Score!T$4:T$41,0)),"",MATCH($Q69,Score!T$4:T$41,0)++ROW(Score!T$3))</f>
        <v/>
      </c>
      <c r="S69" s="150" t="str">
        <f t="shared" ca="1" si="21"/>
        <v/>
      </c>
      <c r="T69" s="149" t="str">
        <f t="shared" ca="1" si="21"/>
        <v/>
      </c>
      <c r="U69" s="148" t="str">
        <f>IF(R69="","",SUM(T69,T70))</f>
        <v/>
      </c>
      <c r="V69" s="148" t="str">
        <f>IF(R69="","",U69-E69)</f>
        <v/>
      </c>
      <c r="W69" s="151" t="str">
        <f ca="1">IF($R69="","",IF(ISBLANK(INDIRECT(ADDRESS($R69,W$1,1,,"Score"))),"",1))</f>
        <v/>
      </c>
      <c r="X69" s="151" t="str">
        <f ca="1">IF($R69="","",IF(ISBLANK(INDIRECT(ADDRESS($R69,X$1,1,,"Score"))),"",1))</f>
        <v/>
      </c>
      <c r="Y69" s="153" t="str">
        <f ca="1">IF(X69=1,V69,"")</f>
        <v/>
      </c>
      <c r="Z69" s="151" t="str">
        <f t="shared" ca="1" si="22"/>
        <v/>
      </c>
      <c r="AA69" s="151" t="str">
        <f t="shared" ca="1" si="22"/>
        <v/>
      </c>
      <c r="AB69" s="151" t="str">
        <f t="shared" ca="1" si="22"/>
        <v/>
      </c>
      <c r="AC69" s="149" t="str">
        <f t="shared" ca="1" si="23"/>
        <v/>
      </c>
      <c r="AD69" s="148" t="str">
        <f ca="1">N69</f>
        <v/>
      </c>
      <c r="AE69" s="148" t="str">
        <f ca="1">IF(OR(AD69="",AD69=0),"",60*U69/AD69)</f>
        <v/>
      </c>
    </row>
    <row r="70" spans="1:31" x14ac:dyDescent="0.3">
      <c r="A70" s="148"/>
      <c r="B70" s="149" t="str">
        <f ca="1">IF($B69="","",IF(INDIRECT(ADDRESS($B69+1,C$1-1,1,,"Score"))="SP",$B69+1,""))</f>
        <v/>
      </c>
      <c r="C70" s="150" t="str">
        <f t="shared" ca="1" si="18"/>
        <v/>
      </c>
      <c r="D70" s="149" t="str">
        <f t="shared" ca="1" si="18"/>
        <v/>
      </c>
      <c r="E70" s="148"/>
      <c r="F70" s="148"/>
      <c r="G70" s="151"/>
      <c r="H70" s="152"/>
      <c r="I70" s="153"/>
      <c r="J70" s="151" t="str">
        <f t="shared" ca="1" si="19"/>
        <v/>
      </c>
      <c r="K70" s="151" t="str">
        <f t="shared" ca="1" si="19"/>
        <v/>
      </c>
      <c r="L70" s="151" t="str">
        <f t="shared" ca="1" si="19"/>
        <v/>
      </c>
      <c r="M70" s="149" t="str">
        <f t="shared" ca="1" si="20"/>
        <v/>
      </c>
      <c r="N70" s="148"/>
      <c r="O70" s="148"/>
      <c r="Q70" s="148"/>
      <c r="R70" s="149" t="str">
        <f ca="1">IF($R69="","",IF(INDIRECT(ADDRESS($R69+1,S$1-1,1,,"Score"))="SP",$R69+1,""))</f>
        <v/>
      </c>
      <c r="S70" s="150" t="str">
        <f t="shared" ca="1" si="21"/>
        <v/>
      </c>
      <c r="T70" s="149" t="str">
        <f t="shared" ca="1" si="21"/>
        <v/>
      </c>
      <c r="U70" s="148"/>
      <c r="V70" s="148"/>
      <c r="W70" s="151"/>
      <c r="X70" s="152"/>
      <c r="Y70" s="153"/>
      <c r="Z70" s="151" t="str">
        <f t="shared" ca="1" si="22"/>
        <v/>
      </c>
      <c r="AA70" s="151" t="str">
        <f t="shared" ca="1" si="22"/>
        <v/>
      </c>
      <c r="AB70" s="151" t="str">
        <f t="shared" ca="1" si="22"/>
        <v/>
      </c>
      <c r="AC70" s="149" t="str">
        <f t="shared" ca="1" si="23"/>
        <v/>
      </c>
      <c r="AD70" s="148"/>
      <c r="AE70" s="148"/>
    </row>
    <row r="71" spans="1:31" x14ac:dyDescent="0.25">
      <c r="A71" s="6">
        <f>A69+1</f>
        <v>35</v>
      </c>
      <c r="B71" s="20" t="str">
        <f>IF(ISNA(MATCH($A71,Score!A$4:A$41,0)),"",MATCH($A71,Score!A$4:A$41,0)+ROW(Score!A$3))</f>
        <v/>
      </c>
      <c r="C71" s="89" t="str">
        <f t="shared" ca="1" si="18"/>
        <v/>
      </c>
      <c r="D71" s="20" t="str">
        <f t="shared" ca="1" si="18"/>
        <v/>
      </c>
      <c r="E71" s="6" t="str">
        <f>IF(B71="","",SUM(D71,D72))</f>
        <v/>
      </c>
      <c r="F71" s="6" t="str">
        <f>IF(B71="","",E71-U71)</f>
        <v/>
      </c>
      <c r="G71" s="157" t="str">
        <f ca="1">IF($B71="","",IF(ISBLANK(INDIRECT(ADDRESS($B71,G$1,1,,"Score"))),"",1))</f>
        <v/>
      </c>
      <c r="H71" s="157" t="str">
        <f ca="1">IF($B71="","",IF(ISBLANK(INDIRECT(ADDRESS($B71,H$1,1,,"Score"))),"",1))</f>
        <v/>
      </c>
      <c r="I71" s="147" t="str">
        <f ca="1">IF(H71=1,F71,"")</f>
        <v/>
      </c>
      <c r="J71" s="157" t="str">
        <f t="shared" ca="1" si="19"/>
        <v/>
      </c>
      <c r="K71" s="157" t="str">
        <f t="shared" ca="1" si="19"/>
        <v/>
      </c>
      <c r="L71" s="157" t="str">
        <f t="shared" ca="1" si="19"/>
        <v/>
      </c>
      <c r="M71" s="20" t="str">
        <f t="shared" ca="1" si="20"/>
        <v/>
      </c>
      <c r="N71" s="6" t="str">
        <f ca="1">IF(ISNA(MATCH($A71,'Game Clock'!A$11:A$48,0)),"",INDIRECT(ADDRESS(MATCH($A71,'Game Clock'!A$11:A$48,0)+ROW('Game Clock'!A$10),N$1,1,,"Game Clock")))</f>
        <v/>
      </c>
      <c r="O71" s="6" t="str">
        <f ca="1">IF(OR(N71="",N71=0),"",60*E71/N71)</f>
        <v/>
      </c>
      <c r="Q71" s="6">
        <f>Q69+1</f>
        <v>35</v>
      </c>
      <c r="R71" s="20" t="str">
        <f>IF(ISNA(MATCH($Q71,Score!T$4:T$41,0)),"",MATCH($Q71,Score!T$4:T$41,0)++ROW(Score!T$3))</f>
        <v/>
      </c>
      <c r="S71" s="89" t="str">
        <f t="shared" ca="1" si="21"/>
        <v/>
      </c>
      <c r="T71" s="20" t="str">
        <f t="shared" ca="1" si="21"/>
        <v/>
      </c>
      <c r="U71" s="6" t="str">
        <f>IF(R71="","",SUM(T71,T72))</f>
        <v/>
      </c>
      <c r="V71" s="6" t="str">
        <f>IF(R71="","",U71-E71)</f>
        <v/>
      </c>
      <c r="W71" s="157" t="str">
        <f ca="1">IF($R71="","",IF(ISBLANK(INDIRECT(ADDRESS($R71,W$1,1,,"Score"))),"",1))</f>
        <v/>
      </c>
      <c r="X71" s="157" t="str">
        <f ca="1">IF($R71="","",IF(ISBLANK(INDIRECT(ADDRESS($R71,X$1,1,,"Score"))),"",1))</f>
        <v/>
      </c>
      <c r="Y71" s="147" t="str">
        <f ca="1">IF(X71=1,V71,"")</f>
        <v/>
      </c>
      <c r="Z71" s="157" t="str">
        <f t="shared" ca="1" si="22"/>
        <v/>
      </c>
      <c r="AA71" s="157" t="str">
        <f t="shared" ca="1" si="22"/>
        <v/>
      </c>
      <c r="AB71" s="157" t="str">
        <f t="shared" ca="1" si="22"/>
        <v/>
      </c>
      <c r="AC71" s="20" t="str">
        <f t="shared" ca="1" si="23"/>
        <v/>
      </c>
      <c r="AD71" s="6" t="str">
        <f ca="1">N71</f>
        <v/>
      </c>
      <c r="AE71" s="6" t="str">
        <f ca="1">IF(OR(AD71="",AD71=0),"",60*U71/AD71)</f>
        <v/>
      </c>
    </row>
    <row r="72" spans="1:31" x14ac:dyDescent="0.25">
      <c r="A72" s="6"/>
      <c r="B72" s="20" t="str">
        <f ca="1">IF($B71="","",IF(INDIRECT(ADDRESS($B71+1,C$1-1,1,,"Score"))="SP",$B71+1,""))</f>
        <v/>
      </c>
      <c r="C72" s="89" t="str">
        <f t="shared" ca="1" si="18"/>
        <v/>
      </c>
      <c r="D72" s="20" t="str">
        <f t="shared" ca="1" si="18"/>
        <v/>
      </c>
      <c r="E72" s="6"/>
      <c r="F72" s="6"/>
      <c r="G72" s="157"/>
      <c r="H72" s="157"/>
      <c r="I72" s="147"/>
      <c r="J72" s="157" t="str">
        <f t="shared" ca="1" si="19"/>
        <v/>
      </c>
      <c r="K72" s="157" t="str">
        <f t="shared" ca="1" si="19"/>
        <v/>
      </c>
      <c r="L72" s="157" t="str">
        <f t="shared" ca="1" si="19"/>
        <v/>
      </c>
      <c r="M72" s="20" t="str">
        <f t="shared" ca="1" si="20"/>
        <v/>
      </c>
      <c r="N72" s="6"/>
      <c r="O72" s="6"/>
      <c r="Q72" s="6"/>
      <c r="R72" s="20" t="str">
        <f ca="1">IF($R71="","",IF(INDIRECT(ADDRESS($R71+1,S$1-1,1,,"Score"))="SP",$R71+1,""))</f>
        <v/>
      </c>
      <c r="S72" s="89" t="str">
        <f t="shared" ca="1" si="21"/>
        <v/>
      </c>
      <c r="T72" s="20" t="str">
        <f t="shared" ca="1" si="21"/>
        <v/>
      </c>
      <c r="U72" s="6"/>
      <c r="V72" s="6"/>
      <c r="W72" s="157"/>
      <c r="X72" s="157"/>
      <c r="Y72" s="147"/>
      <c r="Z72" s="157" t="str">
        <f t="shared" ca="1" si="22"/>
        <v/>
      </c>
      <c r="AA72" s="157" t="str">
        <f t="shared" ca="1" si="22"/>
        <v/>
      </c>
      <c r="AB72" s="157" t="str">
        <f t="shared" ca="1" si="22"/>
        <v/>
      </c>
      <c r="AC72" s="20" t="str">
        <f t="shared" ca="1" si="23"/>
        <v/>
      </c>
      <c r="AD72" s="6"/>
      <c r="AE72" s="6"/>
    </row>
    <row r="73" spans="1:31" x14ac:dyDescent="0.25">
      <c r="A73" s="148">
        <f>A71+1</f>
        <v>36</v>
      </c>
      <c r="B73" s="149" t="str">
        <f>IF(ISNA(MATCH($A73,Score!A$4:A$41,0)),"",MATCH($A73,Score!A$4:A$41,0)+ROW(Score!A$3))</f>
        <v/>
      </c>
      <c r="C73" s="150" t="str">
        <f t="shared" ca="1" si="18"/>
        <v/>
      </c>
      <c r="D73" s="149" t="str">
        <f t="shared" ca="1" si="18"/>
        <v/>
      </c>
      <c r="E73" s="148" t="str">
        <f>IF(B73="","",SUM(D73,D74))</f>
        <v/>
      </c>
      <c r="F73" s="148" t="str">
        <f>IF(B73="","",E73-U73)</f>
        <v/>
      </c>
      <c r="G73" s="151" t="str">
        <f ca="1">IF($B73="","",IF(ISBLANK(INDIRECT(ADDRESS($B73,G$1,1,,"Score"))),"",1))</f>
        <v/>
      </c>
      <c r="H73" s="151" t="str">
        <f ca="1">IF($B73="","",IF(ISBLANK(INDIRECT(ADDRESS($B73,H$1,1,,"Score"))),"",1))</f>
        <v/>
      </c>
      <c r="I73" s="153" t="str">
        <f ca="1">IF(H73=1,F73,"")</f>
        <v/>
      </c>
      <c r="J73" s="151" t="str">
        <f t="shared" ca="1" si="19"/>
        <v/>
      </c>
      <c r="K73" s="151" t="str">
        <f t="shared" ca="1" si="19"/>
        <v/>
      </c>
      <c r="L73" s="151" t="str">
        <f t="shared" ca="1" si="19"/>
        <v/>
      </c>
      <c r="M73" s="149" t="str">
        <f t="shared" ca="1" si="20"/>
        <v/>
      </c>
      <c r="N73" s="6" t="str">
        <f ca="1">IF(ISNA(MATCH($A73,'Game Clock'!A$11:A$48,0)),"",INDIRECT(ADDRESS(MATCH($A73,'Game Clock'!A$11:A$48,0)+ROW('Game Clock'!A$10),N$1,1,,"Game Clock")))</f>
        <v/>
      </c>
      <c r="O73" s="148" t="str">
        <f ca="1">IF(OR(N73="",N73=0),"",60*E73/N73)</f>
        <v/>
      </c>
      <c r="Q73" s="148">
        <f>Q71+1</f>
        <v>36</v>
      </c>
      <c r="R73" s="149" t="str">
        <f>IF(ISNA(MATCH($Q73,Score!T$4:T$41,0)),"",MATCH($Q73,Score!T$4:T$41,0)++ROW(Score!T$3))</f>
        <v/>
      </c>
      <c r="S73" s="150" t="str">
        <f t="shared" ca="1" si="21"/>
        <v/>
      </c>
      <c r="T73" s="149" t="str">
        <f t="shared" ca="1" si="21"/>
        <v/>
      </c>
      <c r="U73" s="148" t="str">
        <f>IF(R73="","",SUM(T73,T74))</f>
        <v/>
      </c>
      <c r="V73" s="148" t="str">
        <f>IF(R73="","",U73-E73)</f>
        <v/>
      </c>
      <c r="W73" s="151" t="str">
        <f ca="1">IF($R73="","",IF(ISBLANK(INDIRECT(ADDRESS($R73,W$1,1,,"Score"))),"",1))</f>
        <v/>
      </c>
      <c r="X73" s="151" t="str">
        <f ca="1">IF($R73="","",IF(ISBLANK(INDIRECT(ADDRESS($R73,X$1,1,,"Score"))),"",1))</f>
        <v/>
      </c>
      <c r="Y73" s="153" t="str">
        <f ca="1">IF(X73=1,V73,"")</f>
        <v/>
      </c>
      <c r="Z73" s="151" t="str">
        <f t="shared" ca="1" si="22"/>
        <v/>
      </c>
      <c r="AA73" s="151" t="str">
        <f t="shared" ca="1" si="22"/>
        <v/>
      </c>
      <c r="AB73" s="151" t="str">
        <f t="shared" ca="1" si="22"/>
        <v/>
      </c>
      <c r="AC73" s="149" t="str">
        <f t="shared" ca="1" si="23"/>
        <v/>
      </c>
      <c r="AD73" s="148" t="str">
        <f ca="1">N73</f>
        <v/>
      </c>
      <c r="AE73" s="148" t="str">
        <f ca="1">IF(OR(AD73="",AD73=0),"",60*U73/AD73)</f>
        <v/>
      </c>
    </row>
    <row r="74" spans="1:31" x14ac:dyDescent="0.3">
      <c r="A74" s="148"/>
      <c r="B74" s="149" t="str">
        <f ca="1">IF($B73="","",IF(INDIRECT(ADDRESS($B73+1,C$1-1,1,,"Score"))="SP",$B73+1,""))</f>
        <v/>
      </c>
      <c r="C74" s="150" t="str">
        <f t="shared" ca="1" si="18"/>
        <v/>
      </c>
      <c r="D74" s="149" t="str">
        <f t="shared" ca="1" si="18"/>
        <v/>
      </c>
      <c r="E74" s="148"/>
      <c r="F74" s="148"/>
      <c r="G74" s="151"/>
      <c r="H74" s="152"/>
      <c r="I74" s="153"/>
      <c r="J74" s="151" t="str">
        <f t="shared" ca="1" si="19"/>
        <v/>
      </c>
      <c r="K74" s="151" t="str">
        <f t="shared" ca="1" si="19"/>
        <v/>
      </c>
      <c r="L74" s="151" t="str">
        <f t="shared" ca="1" si="19"/>
        <v/>
      </c>
      <c r="M74" s="149" t="str">
        <f t="shared" ca="1" si="20"/>
        <v/>
      </c>
      <c r="N74" s="148"/>
      <c r="O74" s="148"/>
      <c r="Q74" s="148"/>
      <c r="R74" s="149" t="str">
        <f ca="1">IF($R73="","",IF(INDIRECT(ADDRESS($R73+1,S$1-1,1,,"Score"))="SP",$R73+1,""))</f>
        <v/>
      </c>
      <c r="S74" s="150" t="str">
        <f t="shared" ca="1" si="21"/>
        <v/>
      </c>
      <c r="T74" s="149" t="str">
        <f t="shared" ca="1" si="21"/>
        <v/>
      </c>
      <c r="U74" s="148"/>
      <c r="V74" s="148"/>
      <c r="W74" s="151"/>
      <c r="X74" s="152"/>
      <c r="Y74" s="153"/>
      <c r="Z74" s="151" t="str">
        <f t="shared" ca="1" si="22"/>
        <v/>
      </c>
      <c r="AA74" s="151" t="str">
        <f t="shared" ca="1" si="22"/>
        <v/>
      </c>
      <c r="AB74" s="151" t="str">
        <f t="shared" ca="1" si="22"/>
        <v/>
      </c>
      <c r="AC74" s="149" t="str">
        <f t="shared" ca="1" si="23"/>
        <v/>
      </c>
      <c r="AD74" s="148"/>
      <c r="AE74" s="148"/>
    </row>
    <row r="75" spans="1:31" x14ac:dyDescent="0.25">
      <c r="A75" s="6">
        <f>A73+1</f>
        <v>37</v>
      </c>
      <c r="B75" s="20" t="str">
        <f>IF(ISNA(MATCH($A75,Score!A$4:A$41,0)),"",MATCH($A75,Score!A$4:A$41,0)+ROW(Score!A$3))</f>
        <v/>
      </c>
      <c r="C75" s="89" t="str">
        <f t="shared" ref="C75:D78" ca="1" si="24">IF($B75="","",INDIRECT(ADDRESS($B75,C$1,1,,"Score")))</f>
        <v/>
      </c>
      <c r="D75" s="20" t="str">
        <f t="shared" ca="1" si="24"/>
        <v/>
      </c>
      <c r="E75" s="6" t="str">
        <f>IF(B75="","",SUM(D75,D76))</f>
        <v/>
      </c>
      <c r="F75" s="6" t="str">
        <f>IF(B75="","",E75-U75)</f>
        <v/>
      </c>
      <c r="G75" s="157" t="str">
        <f ca="1">IF($B75="","",IF(ISBLANK(INDIRECT(ADDRESS($B75,G$1,1,,"Score"))),"",1))</f>
        <v/>
      </c>
      <c r="H75" s="157" t="str">
        <f ca="1">IF($B75="","",IF(ISBLANK(INDIRECT(ADDRESS($B75,H$1,1,,"Score"))),"",1))</f>
        <v/>
      </c>
      <c r="I75" s="147" t="str">
        <f ca="1">IF(H75=1,F75,"")</f>
        <v/>
      </c>
      <c r="J75" s="157" t="str">
        <f t="shared" ref="J75:L78" ca="1" si="25">IF($B75="","",IF(ISBLANK(INDIRECT(ADDRESS($B75,J$1,1,,"Score"))),"",1))</f>
        <v/>
      </c>
      <c r="K75" s="157" t="str">
        <f t="shared" ca="1" si="25"/>
        <v/>
      </c>
      <c r="L75" s="157" t="str">
        <f t="shared" ca="1" si="25"/>
        <v/>
      </c>
      <c r="M75" s="20" t="str">
        <f t="shared" ca="1" si="20"/>
        <v/>
      </c>
      <c r="N75" s="6" t="str">
        <f ca="1">IF(ISNA(MATCH($A75,'Game Clock'!A$11:A$48,0)),"",INDIRECT(ADDRESS(MATCH($A75,'Game Clock'!A$11:A$48,0)+ROW('Game Clock'!A$10),N$1,1,,"Game Clock")))</f>
        <v/>
      </c>
      <c r="O75" s="6" t="str">
        <f ca="1">IF(OR(N75="",N75=0),"",60*E75/N75)</f>
        <v/>
      </c>
      <c r="Q75" s="6">
        <f>Q73+1</f>
        <v>37</v>
      </c>
      <c r="R75" s="20" t="str">
        <f>IF(ISNA(MATCH($Q75,Score!T$4:T$41,0)),"",MATCH($Q75,Score!T$4:T$41,0)++ROW(Score!T$3))</f>
        <v/>
      </c>
      <c r="S75" s="89" t="str">
        <f t="shared" ref="S75:T78" ca="1" si="26">IF($R75="","",INDIRECT(ADDRESS($R75,S$1,1,,"Score")))</f>
        <v/>
      </c>
      <c r="T75" s="20" t="str">
        <f t="shared" ca="1" si="26"/>
        <v/>
      </c>
      <c r="U75" s="6" t="str">
        <f>IF(R75="","",SUM(T75,T76))</f>
        <v/>
      </c>
      <c r="V75" s="6" t="str">
        <f>IF(R75="","",U75-E75)</f>
        <v/>
      </c>
      <c r="W75" s="157" t="str">
        <f ca="1">IF($R75="","",IF(ISBLANK(INDIRECT(ADDRESS($R75,W$1,1,,"Score"))),"",1))</f>
        <v/>
      </c>
      <c r="X75" s="157" t="str">
        <f ca="1">IF($R75="","",IF(ISBLANK(INDIRECT(ADDRESS($R75,X$1,1,,"Score"))),"",1))</f>
        <v/>
      </c>
      <c r="Y75" s="147" t="str">
        <f ca="1">IF(X75=1,V75,"")</f>
        <v/>
      </c>
      <c r="Z75" s="157" t="str">
        <f t="shared" ref="Z75:AB78" ca="1" si="27">IF($R75="","",IF(ISBLANK(INDIRECT(ADDRESS($R75,Z$1,1,,"Score"))),"",1))</f>
        <v/>
      </c>
      <c r="AA75" s="157" t="str">
        <f t="shared" ca="1" si="27"/>
        <v/>
      </c>
      <c r="AB75" s="157" t="str">
        <f t="shared" ca="1" si="27"/>
        <v/>
      </c>
      <c r="AC75" s="20" t="str">
        <f t="shared" ca="1" si="23"/>
        <v/>
      </c>
      <c r="AD75" s="6" t="str">
        <f ca="1">N75</f>
        <v/>
      </c>
      <c r="AE75" s="6" t="str">
        <f ca="1">IF(OR(AD75="",AD75=0),"",60*U75/AD75)</f>
        <v/>
      </c>
    </row>
    <row r="76" spans="1:31" x14ac:dyDescent="0.25">
      <c r="A76" s="6"/>
      <c r="B76" s="20" t="str">
        <f ca="1">IF($B75="","",IF(INDIRECT(ADDRESS($B75+1,C$1-1,1,,"Score"))="SP",$B75+1,""))</f>
        <v/>
      </c>
      <c r="C76" s="89" t="str">
        <f t="shared" ca="1" si="24"/>
        <v/>
      </c>
      <c r="D76" s="20" t="str">
        <f t="shared" ca="1" si="24"/>
        <v/>
      </c>
      <c r="E76" s="6"/>
      <c r="F76" s="6"/>
      <c r="G76" s="157"/>
      <c r="H76" s="157"/>
      <c r="I76" s="147"/>
      <c r="J76" s="157" t="str">
        <f t="shared" ca="1" si="25"/>
        <v/>
      </c>
      <c r="K76" s="157" t="str">
        <f t="shared" ca="1" si="25"/>
        <v/>
      </c>
      <c r="L76" s="157" t="str">
        <f t="shared" ca="1" si="25"/>
        <v/>
      </c>
      <c r="M76" s="20" t="str">
        <f t="shared" ca="1" si="20"/>
        <v/>
      </c>
      <c r="N76" s="6"/>
      <c r="O76" s="6"/>
      <c r="Q76" s="6"/>
      <c r="R76" s="20" t="str">
        <f ca="1">IF($R75="","",IF(INDIRECT(ADDRESS($R75+1,S$1-1,1,,"Score"))="SP",$R75+1,""))</f>
        <v/>
      </c>
      <c r="S76" s="89" t="str">
        <f t="shared" ca="1" si="26"/>
        <v/>
      </c>
      <c r="T76" s="20" t="str">
        <f t="shared" ca="1" si="26"/>
        <v/>
      </c>
      <c r="U76" s="6"/>
      <c r="V76" s="6"/>
      <c r="W76" s="157"/>
      <c r="X76" s="157"/>
      <c r="Y76" s="147"/>
      <c r="Z76" s="157" t="str">
        <f t="shared" ca="1" si="27"/>
        <v/>
      </c>
      <c r="AA76" s="157" t="str">
        <f t="shared" ca="1" si="27"/>
        <v/>
      </c>
      <c r="AB76" s="157" t="str">
        <f t="shared" ca="1" si="27"/>
        <v/>
      </c>
      <c r="AC76" s="20" t="str">
        <f t="shared" ca="1" si="23"/>
        <v/>
      </c>
      <c r="AD76" s="6"/>
      <c r="AE76" s="6"/>
    </row>
    <row r="77" spans="1:31" x14ac:dyDescent="0.25">
      <c r="A77" s="148">
        <f>A75+1</f>
        <v>38</v>
      </c>
      <c r="B77" s="149" t="str">
        <f>IF(ISNA(MATCH($A77,Score!A$4:A$41,0)),"",MATCH($A77,Score!A$4:A$41,0)+ROW(Score!A$3))</f>
        <v/>
      </c>
      <c r="C77" s="150" t="str">
        <f t="shared" ca="1" si="24"/>
        <v/>
      </c>
      <c r="D77" s="149" t="str">
        <f t="shared" ca="1" si="24"/>
        <v/>
      </c>
      <c r="E77" s="148" t="str">
        <f>IF(B77="","",SUM(D77,D78))</f>
        <v/>
      </c>
      <c r="F77" s="148" t="str">
        <f>IF(B77="","",E77-U77)</f>
        <v/>
      </c>
      <c r="G77" s="151" t="str">
        <f ca="1">IF($B77="","",IF(ISBLANK(INDIRECT(ADDRESS($B77,G$1,1,,"Score"))),"",1))</f>
        <v/>
      </c>
      <c r="H77" s="151" t="str">
        <f ca="1">IF($B77="","",IF(ISBLANK(INDIRECT(ADDRESS($B77,H$1,1,,"Score"))),"",1))</f>
        <v/>
      </c>
      <c r="I77" s="153" t="str">
        <f ca="1">IF(H77=1,F77,"")</f>
        <v/>
      </c>
      <c r="J77" s="151" t="str">
        <f t="shared" ca="1" si="25"/>
        <v/>
      </c>
      <c r="K77" s="151" t="str">
        <f t="shared" ca="1" si="25"/>
        <v/>
      </c>
      <c r="L77" s="151" t="str">
        <f t="shared" ca="1" si="25"/>
        <v/>
      </c>
      <c r="M77" s="149" t="str">
        <f t="shared" ca="1" si="20"/>
        <v/>
      </c>
      <c r="N77" s="6" t="str">
        <f ca="1">IF(ISNA(MATCH($A77,'Game Clock'!A$11:A$48,0)),"",INDIRECT(ADDRESS(MATCH($A77,'Game Clock'!A$11:A$48,0)+ROW('Game Clock'!A$10),N$1,1,,"Game Clock")))</f>
        <v/>
      </c>
      <c r="O77" s="148" t="str">
        <f ca="1">IF(OR(N77="",N77=0),"",60*E77/N77)</f>
        <v/>
      </c>
      <c r="Q77" s="148">
        <f>Q75+1</f>
        <v>38</v>
      </c>
      <c r="R77" s="149" t="str">
        <f>IF(ISNA(MATCH($Q77,Score!T$4:T$41,0)),"",MATCH($Q77,Score!T$4:T$41,0)++ROW(Score!T$3))</f>
        <v/>
      </c>
      <c r="S77" s="150" t="str">
        <f t="shared" ca="1" si="26"/>
        <v/>
      </c>
      <c r="T77" s="149" t="str">
        <f t="shared" ca="1" si="26"/>
        <v/>
      </c>
      <c r="U77" s="148" t="str">
        <f>IF(R77="","",SUM(T77,T78))</f>
        <v/>
      </c>
      <c r="V77" s="148" t="str">
        <f>IF(R77="","",U77-E77)</f>
        <v/>
      </c>
      <c r="W77" s="151" t="str">
        <f ca="1">IF($R77="","",IF(ISBLANK(INDIRECT(ADDRESS($R77,W$1,1,,"Score"))),"",1))</f>
        <v/>
      </c>
      <c r="X77" s="151" t="str">
        <f ca="1">IF($R77="","",IF(ISBLANK(INDIRECT(ADDRESS($R77,X$1,1,,"Score"))),"",1))</f>
        <v/>
      </c>
      <c r="Y77" s="153" t="str">
        <f ca="1">IF(X77=1,V77,"")</f>
        <v/>
      </c>
      <c r="Z77" s="151" t="str">
        <f t="shared" ca="1" si="27"/>
        <v/>
      </c>
      <c r="AA77" s="151" t="str">
        <f t="shared" ca="1" si="27"/>
        <v/>
      </c>
      <c r="AB77" s="151" t="str">
        <f t="shared" ca="1" si="27"/>
        <v/>
      </c>
      <c r="AC77" s="149" t="str">
        <f t="shared" ca="1" si="23"/>
        <v/>
      </c>
      <c r="AD77" s="148" t="str">
        <f ca="1">N77</f>
        <v/>
      </c>
      <c r="AE77" s="148" t="str">
        <f ca="1">IF(OR(AD77="",AD77=0),"",60*U77/AD77)</f>
        <v/>
      </c>
    </row>
    <row r="78" spans="1:31" x14ac:dyDescent="0.3">
      <c r="A78" s="148"/>
      <c r="B78" s="149" t="str">
        <f ca="1">IF($B77="","",IF(INDIRECT(ADDRESS($B77+1,C$1-1,1,,"Score"))="SP",$B77+1,""))</f>
        <v/>
      </c>
      <c r="C78" s="150" t="str">
        <f t="shared" ca="1" si="24"/>
        <v/>
      </c>
      <c r="D78" s="149" t="str">
        <f t="shared" ca="1" si="24"/>
        <v/>
      </c>
      <c r="E78" s="148"/>
      <c r="F78" s="148"/>
      <c r="G78" s="151"/>
      <c r="H78" s="152"/>
      <c r="I78" s="153"/>
      <c r="J78" s="151" t="str">
        <f t="shared" ca="1" si="25"/>
        <v/>
      </c>
      <c r="K78" s="151" t="str">
        <f t="shared" ca="1" si="25"/>
        <v/>
      </c>
      <c r="L78" s="151" t="str">
        <f t="shared" ca="1" si="25"/>
        <v/>
      </c>
      <c r="M78" s="149" t="str">
        <f t="shared" ca="1" si="20"/>
        <v/>
      </c>
      <c r="N78" s="148"/>
      <c r="O78" s="148"/>
      <c r="Q78" s="148"/>
      <c r="R78" s="149" t="str">
        <f ca="1">IF($R77="","",IF(INDIRECT(ADDRESS($R77+1,S$1-1,1,,"Score"))="SP",$R77+1,""))</f>
        <v/>
      </c>
      <c r="S78" s="150" t="str">
        <f t="shared" ca="1" si="26"/>
        <v/>
      </c>
      <c r="T78" s="149" t="str">
        <f t="shared" ca="1" si="26"/>
        <v/>
      </c>
      <c r="U78" s="148"/>
      <c r="V78" s="148"/>
      <c r="W78" s="151"/>
      <c r="X78" s="152"/>
      <c r="Y78" s="153"/>
      <c r="Z78" s="151" t="str">
        <f t="shared" ca="1" si="27"/>
        <v/>
      </c>
      <c r="AA78" s="151" t="str">
        <f t="shared" ca="1" si="27"/>
        <v/>
      </c>
      <c r="AB78" s="151" t="str">
        <f t="shared" ca="1" si="27"/>
        <v/>
      </c>
      <c r="AC78" s="149" t="str">
        <f t="shared" ca="1" si="23"/>
        <v/>
      </c>
      <c r="AD78" s="148"/>
      <c r="AE78" s="148"/>
    </row>
    <row r="79" spans="1:31" ht="12.75" customHeight="1" x14ac:dyDescent="0.25">
      <c r="A79" s="1212" t="s">
        <v>19</v>
      </c>
      <c r="B79" s="158"/>
      <c r="C79" s="158"/>
      <c r="D79" s="158"/>
      <c r="E79" s="159">
        <f ca="1">SUM(E3:E78)</f>
        <v>70</v>
      </c>
      <c r="F79" s="160"/>
      <c r="G79" s="156">
        <f ca="1">SUM(G3:G78)</f>
        <v>1</v>
      </c>
      <c r="H79" s="156">
        <f ca="1">SUM(H3:H78)</f>
        <v>13</v>
      </c>
      <c r="I79" s="146"/>
      <c r="J79" s="1213">
        <f ca="1">SUM(J3:J78)</f>
        <v>8</v>
      </c>
      <c r="K79" s="1213">
        <f ca="1">SUM(K3:K78)</f>
        <v>0</v>
      </c>
      <c r="L79" s="156">
        <f ca="1">SUM(L3,L5,L7,L9,L11,L13,L15,L17,L19,L21,L23,L25,L27,L29,L31,L33,L35,L37,L39,L41,L43,L45,L47,L49,L51,L53,L55,L57,L59,L61,L63,L65,L67,L69,L71,L73,L75,L77)</f>
        <v>3</v>
      </c>
      <c r="M79" s="158"/>
      <c r="N79" s="160" t="s">
        <v>20</v>
      </c>
      <c r="O79" s="159">
        <f ca="1">IF(COUNT(O3:O78),AVERAGE(O3:O78),"")</f>
        <v>3.1780166650974482</v>
      </c>
      <c r="Q79" s="1212" t="s">
        <v>19</v>
      </c>
      <c r="R79" s="158"/>
      <c r="S79" s="158"/>
      <c r="T79" s="158"/>
      <c r="U79" s="159">
        <f ca="1">SUM(U3:U78)</f>
        <v>42</v>
      </c>
      <c r="V79" s="160"/>
      <c r="W79" s="156">
        <f ca="1">SUM(W3:W78)</f>
        <v>0</v>
      </c>
      <c r="X79" s="156">
        <f ca="1">SUM(X3:X78)</f>
        <v>7</v>
      </c>
      <c r="Y79" s="146"/>
      <c r="Z79" s="1213">
        <f ca="1">SUM(Z3:Z78)</f>
        <v>7</v>
      </c>
      <c r="AA79" s="1213">
        <f ca="1">SUM(AA3:AA78)</f>
        <v>0</v>
      </c>
      <c r="AB79" s="156">
        <f ca="1">SUM(AB3,AB5,AB7,AB9,AB11,AB13,AB15,AB17,AB19,AB21,AB23,AB25,AB27,AB29,AB31,AB33,AB35,AB37,AB39,AB41,AB43,AB45,AB47,AB49,AB51,AB53,AB55,AB57,AB59,AB61, AB63, AB65, AB67, AB69, AB71,AB73,AB75,AB77)</f>
        <v>8</v>
      </c>
      <c r="AC79" s="158"/>
      <c r="AD79" s="160" t="s">
        <v>20</v>
      </c>
      <c r="AE79" s="159">
        <f ca="1">IF(COUNT(AE3:AE78),AVERAGE(AE3:AE78),"")</f>
        <v>2.3696221880535515</v>
      </c>
    </row>
    <row r="80" spans="1:31" x14ac:dyDescent="0.3">
      <c r="A80" s="1212"/>
      <c r="B80" s="158"/>
      <c r="C80" s="158"/>
      <c r="D80" s="158"/>
      <c r="E80" s="159"/>
      <c r="F80" s="160"/>
      <c r="G80" s="156"/>
      <c r="H80" s="161"/>
      <c r="I80" s="146"/>
      <c r="J80" s="1213"/>
      <c r="K80" s="1213"/>
      <c r="L80" s="156">
        <f ca="1">SUM(L4,L6,L8,L10,L12,L14,L16,L18,L20,L22,L24,L26,L28,L30,L32,L34,L36,L38,L40,L42,L44,L46,L48,L50,L52,L54,L56,L58,L60,L62, L64, L66, L68, L70, L72,L74,L76,L78)</f>
        <v>1</v>
      </c>
      <c r="M80" s="158"/>
      <c r="N80" s="160"/>
      <c r="O80" s="159"/>
      <c r="Q80" s="1212"/>
      <c r="R80" s="158"/>
      <c r="S80" s="158"/>
      <c r="T80" s="158"/>
      <c r="U80" s="159"/>
      <c r="V80" s="160"/>
      <c r="W80" s="156"/>
      <c r="X80" s="161"/>
      <c r="Y80" s="146"/>
      <c r="Z80" s="1213"/>
      <c r="AA80" s="1213"/>
      <c r="AB80" s="156">
        <f ca="1">SUM(AB4,AB6,AB8,AB10,AB12,AB14,AB16,AB18,AB20,AB22,AB24,AB26,AB28,AB30,AB32,AB34,AB36,AB38,AB40,AB42,AB44,AB46,AB48,AB50,AB52,AB54,AB56,AB58,AB60,AB62, AB64, AB66, AB68, AB70, AB72,AB74,AB76,AB78)</f>
        <v>2</v>
      </c>
      <c r="AC80" s="158"/>
      <c r="AD80" s="160"/>
      <c r="AE80" s="159"/>
    </row>
    <row r="86" spans="1:31" x14ac:dyDescent="0.25">
      <c r="A86" s="143" t="s">
        <v>21</v>
      </c>
      <c r="B86" s="143" t="s">
        <v>6</v>
      </c>
      <c r="C86" s="144"/>
      <c r="D86" s="144"/>
      <c r="E86" s="145"/>
      <c r="F86" s="145"/>
      <c r="G86" s="155"/>
      <c r="H86" s="155"/>
      <c r="I86" s="146"/>
      <c r="J86" s="155"/>
      <c r="K86" s="155"/>
      <c r="L86" s="155"/>
      <c r="M86" s="144"/>
      <c r="N86" s="144"/>
      <c r="O86" s="145"/>
      <c r="Q86" s="143" t="s">
        <v>21</v>
      </c>
      <c r="R86" s="143" t="s">
        <v>8</v>
      </c>
      <c r="S86" s="144"/>
      <c r="T86" s="144"/>
      <c r="U86" s="145"/>
      <c r="V86" s="145"/>
      <c r="W86" s="155"/>
      <c r="X86" s="155"/>
      <c r="Y86" s="146"/>
      <c r="Z86" s="155"/>
      <c r="AA86" s="155"/>
      <c r="AB86" s="155"/>
      <c r="AC86" s="144"/>
      <c r="AD86" s="144"/>
      <c r="AE86" s="145"/>
    </row>
    <row r="87" spans="1:31" x14ac:dyDescent="0.25">
      <c r="A87" s="145" t="s">
        <v>4</v>
      </c>
      <c r="B87" s="145" t="s">
        <v>9</v>
      </c>
      <c r="C87" s="145" t="s">
        <v>105</v>
      </c>
      <c r="D87" s="145" t="s">
        <v>144</v>
      </c>
      <c r="E87" s="145" t="s">
        <v>10</v>
      </c>
      <c r="F87" s="145" t="s">
        <v>11</v>
      </c>
      <c r="G87" s="156" t="s">
        <v>12</v>
      </c>
      <c r="H87" s="156" t="s">
        <v>13</v>
      </c>
      <c r="I87" s="146" t="s">
        <v>14</v>
      </c>
      <c r="J87" s="156" t="s">
        <v>15</v>
      </c>
      <c r="K87" s="156" t="s">
        <v>16</v>
      </c>
      <c r="L87" s="156" t="s">
        <v>389</v>
      </c>
      <c r="M87" s="145" t="s">
        <v>388</v>
      </c>
      <c r="N87" s="145" t="s">
        <v>17</v>
      </c>
      <c r="O87" s="145" t="s">
        <v>18</v>
      </c>
      <c r="Q87" s="145" t="s">
        <v>4</v>
      </c>
      <c r="R87" s="145" t="s">
        <v>9</v>
      </c>
      <c r="S87" s="145" t="s">
        <v>105</v>
      </c>
      <c r="T87" s="145" t="s">
        <v>144</v>
      </c>
      <c r="U87" s="145" t="s">
        <v>10</v>
      </c>
      <c r="V87" s="145" t="s">
        <v>11</v>
      </c>
      <c r="W87" s="156" t="s">
        <v>12</v>
      </c>
      <c r="X87" s="156" t="s">
        <v>13</v>
      </c>
      <c r="Y87" s="146" t="s">
        <v>14</v>
      </c>
      <c r="Z87" s="156" t="s">
        <v>15</v>
      </c>
      <c r="AA87" s="156" t="s">
        <v>16</v>
      </c>
      <c r="AB87" s="156" t="s">
        <v>389</v>
      </c>
      <c r="AC87" s="145" t="s">
        <v>388</v>
      </c>
      <c r="AD87" s="145" t="s">
        <v>17</v>
      </c>
      <c r="AE87" s="145" t="s">
        <v>18</v>
      </c>
    </row>
    <row r="88" spans="1:31" x14ac:dyDescent="0.25">
      <c r="A88" s="6">
        <v>1</v>
      </c>
      <c r="B88" s="20">
        <f>IF(ISNA(MATCH($A88,Score!A$46:A$83,0)),"",MATCH($A88,Score!A$46:A$83,0)+ROW(Score!A$45))</f>
        <v>46</v>
      </c>
      <c r="C88" s="89" t="str">
        <f t="shared" ref="C88:D107" ca="1" si="28">IF($B88="","",INDIRECT(ADDRESS($B88,C$1,1,,"Score")))</f>
        <v>123</v>
      </c>
      <c r="D88" s="20">
        <f t="shared" ca="1" si="28"/>
        <v>4</v>
      </c>
      <c r="E88" s="6">
        <f ca="1">IF(B88="","",SUM(D88,D89))</f>
        <v>4</v>
      </c>
      <c r="F88" s="6">
        <f ca="1">IF(B88="","",E88-U88)</f>
        <v>1</v>
      </c>
      <c r="G88" s="157" t="str">
        <f ca="1">IF($B88="","",IF(ISBLANK(INDIRECT(ADDRESS($B88,G$1,1,,"Score"))),"",1))</f>
        <v/>
      </c>
      <c r="H88" s="157">
        <f ca="1">IF($B88="","",IF(ISBLANK(INDIRECT(ADDRESS($B88,H$1,1,,"Score"))),"",1))</f>
        <v>1</v>
      </c>
      <c r="I88" s="147">
        <f ca="1">IF(H88=1,F88,"")</f>
        <v>1</v>
      </c>
      <c r="J88" s="157">
        <f t="shared" ref="J88:L107" ca="1" si="29">IF($B88="","",IF(ISBLANK(INDIRECT(ADDRESS($B88,J$1,1,,"Score"))),"",1))</f>
        <v>1</v>
      </c>
      <c r="K88" s="157" t="str">
        <f t="shared" ca="1" si="29"/>
        <v/>
      </c>
      <c r="L88" s="157" t="str">
        <f t="shared" ca="1" si="29"/>
        <v/>
      </c>
      <c r="M88" s="20">
        <f t="shared" ref="M88:M107" ca="1" si="30">IF($B88="","",INDIRECT(ADDRESS($B88,M$1,1,,"Score")))</f>
        <v>1</v>
      </c>
      <c r="N88" s="6">
        <f ca="1">IF(ISNA(MATCH($A88,'Game Clock'!A$62:A$99,0)),"",INDIRECT(ADDRESS(MATCH($A88,'Game Clock'!A$62:A$99,0)+ROW('Game Clock'!A$61),N$1,1,,"Game Clock")))</f>
        <v>109</v>
      </c>
      <c r="O88" s="6">
        <f ca="1">IF(OR(N88="",N88=0),"",60*E88/N88)</f>
        <v>2.2018348623853212</v>
      </c>
      <c r="Q88" s="6">
        <v>1</v>
      </c>
      <c r="R88" s="20">
        <f>IF(ISNA(MATCH($Q88,Score!T$46:T$83,0)),"",MATCH($Q88,Score!T$46:T$83,0)+ROW(Score!T$45) )</f>
        <v>46</v>
      </c>
      <c r="S88" s="89" t="str">
        <f t="shared" ref="S88:T107" ca="1" si="31">IF($R88="","",INDIRECT(ADDRESS($R88,S$1,1,,"Score")))</f>
        <v>23</v>
      </c>
      <c r="T88" s="20">
        <f t="shared" ca="1" si="31"/>
        <v>0</v>
      </c>
      <c r="U88" s="6">
        <f ca="1">IF(R88="","",SUM(T88,T89))</f>
        <v>3</v>
      </c>
      <c r="V88" s="6">
        <f ca="1">IF(R88="","",U88-E88)</f>
        <v>-1</v>
      </c>
      <c r="W88" s="157" t="str">
        <f ca="1">IF($R88="","",IF(ISBLANK(INDIRECT(ADDRESS($R88,W$1,1,,"Score"))),"",1))</f>
        <v/>
      </c>
      <c r="X88" s="157" t="str">
        <f ca="1">IF($R88="","",IF(ISBLANK(INDIRECT(ADDRESS($R88,X$1,1,,"Score"))),"",1))</f>
        <v/>
      </c>
      <c r="Y88" s="147" t="str">
        <f ca="1">IF(X88=1,V88,"")</f>
        <v/>
      </c>
      <c r="Z88" s="157" t="str">
        <f t="shared" ref="Z88:AB107" ca="1" si="32">IF($R88="","",IF(ISBLANK(INDIRECT(ADDRESS($R88,Z$1,1,,"Score"))),"",1))</f>
        <v/>
      </c>
      <c r="AA88" s="157" t="str">
        <f t="shared" ca="1" si="32"/>
        <v/>
      </c>
      <c r="AB88" s="157">
        <f t="shared" ca="1" si="32"/>
        <v>1</v>
      </c>
      <c r="AC88" s="20">
        <f t="shared" ref="AC88:AC107" ca="1" si="33">IF($R88="","",INDIRECT(ADDRESS($R88,AC$1,1,,"Score")))</f>
        <v>0</v>
      </c>
      <c r="AD88" s="6">
        <f ca="1">N88</f>
        <v>109</v>
      </c>
      <c r="AE88" s="6">
        <f ca="1">IF(OR(AD88="",AD88=0),"",60*U88/AD88)</f>
        <v>1.6513761467889909</v>
      </c>
    </row>
    <row r="89" spans="1:31" x14ac:dyDescent="0.25">
      <c r="A89" s="6"/>
      <c r="B89" s="20" t="str">
        <f ca="1">IF($B88="","",IF(INDIRECT(ADDRESS($B88+1,C$1-1,1,,"Score"))="SP",$B88+1,""))</f>
        <v/>
      </c>
      <c r="C89" s="89" t="str">
        <f t="shared" ca="1" si="28"/>
        <v/>
      </c>
      <c r="D89" s="20" t="str">
        <f t="shared" ca="1" si="28"/>
        <v/>
      </c>
      <c r="E89" s="6"/>
      <c r="F89" s="6"/>
      <c r="G89" s="157"/>
      <c r="H89" s="157"/>
      <c r="I89" s="147"/>
      <c r="J89" s="157" t="str">
        <f t="shared" ca="1" si="29"/>
        <v/>
      </c>
      <c r="K89" s="157" t="str">
        <f t="shared" ca="1" si="29"/>
        <v/>
      </c>
      <c r="L89" s="157" t="str">
        <f t="shared" ca="1" si="29"/>
        <v/>
      </c>
      <c r="M89" s="20" t="str">
        <f t="shared" ca="1" si="30"/>
        <v/>
      </c>
      <c r="N89" s="6"/>
      <c r="O89" s="6"/>
      <c r="Q89" s="6"/>
      <c r="R89" s="20">
        <f ca="1">IF($R88="","",IF(INDIRECT(ADDRESS($R88+1,S$1-1,1,,"Score"))="SP",$R88+1,""))</f>
        <v>47</v>
      </c>
      <c r="S89" s="89" t="str">
        <f t="shared" ca="1" si="31"/>
        <v>219</v>
      </c>
      <c r="T89" s="20">
        <f t="shared" ca="1" si="31"/>
        <v>3</v>
      </c>
      <c r="U89" s="6"/>
      <c r="V89" s="6"/>
      <c r="W89" s="157"/>
      <c r="X89" s="157"/>
      <c r="Y89" s="147"/>
      <c r="Z89" s="157" t="str">
        <f t="shared" ca="1" si="32"/>
        <v/>
      </c>
      <c r="AA89" s="157" t="str">
        <f t="shared" ca="1" si="32"/>
        <v/>
      </c>
      <c r="AB89" s="157" t="str">
        <f t="shared" ca="1" si="32"/>
        <v/>
      </c>
      <c r="AC89" s="20">
        <f t="shared" ca="1" si="33"/>
        <v>1</v>
      </c>
      <c r="AD89" s="6"/>
      <c r="AE89" s="6"/>
    </row>
    <row r="90" spans="1:31" x14ac:dyDescent="0.25">
      <c r="A90" s="148">
        <f>A88+1</f>
        <v>2</v>
      </c>
      <c r="B90" s="149">
        <f>IF(ISNA(MATCH($A90,Score!A$46:A$83,0)),"",MATCH($A90,Score!A$46:A$83,0)+ROW(Score!A$45))</f>
        <v>48</v>
      </c>
      <c r="C90" s="150" t="str">
        <f t="shared" ca="1" si="28"/>
        <v>352</v>
      </c>
      <c r="D90" s="149">
        <f t="shared" ca="1" si="28"/>
        <v>0</v>
      </c>
      <c r="E90" s="148">
        <f ca="1">IF(B90="","",SUM(D90,D91))</f>
        <v>0</v>
      </c>
      <c r="F90" s="148">
        <f ca="1">IF(B90="","",E90-U90)</f>
        <v>-4</v>
      </c>
      <c r="G90" s="151" t="str">
        <f ca="1">IF($B90="","",IF(ISBLANK(INDIRECT(ADDRESS($B90,G$1,1,,"Score"))),"",1))</f>
        <v/>
      </c>
      <c r="H90" s="151" t="str">
        <f ca="1">IF($B90="","",IF(ISBLANK(INDIRECT(ADDRESS($B90,H$1,1,,"Score"))),"",1))</f>
        <v/>
      </c>
      <c r="I90" s="153" t="str">
        <f ca="1">IF(H90=1,F90,"")</f>
        <v/>
      </c>
      <c r="J90" s="151" t="str">
        <f t="shared" ca="1" si="29"/>
        <v/>
      </c>
      <c r="K90" s="151" t="str">
        <f t="shared" ca="1" si="29"/>
        <v/>
      </c>
      <c r="L90" s="151">
        <f t="shared" ca="1" si="29"/>
        <v>1</v>
      </c>
      <c r="M90" s="149">
        <f t="shared" ca="1" si="30"/>
        <v>0</v>
      </c>
      <c r="N90" s="6">
        <f ca="1">IF(ISNA(MATCH($A90,'Game Clock'!A$62:A$99,0)),"",INDIRECT(ADDRESS(MATCH($A90,'Game Clock'!A$62:A$99,0)+ROW('Game Clock'!A$61),N$1,1,,"Game Clock")))</f>
        <v>39</v>
      </c>
      <c r="O90" s="148">
        <f ca="1">IF(OR(N90="",N90=0),"",60*E90/N90)</f>
        <v>0</v>
      </c>
      <c r="Q90" s="148">
        <f>Q88+1</f>
        <v>2</v>
      </c>
      <c r="R90" s="149">
        <f>IF(ISNA(MATCH($Q90,Score!T$46:T$83,0)),"",MATCH($Q90,Score!T$46:T$83,0)+ROW(Score!T$45) )</f>
        <v>48</v>
      </c>
      <c r="S90" s="150" t="str">
        <f t="shared" ca="1" si="31"/>
        <v>12</v>
      </c>
      <c r="T90" s="149">
        <f t="shared" ca="1" si="31"/>
        <v>4</v>
      </c>
      <c r="U90" s="148">
        <f ca="1">IF(R90="","",SUM(T90,T91))</f>
        <v>4</v>
      </c>
      <c r="V90" s="148">
        <f ca="1">IF(R90="","",U90-E90)</f>
        <v>4</v>
      </c>
      <c r="W90" s="151" t="str">
        <f ca="1">IF($R90="","",IF(ISBLANK(INDIRECT(ADDRESS($R90,W$1,1,,"Score"))),"",1))</f>
        <v/>
      </c>
      <c r="X90" s="151">
        <f ca="1">IF($R90="","",IF(ISBLANK(INDIRECT(ADDRESS($R90,X$1,1,,"Score"))),"",1))</f>
        <v>1</v>
      </c>
      <c r="Y90" s="153">
        <f ca="1">IF(X90=1,V90,"")</f>
        <v>4</v>
      </c>
      <c r="Z90" s="151">
        <f t="shared" ca="1" si="32"/>
        <v>1</v>
      </c>
      <c r="AA90" s="151" t="str">
        <f t="shared" ca="1" si="32"/>
        <v/>
      </c>
      <c r="AB90" s="151" t="str">
        <f t="shared" ca="1" si="32"/>
        <v/>
      </c>
      <c r="AC90" s="149">
        <f t="shared" ca="1" si="33"/>
        <v>1</v>
      </c>
      <c r="AD90" s="148">
        <f ca="1">N90</f>
        <v>39</v>
      </c>
      <c r="AE90" s="148">
        <f ca="1">IF(OR(AD90="",AD90=0),"",60*U90/AD90)</f>
        <v>6.1538461538461542</v>
      </c>
    </row>
    <row r="91" spans="1:31" x14ac:dyDescent="0.3">
      <c r="A91" s="148"/>
      <c r="B91" s="149">
        <f ca="1">IF($B90="","",IF(INDIRECT(ADDRESS($B90+1,C$1-1,1,,"Score"))="SP",$B90+1,""))</f>
        <v>49</v>
      </c>
      <c r="C91" s="150" t="str">
        <f t="shared" ca="1" si="28"/>
        <v>1760</v>
      </c>
      <c r="D91" s="149">
        <f t="shared" ca="1" si="28"/>
        <v>0</v>
      </c>
      <c r="E91" s="148"/>
      <c r="F91" s="148"/>
      <c r="G91" s="151"/>
      <c r="H91" s="152"/>
      <c r="I91" s="153"/>
      <c r="J91" s="151" t="str">
        <f t="shared" ca="1" si="29"/>
        <v/>
      </c>
      <c r="K91" s="151" t="str">
        <f t="shared" ca="1" si="29"/>
        <v/>
      </c>
      <c r="L91" s="151" t="str">
        <f t="shared" ca="1" si="29"/>
        <v/>
      </c>
      <c r="M91" s="149">
        <f t="shared" ca="1" si="30"/>
        <v>1</v>
      </c>
      <c r="N91" s="148"/>
      <c r="O91" s="148"/>
      <c r="Q91" s="148"/>
      <c r="R91" s="149" t="str">
        <f ca="1">IF($R90="","",IF(INDIRECT(ADDRESS($R90+1,S$1-1,1,,"Score"))="SP",$R90+1,""))</f>
        <v/>
      </c>
      <c r="S91" s="150" t="str">
        <f t="shared" ca="1" si="31"/>
        <v/>
      </c>
      <c r="T91" s="149" t="str">
        <f t="shared" ca="1" si="31"/>
        <v/>
      </c>
      <c r="U91" s="148"/>
      <c r="V91" s="148"/>
      <c r="W91" s="151"/>
      <c r="X91" s="152"/>
      <c r="Y91" s="153"/>
      <c r="Z91" s="151" t="str">
        <f t="shared" ca="1" si="32"/>
        <v/>
      </c>
      <c r="AA91" s="151" t="str">
        <f t="shared" ca="1" si="32"/>
        <v/>
      </c>
      <c r="AB91" s="151" t="str">
        <f t="shared" ca="1" si="32"/>
        <v/>
      </c>
      <c r="AC91" s="149" t="str">
        <f t="shared" ca="1" si="33"/>
        <v/>
      </c>
      <c r="AD91" s="148"/>
      <c r="AE91" s="148"/>
    </row>
    <row r="92" spans="1:31" x14ac:dyDescent="0.25">
      <c r="A92" s="6">
        <f>A90+1</f>
        <v>3</v>
      </c>
      <c r="B92" s="20">
        <f>IF(ISNA(MATCH($A92,Score!A$46:A$83,0)),"",MATCH($A92,Score!A$46:A$83,0)+ROW(Score!A$45))</f>
        <v>50</v>
      </c>
      <c r="C92" s="89" t="str">
        <f t="shared" ca="1" si="28"/>
        <v>202</v>
      </c>
      <c r="D92" s="20">
        <f t="shared" ca="1" si="28"/>
        <v>0</v>
      </c>
      <c r="E92" s="6">
        <f ca="1">IF(B92="","",SUM(D92,D93))</f>
        <v>0</v>
      </c>
      <c r="F92" s="6">
        <f ca="1">IF(B92="","",E92-U92)</f>
        <v>-4</v>
      </c>
      <c r="G92" s="157" t="str">
        <f ca="1">IF($B92="","",IF(ISBLANK(INDIRECT(ADDRESS($B92,G$1,1,,"Score"))),"",1))</f>
        <v/>
      </c>
      <c r="H92" s="157" t="str">
        <f ca="1">IF($B92="","",IF(ISBLANK(INDIRECT(ADDRESS($B92,H$1,1,,"Score"))),"",1))</f>
        <v/>
      </c>
      <c r="I92" s="147" t="str">
        <f ca="1">IF(H92=1,F92,"")</f>
        <v/>
      </c>
      <c r="J92" s="157" t="str">
        <f t="shared" ca="1" si="29"/>
        <v/>
      </c>
      <c r="K92" s="157" t="str">
        <f t="shared" ca="1" si="29"/>
        <v/>
      </c>
      <c r="L92" s="157" t="str">
        <f t="shared" ca="1" si="29"/>
        <v/>
      </c>
      <c r="M92" s="20">
        <f t="shared" ca="1" si="30"/>
        <v>1</v>
      </c>
      <c r="N92" s="6">
        <f ca="1">IF(ISNA(MATCH($A92,'Game Clock'!A$62:A$99,0)),"",INDIRECT(ADDRESS(MATCH($A92,'Game Clock'!A$62:A$99,0)+ROW('Game Clock'!A$61),N$1,1,,"Game Clock")))</f>
        <v>71</v>
      </c>
      <c r="O92" s="6">
        <f ca="1">IF(OR(N92="",N92=0),"",60*E92/N92)</f>
        <v>0</v>
      </c>
      <c r="Q92" s="6">
        <f>Q90+1</f>
        <v>3</v>
      </c>
      <c r="R92" s="20">
        <f>IF(ISNA(MATCH($Q92,Score!T$46:T$83,0)),"",MATCH($Q92,Score!T$46:T$83,0)+ROW(Score!T$45) )</f>
        <v>50</v>
      </c>
      <c r="S92" s="89" t="str">
        <f t="shared" ca="1" si="31"/>
        <v>49</v>
      </c>
      <c r="T92" s="20">
        <f t="shared" ca="1" si="31"/>
        <v>4</v>
      </c>
      <c r="U92" s="6">
        <f ca="1">IF(R92="","",SUM(T92,T93))</f>
        <v>4</v>
      </c>
      <c r="V92" s="6">
        <f ca="1">IF(R92="","",U92-E92)</f>
        <v>4</v>
      </c>
      <c r="W92" s="157" t="str">
        <f ca="1">IF($R92="","",IF(ISBLANK(INDIRECT(ADDRESS($R92,W$1,1,,"Score"))),"",1))</f>
        <v/>
      </c>
      <c r="X92" s="157">
        <f ca="1">IF($R92="","",IF(ISBLANK(INDIRECT(ADDRESS($R92,X$1,1,,"Score"))),"",1))</f>
        <v>1</v>
      </c>
      <c r="Y92" s="147">
        <f ca="1">IF(X92=1,V92,"")</f>
        <v>4</v>
      </c>
      <c r="Z92" s="157">
        <f t="shared" ca="1" si="32"/>
        <v>1</v>
      </c>
      <c r="AA92" s="157" t="str">
        <f t="shared" ca="1" si="32"/>
        <v/>
      </c>
      <c r="AB92" s="157" t="str">
        <f t="shared" ca="1" si="32"/>
        <v/>
      </c>
      <c r="AC92" s="20">
        <f t="shared" ca="1" si="33"/>
        <v>2</v>
      </c>
      <c r="AD92" s="6">
        <f ca="1">N92</f>
        <v>71</v>
      </c>
      <c r="AE92" s="6">
        <f ca="1">IF(OR(AD92="",AD92=0),"",60*U92/AD92)</f>
        <v>3.380281690140845</v>
      </c>
    </row>
    <row r="93" spans="1:31" x14ac:dyDescent="0.25">
      <c r="A93" s="6"/>
      <c r="B93" s="20" t="str">
        <f ca="1">IF($B92="","",IF(INDIRECT(ADDRESS($B92+1,C$1-1,1,,"Score"))="SP",$B92+1,""))</f>
        <v/>
      </c>
      <c r="C93" s="89" t="str">
        <f t="shared" ca="1" si="28"/>
        <v/>
      </c>
      <c r="D93" s="20" t="str">
        <f t="shared" ca="1" si="28"/>
        <v/>
      </c>
      <c r="E93" s="6"/>
      <c r="F93" s="6"/>
      <c r="G93" s="157"/>
      <c r="H93" s="157"/>
      <c r="I93" s="147"/>
      <c r="J93" s="157" t="str">
        <f t="shared" ca="1" si="29"/>
        <v/>
      </c>
      <c r="K93" s="157" t="str">
        <f t="shared" ca="1" si="29"/>
        <v/>
      </c>
      <c r="L93" s="157" t="str">
        <f t="shared" ca="1" si="29"/>
        <v/>
      </c>
      <c r="M93" s="20" t="str">
        <f t="shared" ca="1" si="30"/>
        <v/>
      </c>
      <c r="N93" s="6"/>
      <c r="O93" s="6"/>
      <c r="Q93" s="6"/>
      <c r="R93" s="20" t="str">
        <f ca="1">IF($R92="","",IF(INDIRECT(ADDRESS($R92+1,S$1-1,1,,"Score"))="SP",$R92+1,""))</f>
        <v/>
      </c>
      <c r="S93" s="89" t="str">
        <f t="shared" ca="1" si="31"/>
        <v/>
      </c>
      <c r="T93" s="20" t="str">
        <f t="shared" ca="1" si="31"/>
        <v/>
      </c>
      <c r="U93" s="6"/>
      <c r="V93" s="6"/>
      <c r="W93" s="157"/>
      <c r="X93" s="157"/>
      <c r="Y93" s="147"/>
      <c r="Z93" s="157" t="str">
        <f t="shared" ca="1" si="32"/>
        <v/>
      </c>
      <c r="AA93" s="157" t="str">
        <f t="shared" ca="1" si="32"/>
        <v/>
      </c>
      <c r="AB93" s="157" t="str">
        <f t="shared" ca="1" si="32"/>
        <v/>
      </c>
      <c r="AC93" s="20" t="str">
        <f t="shared" ca="1" si="33"/>
        <v/>
      </c>
      <c r="AD93" s="6"/>
      <c r="AE93" s="6"/>
    </row>
    <row r="94" spans="1:31" x14ac:dyDescent="0.25">
      <c r="A94" s="148">
        <f>A92+1</f>
        <v>4</v>
      </c>
      <c r="B94" s="149">
        <f>IF(ISNA(MATCH($A94,Score!A$46:A$83,0)),"",MATCH($A94,Score!A$46:A$83,0)+ROW(Score!A$45))</f>
        <v>51</v>
      </c>
      <c r="C94" s="150" t="str">
        <f t="shared" ca="1" si="28"/>
        <v>123</v>
      </c>
      <c r="D94" s="149">
        <f t="shared" ca="1" si="28"/>
        <v>0</v>
      </c>
      <c r="E94" s="148">
        <f ca="1">IF(B94="","",SUM(D94,D95))</f>
        <v>0</v>
      </c>
      <c r="F94" s="148">
        <f ca="1">IF(B94="","",E94-U94)</f>
        <v>-8</v>
      </c>
      <c r="G94" s="151" t="str">
        <f ca="1">IF($B94="","",IF(ISBLANK(INDIRECT(ADDRESS($B94,G$1,1,,"Score"))),"",1))</f>
        <v/>
      </c>
      <c r="H94" s="151" t="str">
        <f ca="1">IF($B94="","",IF(ISBLANK(INDIRECT(ADDRESS($B94,H$1,1,,"Score"))),"",1))</f>
        <v/>
      </c>
      <c r="I94" s="153" t="str">
        <f ca="1">IF(H94=1,F94,"")</f>
        <v/>
      </c>
      <c r="J94" s="151" t="str">
        <f t="shared" ca="1" si="29"/>
        <v/>
      </c>
      <c r="K94" s="151" t="str">
        <f t="shared" ca="1" si="29"/>
        <v/>
      </c>
      <c r="L94" s="151">
        <f t="shared" ca="1" si="29"/>
        <v>1</v>
      </c>
      <c r="M94" s="149">
        <f t="shared" ca="1" si="30"/>
        <v>0</v>
      </c>
      <c r="N94" s="6">
        <f ca="1">IF(ISNA(MATCH($A94,'Game Clock'!A$62:A$99,0)),"",INDIRECT(ADDRESS(MATCH($A94,'Game Clock'!A$62:A$99,0)+ROW('Game Clock'!A$61),N$1,1,,"Game Clock")))</f>
        <v>57</v>
      </c>
      <c r="O94" s="148">
        <f ca="1">IF(OR(N94="",N94=0),"",60*E94/N94)</f>
        <v>0</v>
      </c>
      <c r="Q94" s="148">
        <f>Q92+1</f>
        <v>4</v>
      </c>
      <c r="R94" s="149">
        <f>IF(ISNA(MATCH($Q94,Score!T$46:T$83,0)),"",MATCH($Q94,Score!T$46:T$83,0)+ROW(Score!T$45) )</f>
        <v>51</v>
      </c>
      <c r="S94" s="150" t="str">
        <f t="shared" ca="1" si="31"/>
        <v>223</v>
      </c>
      <c r="T94" s="149">
        <f t="shared" ca="1" si="31"/>
        <v>8</v>
      </c>
      <c r="U94" s="148">
        <f ca="1">IF(R94="","",SUM(T94,T95))</f>
        <v>8</v>
      </c>
      <c r="V94" s="148">
        <f ca="1">IF(R94="","",U94-E94)</f>
        <v>8</v>
      </c>
      <c r="W94" s="151" t="str">
        <f ca="1">IF($R94="","",IF(ISBLANK(INDIRECT(ADDRESS($R94,W$1,1,,"Score"))),"",1))</f>
        <v/>
      </c>
      <c r="X94" s="151">
        <f ca="1">IF($R94="","",IF(ISBLANK(INDIRECT(ADDRESS($R94,X$1,1,,"Score"))),"",1))</f>
        <v>1</v>
      </c>
      <c r="Y94" s="153">
        <f ca="1">IF(X94=1,V94,"")</f>
        <v>8</v>
      </c>
      <c r="Z94" s="151">
        <f t="shared" ca="1" si="32"/>
        <v>1</v>
      </c>
      <c r="AA94" s="151" t="str">
        <f t="shared" ca="1" si="32"/>
        <v/>
      </c>
      <c r="AB94" s="151" t="str">
        <f t="shared" ca="1" si="32"/>
        <v/>
      </c>
      <c r="AC94" s="149">
        <f t="shared" ca="1" si="33"/>
        <v>2</v>
      </c>
      <c r="AD94" s="148">
        <f ca="1">N94</f>
        <v>57</v>
      </c>
      <c r="AE94" s="148">
        <f ca="1">IF(OR(AD94="",AD94=0),"",60*U94/AD94)</f>
        <v>8.4210526315789469</v>
      </c>
    </row>
    <row r="95" spans="1:31" x14ac:dyDescent="0.3">
      <c r="A95" s="148"/>
      <c r="B95" s="149">
        <f ca="1">IF($B94="","",IF(INDIRECT(ADDRESS($B94+1,C$1-1,1,,"Score"))="SP",$B94+1,""))</f>
        <v>52</v>
      </c>
      <c r="C95" s="150" t="str">
        <f t="shared" ca="1" si="28"/>
        <v>84</v>
      </c>
      <c r="D95" s="149">
        <f t="shared" ca="1" si="28"/>
        <v>0</v>
      </c>
      <c r="E95" s="148"/>
      <c r="F95" s="148"/>
      <c r="G95" s="151"/>
      <c r="H95" s="152"/>
      <c r="I95" s="153"/>
      <c r="J95" s="151" t="str">
        <f t="shared" ca="1" si="29"/>
        <v/>
      </c>
      <c r="K95" s="151" t="str">
        <f t="shared" ca="1" si="29"/>
        <v/>
      </c>
      <c r="L95" s="151">
        <f t="shared" ca="1" si="29"/>
        <v>1</v>
      </c>
      <c r="M95" s="149">
        <f t="shared" ca="1" si="30"/>
        <v>0</v>
      </c>
      <c r="N95" s="148"/>
      <c r="O95" s="148"/>
      <c r="Q95" s="148"/>
      <c r="R95" s="149" t="str">
        <f ca="1">IF($R94="","",IF(INDIRECT(ADDRESS($R94+1,S$1-1,1,,"Score"))="SP",$R94+1,""))</f>
        <v/>
      </c>
      <c r="S95" s="150" t="str">
        <f t="shared" ca="1" si="31"/>
        <v/>
      </c>
      <c r="T95" s="149" t="str">
        <f t="shared" ca="1" si="31"/>
        <v/>
      </c>
      <c r="U95" s="148"/>
      <c r="V95" s="148"/>
      <c r="W95" s="151"/>
      <c r="X95" s="152"/>
      <c r="Y95" s="153"/>
      <c r="Z95" s="151" t="str">
        <f t="shared" ca="1" si="32"/>
        <v/>
      </c>
      <c r="AA95" s="151" t="str">
        <f t="shared" ca="1" si="32"/>
        <v/>
      </c>
      <c r="AB95" s="151" t="str">
        <f t="shared" ca="1" si="32"/>
        <v/>
      </c>
      <c r="AC95" s="149" t="str">
        <f t="shared" ca="1" si="33"/>
        <v/>
      </c>
      <c r="AD95" s="148"/>
      <c r="AE95" s="148"/>
    </row>
    <row r="96" spans="1:31" x14ac:dyDescent="0.25">
      <c r="A96" s="6">
        <f>A94+1</f>
        <v>5</v>
      </c>
      <c r="B96" s="20">
        <f>IF(ISNA(MATCH($A96,Score!A$46:A$83,0)),"",MATCH($A96,Score!A$46:A$83,0)+ROW(Score!A$45))</f>
        <v>53</v>
      </c>
      <c r="C96" s="89" t="str">
        <f t="shared" ca="1" si="28"/>
        <v>84</v>
      </c>
      <c r="D96" s="20">
        <f t="shared" ca="1" si="28"/>
        <v>12</v>
      </c>
      <c r="E96" s="6">
        <f ca="1">IF(B96="","",SUM(D96,D97))</f>
        <v>12</v>
      </c>
      <c r="F96" s="6">
        <f ca="1">IF(B96="","",E96-U96)</f>
        <v>4</v>
      </c>
      <c r="G96" s="157" t="str">
        <f ca="1">IF($B96="","",IF(ISBLANK(INDIRECT(ADDRESS($B96,G$1,1,,"Score"))),"",1))</f>
        <v/>
      </c>
      <c r="H96" s="157" t="str">
        <f ca="1">IF($B96="","",IF(ISBLANK(INDIRECT(ADDRESS($B96,H$1,1,,"Score"))),"",1))</f>
        <v/>
      </c>
      <c r="I96" s="147" t="str">
        <f ca="1">IF(H96=1,F96,"")</f>
        <v/>
      </c>
      <c r="J96" s="157" t="str">
        <f t="shared" ca="1" si="29"/>
        <v/>
      </c>
      <c r="K96" s="157" t="str">
        <f t="shared" ca="1" si="29"/>
        <v/>
      </c>
      <c r="L96" s="157" t="str">
        <f t="shared" ca="1" si="29"/>
        <v/>
      </c>
      <c r="M96" s="20">
        <f t="shared" ca="1" si="30"/>
        <v>3</v>
      </c>
      <c r="N96" s="6">
        <f ca="1">IF(ISNA(MATCH($A96,'Game Clock'!A$62:A$99,0)),"",INDIRECT(ADDRESS(MATCH($A96,'Game Clock'!A$62:A$99,0)+ROW('Game Clock'!A$61),N$1,1,,"Game Clock")))</f>
        <v>120</v>
      </c>
      <c r="O96" s="6">
        <f ca="1">IF(OR(N96="",N96=0),"",60*E96/N96)</f>
        <v>6</v>
      </c>
      <c r="Q96" s="6">
        <f>Q94+1</f>
        <v>5</v>
      </c>
      <c r="R96" s="20">
        <f>IF(ISNA(MATCH($Q96,Score!T$46:T$83,0)),"",MATCH($Q96,Score!T$46:T$83,0)+ROW(Score!T$45) )</f>
        <v>53</v>
      </c>
      <c r="S96" s="89" t="str">
        <f t="shared" ca="1" si="31"/>
        <v>12</v>
      </c>
      <c r="T96" s="20">
        <f t="shared" ca="1" si="31"/>
        <v>8</v>
      </c>
      <c r="U96" s="6">
        <f ca="1">IF(R96="","",SUM(T96,T97))</f>
        <v>8</v>
      </c>
      <c r="V96" s="6">
        <f ca="1">IF(R96="","",U96-E96)</f>
        <v>-4</v>
      </c>
      <c r="W96" s="157">
        <f ca="1">IF($R96="","",IF(ISBLANK(INDIRECT(ADDRESS($R96,W$1,1,,"Score"))),"",1))</f>
        <v>1</v>
      </c>
      <c r="X96" s="157">
        <f ca="1">IF($R96="","",IF(ISBLANK(INDIRECT(ADDRESS($R96,X$1,1,,"Score"))),"",1))</f>
        <v>1</v>
      </c>
      <c r="Y96" s="147">
        <f ca="1">IF(X96=1,V96,"")</f>
        <v>-4</v>
      </c>
      <c r="Z96" s="157" t="str">
        <f t="shared" ca="1" si="32"/>
        <v/>
      </c>
      <c r="AA96" s="157" t="str">
        <f t="shared" ca="1" si="32"/>
        <v/>
      </c>
      <c r="AB96" s="157" t="str">
        <f t="shared" ca="1" si="32"/>
        <v/>
      </c>
      <c r="AC96" s="20">
        <f t="shared" ca="1" si="33"/>
        <v>2</v>
      </c>
      <c r="AD96" s="6">
        <f ca="1">N96</f>
        <v>120</v>
      </c>
      <c r="AE96" s="6">
        <f ca="1">IF(OR(AD96="",AD96=0),"",60*U96/AD96)</f>
        <v>4</v>
      </c>
    </row>
    <row r="97" spans="1:31" x14ac:dyDescent="0.25">
      <c r="A97" s="6"/>
      <c r="B97" s="20" t="str">
        <f ca="1">IF($B96="","",IF(INDIRECT(ADDRESS($B96+1,C$1-1,1,,"Score"))="SP",$B96+1,""))</f>
        <v/>
      </c>
      <c r="C97" s="89" t="str">
        <f t="shared" ca="1" si="28"/>
        <v/>
      </c>
      <c r="D97" s="20" t="str">
        <f t="shared" ca="1" si="28"/>
        <v/>
      </c>
      <c r="E97" s="6"/>
      <c r="F97" s="6"/>
      <c r="G97" s="157"/>
      <c r="H97" s="157"/>
      <c r="I97" s="147"/>
      <c r="J97" s="157" t="str">
        <f t="shared" ca="1" si="29"/>
        <v/>
      </c>
      <c r="K97" s="157" t="str">
        <f t="shared" ca="1" si="29"/>
        <v/>
      </c>
      <c r="L97" s="157" t="str">
        <f t="shared" ca="1" si="29"/>
        <v/>
      </c>
      <c r="M97" s="20" t="str">
        <f t="shared" ca="1" si="30"/>
        <v/>
      </c>
      <c r="N97" s="6"/>
      <c r="O97" s="6"/>
      <c r="Q97" s="6"/>
      <c r="R97" s="20" t="str">
        <f ca="1">IF($R96="","",IF(INDIRECT(ADDRESS($R96+1,S$1-1,1,,"Score"))="SP",$R96+1,""))</f>
        <v/>
      </c>
      <c r="S97" s="89" t="str">
        <f t="shared" ca="1" si="31"/>
        <v/>
      </c>
      <c r="T97" s="20" t="str">
        <f t="shared" ca="1" si="31"/>
        <v/>
      </c>
      <c r="U97" s="6"/>
      <c r="V97" s="6"/>
      <c r="W97" s="157"/>
      <c r="X97" s="157"/>
      <c r="Y97" s="147"/>
      <c r="Z97" s="157" t="str">
        <f t="shared" ca="1" si="32"/>
        <v/>
      </c>
      <c r="AA97" s="157" t="str">
        <f t="shared" ca="1" si="32"/>
        <v/>
      </c>
      <c r="AB97" s="157" t="str">
        <f t="shared" ca="1" si="32"/>
        <v/>
      </c>
      <c r="AC97" s="20" t="str">
        <f t="shared" ca="1" si="33"/>
        <v/>
      </c>
      <c r="AD97" s="6"/>
      <c r="AE97" s="6"/>
    </row>
    <row r="98" spans="1:31" x14ac:dyDescent="0.25">
      <c r="A98" s="148">
        <f>A96+1</f>
        <v>6</v>
      </c>
      <c r="B98" s="149">
        <f>IF(ISNA(MATCH($A98,Score!A$46:A$83,0)),"",MATCH($A98,Score!A$46:A$83,0)+ROW(Score!A$45))</f>
        <v>54</v>
      </c>
      <c r="C98" s="150" t="str">
        <f t="shared" ca="1" si="28"/>
        <v>352</v>
      </c>
      <c r="D98" s="149">
        <f t="shared" ca="1" si="28"/>
        <v>0</v>
      </c>
      <c r="E98" s="148">
        <f ca="1">IF(B98="","",SUM(D98,D99))</f>
        <v>0</v>
      </c>
      <c r="F98" s="148">
        <f ca="1">IF(B98="","",E98-U98)</f>
        <v>-7</v>
      </c>
      <c r="G98" s="151">
        <f ca="1">IF($B98="","",IF(ISBLANK(INDIRECT(ADDRESS($B98,G$1,1,,"Score"))),"",1))</f>
        <v>1</v>
      </c>
      <c r="H98" s="151" t="str">
        <f ca="1">IF($B98="","",IF(ISBLANK(INDIRECT(ADDRESS($B98,H$1,1,,"Score"))),"",1))</f>
        <v/>
      </c>
      <c r="I98" s="153" t="str">
        <f ca="1">IF(H98=1,F98,"")</f>
        <v/>
      </c>
      <c r="J98" s="151" t="str">
        <f t="shared" ca="1" si="29"/>
        <v/>
      </c>
      <c r="K98" s="151" t="str">
        <f t="shared" ca="1" si="29"/>
        <v/>
      </c>
      <c r="L98" s="151" t="str">
        <f t="shared" ca="1" si="29"/>
        <v/>
      </c>
      <c r="M98" s="149">
        <f t="shared" ca="1" si="30"/>
        <v>1</v>
      </c>
      <c r="N98" s="6">
        <f ca="1">IF(ISNA(MATCH($A98,'Game Clock'!A$62:A$99,0)),"",INDIRECT(ADDRESS(MATCH($A98,'Game Clock'!A$62:A$99,0)+ROW('Game Clock'!A$61),N$1,1,,"Game Clock")))</f>
        <v>112</v>
      </c>
      <c r="O98" s="148">
        <f ca="1">IF(OR(N98="",N98=0),"",60*E98/N98)</f>
        <v>0</v>
      </c>
      <c r="Q98" s="148">
        <f>Q96+1</f>
        <v>6</v>
      </c>
      <c r="R98" s="149">
        <f>IF(ISNA(MATCH($Q98,Score!T$46:T$83,0)),"",MATCH($Q98,Score!T$46:T$83,0)+ROW(Score!T$45) )</f>
        <v>54</v>
      </c>
      <c r="S98" s="150" t="str">
        <f t="shared" ca="1" si="31"/>
        <v>23</v>
      </c>
      <c r="T98" s="149">
        <f t="shared" ca="1" si="31"/>
        <v>7</v>
      </c>
      <c r="U98" s="148">
        <f ca="1">IF(R98="","",SUM(T98,T99))</f>
        <v>7</v>
      </c>
      <c r="V98" s="148">
        <f ca="1">IF(R98="","",U98-E98)</f>
        <v>7</v>
      </c>
      <c r="W98" s="151" t="str">
        <f ca="1">IF($R98="","",IF(ISBLANK(INDIRECT(ADDRESS($R98,W$1,1,,"Score"))),"",1))</f>
        <v/>
      </c>
      <c r="X98" s="151">
        <f ca="1">IF($R98="","",IF(ISBLANK(INDIRECT(ADDRESS($R98,X$1,1,,"Score"))),"",1))</f>
        <v>1</v>
      </c>
      <c r="Y98" s="153">
        <f ca="1">IF(X98=1,V98,"")</f>
        <v>7</v>
      </c>
      <c r="Z98" s="151">
        <f t="shared" ca="1" si="32"/>
        <v>1</v>
      </c>
      <c r="AA98" s="151" t="str">
        <f t="shared" ca="1" si="32"/>
        <v/>
      </c>
      <c r="AB98" s="151" t="str">
        <f t="shared" ca="1" si="32"/>
        <v/>
      </c>
      <c r="AC98" s="149">
        <f t="shared" ca="1" si="33"/>
        <v>2</v>
      </c>
      <c r="AD98" s="148">
        <f ca="1">N98</f>
        <v>112</v>
      </c>
      <c r="AE98" s="148">
        <f ca="1">IF(OR(AD98="",AD98=0),"",60*U98/AD98)</f>
        <v>3.75</v>
      </c>
    </row>
    <row r="99" spans="1:31" x14ac:dyDescent="0.3">
      <c r="A99" s="148"/>
      <c r="B99" s="149" t="str">
        <f ca="1">IF($B98="","",IF(INDIRECT(ADDRESS($B98+1,C$1-1,1,,"Score"))="SP",$B98+1,""))</f>
        <v/>
      </c>
      <c r="C99" s="150" t="str">
        <f t="shared" ca="1" si="28"/>
        <v/>
      </c>
      <c r="D99" s="149" t="str">
        <f t="shared" ca="1" si="28"/>
        <v/>
      </c>
      <c r="E99" s="148"/>
      <c r="F99" s="148"/>
      <c r="G99" s="151"/>
      <c r="H99" s="152"/>
      <c r="I99" s="153"/>
      <c r="J99" s="151" t="str">
        <f t="shared" ca="1" si="29"/>
        <v/>
      </c>
      <c r="K99" s="151" t="str">
        <f t="shared" ca="1" si="29"/>
        <v/>
      </c>
      <c r="L99" s="151" t="str">
        <f t="shared" ca="1" si="29"/>
        <v/>
      </c>
      <c r="M99" s="149" t="str">
        <f t="shared" ca="1" si="30"/>
        <v/>
      </c>
      <c r="N99" s="148"/>
      <c r="O99" s="148"/>
      <c r="Q99" s="148"/>
      <c r="R99" s="149" t="str">
        <f ca="1">IF($R98="","",IF(INDIRECT(ADDRESS($R98+1,S$1-1,1,,"Score"))="SP",$R98+1,""))</f>
        <v/>
      </c>
      <c r="S99" s="150" t="str">
        <f t="shared" ca="1" si="31"/>
        <v/>
      </c>
      <c r="T99" s="149" t="str">
        <f t="shared" ca="1" si="31"/>
        <v/>
      </c>
      <c r="U99" s="148"/>
      <c r="V99" s="148"/>
      <c r="W99" s="151"/>
      <c r="X99" s="152"/>
      <c r="Y99" s="153"/>
      <c r="Z99" s="151" t="str">
        <f t="shared" ca="1" si="32"/>
        <v/>
      </c>
      <c r="AA99" s="151" t="str">
        <f t="shared" ca="1" si="32"/>
        <v/>
      </c>
      <c r="AB99" s="151" t="str">
        <f t="shared" ca="1" si="32"/>
        <v/>
      </c>
      <c r="AC99" s="149" t="str">
        <f t="shared" ca="1" si="33"/>
        <v/>
      </c>
      <c r="AD99" s="148"/>
      <c r="AE99" s="148"/>
    </row>
    <row r="100" spans="1:31" x14ac:dyDescent="0.25">
      <c r="A100" s="6">
        <f>A98+1</f>
        <v>7</v>
      </c>
      <c r="B100" s="20">
        <f>IF(ISNA(MATCH($A100,Score!A$46:A$83,0)),"",MATCH($A100,Score!A$46:A$83,0)+ROW(Score!A$45))</f>
        <v>55</v>
      </c>
      <c r="C100" s="89" t="str">
        <f t="shared" ca="1" si="28"/>
        <v>202</v>
      </c>
      <c r="D100" s="20">
        <f t="shared" ca="1" si="28"/>
        <v>12</v>
      </c>
      <c r="E100" s="6">
        <f ca="1">IF(B100="","",SUM(D100,D101))</f>
        <v>12</v>
      </c>
      <c r="F100" s="6">
        <f ca="1">IF(B100="","",E100-U100)</f>
        <v>8</v>
      </c>
      <c r="G100" s="157" t="str">
        <f ca="1">IF($B100="","",IF(ISBLANK(INDIRECT(ADDRESS($B100,G$1,1,,"Score"))),"",1))</f>
        <v/>
      </c>
      <c r="H100" s="157">
        <f ca="1">IF($B100="","",IF(ISBLANK(INDIRECT(ADDRESS($B100,H$1,1,,"Score"))),"",1))</f>
        <v>1</v>
      </c>
      <c r="I100" s="147">
        <f ca="1">IF(H100=1,F100,"")</f>
        <v>8</v>
      </c>
      <c r="J100" s="157" t="str">
        <f t="shared" ca="1" si="29"/>
        <v/>
      </c>
      <c r="K100" s="157" t="str">
        <f t="shared" ca="1" si="29"/>
        <v/>
      </c>
      <c r="L100" s="157" t="str">
        <f t="shared" ca="1" si="29"/>
        <v/>
      </c>
      <c r="M100" s="20">
        <f t="shared" ca="1" si="30"/>
        <v>3</v>
      </c>
      <c r="N100" s="6">
        <f ca="1">IF(ISNA(MATCH($A100,'Game Clock'!A$62:A$99,0)),"",INDIRECT(ADDRESS(MATCH($A100,'Game Clock'!A$62:A$99,0)+ROW('Game Clock'!A$61),N$1,1,,"Game Clock")))</f>
        <v>120</v>
      </c>
      <c r="O100" s="6">
        <f ca="1">IF(OR(N100="",N100=0),"",60*E100/N100)</f>
        <v>6</v>
      </c>
      <c r="Q100" s="6">
        <f>Q98+1</f>
        <v>7</v>
      </c>
      <c r="R100" s="20">
        <f>IF(ISNA(MATCH($Q100,Score!T$46:T$83,0)),"",MATCH($Q100,Score!T$46:T$83,0)+ROW(Score!T$45) )</f>
        <v>55</v>
      </c>
      <c r="S100" s="89" t="str">
        <f t="shared" ca="1" si="31"/>
        <v>49</v>
      </c>
      <c r="T100" s="20">
        <f t="shared" ca="1" si="31"/>
        <v>0</v>
      </c>
      <c r="U100" s="6">
        <f ca="1">IF(R100="","",SUM(T100,T101))</f>
        <v>4</v>
      </c>
      <c r="V100" s="6">
        <f ca="1">IF(R100="","",U100-E100)</f>
        <v>-8</v>
      </c>
      <c r="W100" s="157" t="str">
        <f ca="1">IF($R100="","",IF(ISBLANK(INDIRECT(ADDRESS($R100,W$1,1,,"Score"))),"",1))</f>
        <v/>
      </c>
      <c r="X100" s="157" t="str">
        <f ca="1">IF($R100="","",IF(ISBLANK(INDIRECT(ADDRESS($R100,X$1,1,,"Score"))),"",1))</f>
        <v/>
      </c>
      <c r="Y100" s="147" t="str">
        <f ca="1">IF(X100=1,V100,"")</f>
        <v/>
      </c>
      <c r="Z100" s="157" t="str">
        <f t="shared" ca="1" si="32"/>
        <v/>
      </c>
      <c r="AA100" s="157" t="str">
        <f t="shared" ca="1" si="32"/>
        <v/>
      </c>
      <c r="AB100" s="157">
        <f t="shared" ca="1" si="32"/>
        <v>1</v>
      </c>
      <c r="AC100" s="20">
        <f t="shared" ca="1" si="33"/>
        <v>0</v>
      </c>
      <c r="AD100" s="6">
        <f ca="1">N100</f>
        <v>120</v>
      </c>
      <c r="AE100" s="6">
        <f ca="1">IF(OR(AD100="",AD100=0),"",60*U100/AD100)</f>
        <v>2</v>
      </c>
    </row>
    <row r="101" spans="1:31" x14ac:dyDescent="0.25">
      <c r="A101" s="6"/>
      <c r="B101" s="20" t="str">
        <f ca="1">IF($B100="","",IF(INDIRECT(ADDRESS($B100+1,C$1-1,1,,"Score"))="SP",$B100+1,""))</f>
        <v/>
      </c>
      <c r="C101" s="89" t="str">
        <f t="shared" ca="1" si="28"/>
        <v/>
      </c>
      <c r="D101" s="20" t="str">
        <f t="shared" ca="1" si="28"/>
        <v/>
      </c>
      <c r="E101" s="6"/>
      <c r="F101" s="6"/>
      <c r="G101" s="157"/>
      <c r="H101" s="157"/>
      <c r="I101" s="147"/>
      <c r="J101" s="157" t="str">
        <f t="shared" ca="1" si="29"/>
        <v/>
      </c>
      <c r="K101" s="157" t="str">
        <f t="shared" ca="1" si="29"/>
        <v/>
      </c>
      <c r="L101" s="157" t="str">
        <f t="shared" ca="1" si="29"/>
        <v/>
      </c>
      <c r="M101" s="20" t="str">
        <f t="shared" ca="1" si="30"/>
        <v/>
      </c>
      <c r="N101" s="6"/>
      <c r="O101" s="6"/>
      <c r="Q101" s="6"/>
      <c r="R101" s="20">
        <f ca="1">IF($R100="","",IF(INDIRECT(ADDRESS($R100+1,S$1-1,1,,"Score"))="SP",$R100+1,""))</f>
        <v>56</v>
      </c>
      <c r="S101" s="89" t="str">
        <f t="shared" ca="1" si="31"/>
        <v>911</v>
      </c>
      <c r="T101" s="20">
        <f t="shared" ca="1" si="31"/>
        <v>4</v>
      </c>
      <c r="U101" s="6"/>
      <c r="V101" s="6"/>
      <c r="W101" s="157"/>
      <c r="X101" s="157"/>
      <c r="Y101" s="147"/>
      <c r="Z101" s="157" t="str">
        <f t="shared" ca="1" si="32"/>
        <v/>
      </c>
      <c r="AA101" s="157" t="str">
        <f t="shared" ca="1" si="32"/>
        <v/>
      </c>
      <c r="AB101" s="157" t="str">
        <f t="shared" ca="1" si="32"/>
        <v/>
      </c>
      <c r="AC101" s="20">
        <f t="shared" ca="1" si="33"/>
        <v>1</v>
      </c>
      <c r="AD101" s="6"/>
      <c r="AE101" s="6"/>
    </row>
    <row r="102" spans="1:31" x14ac:dyDescent="0.25">
      <c r="A102" s="148">
        <f>A100+1</f>
        <v>8</v>
      </c>
      <c r="B102" s="149">
        <f>IF(ISNA(MATCH($A102,Score!A$46:A$83,0)),"",MATCH($A102,Score!A$46:A$83,0)+ROW(Score!A$45))</f>
        <v>57</v>
      </c>
      <c r="C102" s="150" t="str">
        <f t="shared" ca="1" si="28"/>
        <v>123</v>
      </c>
      <c r="D102" s="149">
        <f t="shared" ca="1" si="28"/>
        <v>0</v>
      </c>
      <c r="E102" s="148">
        <f ca="1">IF(B102="","",SUM(D102,D103))</f>
        <v>0</v>
      </c>
      <c r="F102" s="148">
        <f ca="1">IF(B102="","",E102-U102)</f>
        <v>-2</v>
      </c>
      <c r="G102" s="151" t="str">
        <f ca="1">IF($B102="","",IF(ISBLANK(INDIRECT(ADDRESS($B102,G$1,1,,"Score"))),"",1))</f>
        <v/>
      </c>
      <c r="H102" s="151" t="str">
        <f ca="1">IF($B102="","",IF(ISBLANK(INDIRECT(ADDRESS($B102,H$1,1,,"Score"))),"",1))</f>
        <v/>
      </c>
      <c r="I102" s="153" t="str">
        <f ca="1">IF(H102=1,F102,"")</f>
        <v/>
      </c>
      <c r="J102" s="151" t="str">
        <f t="shared" ca="1" si="29"/>
        <v/>
      </c>
      <c r="K102" s="151" t="str">
        <f t="shared" ca="1" si="29"/>
        <v/>
      </c>
      <c r="L102" s="151" t="str">
        <f t="shared" ca="1" si="29"/>
        <v/>
      </c>
      <c r="M102" s="149">
        <f t="shared" ca="1" si="30"/>
        <v>1</v>
      </c>
      <c r="N102" s="6">
        <f ca="1">IF(ISNA(MATCH($A102,'Game Clock'!A$62:A$99,0)),"",INDIRECT(ADDRESS(MATCH($A102,'Game Clock'!A$62:A$99,0)+ROW('Game Clock'!A$61),N$1,1,,"Game Clock")))</f>
        <v>29</v>
      </c>
      <c r="O102" s="148">
        <f ca="1">IF(OR(N102="",N102=0),"",60*E102/N102)</f>
        <v>0</v>
      </c>
      <c r="Q102" s="148">
        <f>Q100+1</f>
        <v>8</v>
      </c>
      <c r="R102" s="149">
        <f>IF(ISNA(MATCH($Q102,Score!T$46:T$83,0)),"",MATCH($Q102,Score!T$46:T$83,0)+ROW(Score!T$45) )</f>
        <v>57</v>
      </c>
      <c r="S102" s="150" t="str">
        <f t="shared" ca="1" si="31"/>
        <v>223</v>
      </c>
      <c r="T102" s="149">
        <f t="shared" ca="1" si="31"/>
        <v>2</v>
      </c>
      <c r="U102" s="148">
        <f ca="1">IF(R102="","",SUM(T102,T103))</f>
        <v>2</v>
      </c>
      <c r="V102" s="148">
        <f ca="1">IF(R102="","",U102-E102)</f>
        <v>2</v>
      </c>
      <c r="W102" s="151" t="str">
        <f ca="1">IF($R102="","",IF(ISBLANK(INDIRECT(ADDRESS($R102,W$1,1,,"Score"))),"",1))</f>
        <v/>
      </c>
      <c r="X102" s="151">
        <f ca="1">IF($R102="","",IF(ISBLANK(INDIRECT(ADDRESS($R102,X$1,1,,"Score"))),"",1))</f>
        <v>1</v>
      </c>
      <c r="Y102" s="153">
        <f ca="1">IF(X102=1,V102,"")</f>
        <v>2</v>
      </c>
      <c r="Z102" s="151">
        <f t="shared" ca="1" si="32"/>
        <v>1</v>
      </c>
      <c r="AA102" s="151" t="str">
        <f t="shared" ca="1" si="32"/>
        <v/>
      </c>
      <c r="AB102" s="151" t="str">
        <f t="shared" ca="1" si="32"/>
        <v/>
      </c>
      <c r="AC102" s="149">
        <f t="shared" ca="1" si="33"/>
        <v>1</v>
      </c>
      <c r="AD102" s="148">
        <f ca="1">N102</f>
        <v>29</v>
      </c>
      <c r="AE102" s="148">
        <f ca="1">IF(OR(AD102="",AD102=0),"",60*U102/AD102)</f>
        <v>4.1379310344827589</v>
      </c>
    </row>
    <row r="103" spans="1:31" x14ac:dyDescent="0.3">
      <c r="A103" s="148"/>
      <c r="B103" s="149" t="str">
        <f ca="1">IF($B102="","",IF(INDIRECT(ADDRESS($B102+1,C$1-1,1,,"Score"))="SP",$B102+1,""))</f>
        <v/>
      </c>
      <c r="C103" s="150" t="str">
        <f t="shared" ca="1" si="28"/>
        <v/>
      </c>
      <c r="D103" s="149" t="str">
        <f t="shared" ca="1" si="28"/>
        <v/>
      </c>
      <c r="E103" s="148"/>
      <c r="F103" s="148"/>
      <c r="G103" s="151"/>
      <c r="H103" s="152"/>
      <c r="I103" s="153"/>
      <c r="J103" s="151" t="str">
        <f t="shared" ca="1" si="29"/>
        <v/>
      </c>
      <c r="K103" s="151" t="str">
        <f t="shared" ca="1" si="29"/>
        <v/>
      </c>
      <c r="L103" s="151" t="str">
        <f t="shared" ca="1" si="29"/>
        <v/>
      </c>
      <c r="M103" s="149" t="str">
        <f t="shared" ca="1" si="30"/>
        <v/>
      </c>
      <c r="N103" s="148"/>
      <c r="O103" s="148"/>
      <c r="Q103" s="148"/>
      <c r="R103" s="149" t="str">
        <f ca="1">IF($R102="","",IF(INDIRECT(ADDRESS($R102+1,S$1-1,1,,"Score"))="SP",$R102+1,""))</f>
        <v/>
      </c>
      <c r="S103" s="150" t="str">
        <f t="shared" ca="1" si="31"/>
        <v/>
      </c>
      <c r="T103" s="149" t="str">
        <f t="shared" ca="1" si="31"/>
        <v/>
      </c>
      <c r="U103" s="148"/>
      <c r="V103" s="148"/>
      <c r="W103" s="151"/>
      <c r="X103" s="152"/>
      <c r="Y103" s="153"/>
      <c r="Z103" s="151" t="str">
        <f t="shared" ca="1" si="32"/>
        <v/>
      </c>
      <c r="AA103" s="151" t="str">
        <f t="shared" ca="1" si="32"/>
        <v/>
      </c>
      <c r="AB103" s="151" t="str">
        <f t="shared" ca="1" si="32"/>
        <v/>
      </c>
      <c r="AC103" s="149" t="str">
        <f t="shared" ca="1" si="33"/>
        <v/>
      </c>
      <c r="AD103" s="148"/>
      <c r="AE103" s="148"/>
    </row>
    <row r="104" spans="1:31" x14ac:dyDescent="0.25">
      <c r="A104" s="6">
        <f>A102+1</f>
        <v>9</v>
      </c>
      <c r="B104" s="20">
        <f>IF(ISNA(MATCH($A104,Score!A$46:A$83,0)),"",MATCH($A104,Score!A$46:A$83,0)+ROW(Score!A$45))</f>
        <v>58</v>
      </c>
      <c r="C104" s="89" t="str">
        <f t="shared" ca="1" si="28"/>
        <v>64</v>
      </c>
      <c r="D104" s="20">
        <f t="shared" ca="1" si="28"/>
        <v>4</v>
      </c>
      <c r="E104" s="6">
        <f ca="1">IF(B104="","",SUM(D104,D105))</f>
        <v>4</v>
      </c>
      <c r="F104" s="6">
        <f ca="1">IF(B104="","",E104-U104)</f>
        <v>4</v>
      </c>
      <c r="G104" s="157" t="str">
        <f ca="1">IF($B104="","",IF(ISBLANK(INDIRECT(ADDRESS($B104,G$1,1,,"Score"))),"",1))</f>
        <v/>
      </c>
      <c r="H104" s="157">
        <f ca="1">IF($B104="","",IF(ISBLANK(INDIRECT(ADDRESS($B104,H$1,1,,"Score"))),"",1))</f>
        <v>1</v>
      </c>
      <c r="I104" s="147">
        <f ca="1">IF(H104=1,F104,"")</f>
        <v>4</v>
      </c>
      <c r="J104" s="157">
        <f t="shared" ca="1" si="29"/>
        <v>1</v>
      </c>
      <c r="K104" s="157" t="str">
        <f t="shared" ca="1" si="29"/>
        <v/>
      </c>
      <c r="L104" s="157" t="str">
        <f t="shared" ca="1" si="29"/>
        <v/>
      </c>
      <c r="M104" s="20">
        <f t="shared" ca="1" si="30"/>
        <v>1</v>
      </c>
      <c r="N104" s="6">
        <f ca="1">IF(ISNA(MATCH($A104,'Game Clock'!A$62:A$99,0)),"",INDIRECT(ADDRESS(MATCH($A104,'Game Clock'!A$62:A$99,0)+ROW('Game Clock'!A$61),N$1,1,,"Game Clock")))</f>
        <v>107</v>
      </c>
      <c r="O104" s="6">
        <f ca="1">IF(OR(N104="",N104=0),"",60*E104/N104)</f>
        <v>2.2429906542056073</v>
      </c>
      <c r="Q104" s="6">
        <f>Q102+1</f>
        <v>9</v>
      </c>
      <c r="R104" s="20">
        <f>IF(ISNA(MATCH($Q104,Score!T$46:T$83,0)),"",MATCH($Q104,Score!T$46:T$83,0)+ROW(Score!T$45) )</f>
        <v>58</v>
      </c>
      <c r="S104" s="89" t="str">
        <f t="shared" ca="1" si="31"/>
        <v>12</v>
      </c>
      <c r="T104" s="20">
        <f t="shared" ca="1" si="31"/>
        <v>0</v>
      </c>
      <c r="U104" s="6">
        <f ca="1">IF(R104="","",SUM(T104,T105))</f>
        <v>0</v>
      </c>
      <c r="V104" s="6">
        <f ca="1">IF(R104="","",U104-E104)</f>
        <v>-4</v>
      </c>
      <c r="W104" s="157">
        <f ca="1">IF($R104="","",IF(ISBLANK(INDIRECT(ADDRESS($R104,W$1,1,,"Score"))),"",1))</f>
        <v>1</v>
      </c>
      <c r="X104" s="157" t="str">
        <f ca="1">IF($R104="","",IF(ISBLANK(INDIRECT(ADDRESS($R104,X$1,1,,"Score"))),"",1))</f>
        <v/>
      </c>
      <c r="Y104" s="147" t="str">
        <f ca="1">IF(X104=1,V104,"")</f>
        <v/>
      </c>
      <c r="Z104" s="157" t="str">
        <f t="shared" ca="1" si="32"/>
        <v/>
      </c>
      <c r="AA104" s="157" t="str">
        <f t="shared" ca="1" si="32"/>
        <v/>
      </c>
      <c r="AB104" s="157" t="str">
        <f t="shared" ca="1" si="32"/>
        <v/>
      </c>
      <c r="AC104" s="20">
        <f t="shared" ca="1" si="33"/>
        <v>1</v>
      </c>
      <c r="AD104" s="6">
        <f ca="1">N104</f>
        <v>107</v>
      </c>
      <c r="AE104" s="6">
        <f ca="1">IF(OR(AD104="",AD104=0),"",60*U104/AD104)</f>
        <v>0</v>
      </c>
    </row>
    <row r="105" spans="1:31" x14ac:dyDescent="0.25">
      <c r="A105" s="6"/>
      <c r="B105" s="20" t="str">
        <f ca="1">IF($B104="","",IF(INDIRECT(ADDRESS($B104+1,C$1-1,1,,"Score"))="SP",$B104+1,""))</f>
        <v/>
      </c>
      <c r="C105" s="89" t="str">
        <f t="shared" ca="1" si="28"/>
        <v/>
      </c>
      <c r="D105" s="20" t="str">
        <f t="shared" ca="1" si="28"/>
        <v/>
      </c>
      <c r="E105" s="6"/>
      <c r="F105" s="6"/>
      <c r="G105" s="157"/>
      <c r="H105" s="157"/>
      <c r="I105" s="147"/>
      <c r="J105" s="157" t="str">
        <f t="shared" ca="1" si="29"/>
        <v/>
      </c>
      <c r="K105" s="157" t="str">
        <f t="shared" ca="1" si="29"/>
        <v/>
      </c>
      <c r="L105" s="157" t="str">
        <f t="shared" ca="1" si="29"/>
        <v/>
      </c>
      <c r="M105" s="20" t="str">
        <f t="shared" ca="1" si="30"/>
        <v/>
      </c>
      <c r="N105" s="6"/>
      <c r="O105" s="6"/>
      <c r="Q105" s="6"/>
      <c r="R105" s="20" t="str">
        <f ca="1">IF($R104="","",IF(INDIRECT(ADDRESS($R104+1,S$1-1,1,,"Score"))="SP",$R104+1,""))</f>
        <v/>
      </c>
      <c r="S105" s="89" t="str">
        <f t="shared" ca="1" si="31"/>
        <v/>
      </c>
      <c r="T105" s="20" t="str">
        <f t="shared" ca="1" si="31"/>
        <v/>
      </c>
      <c r="U105" s="6"/>
      <c r="V105" s="6"/>
      <c r="W105" s="157"/>
      <c r="X105" s="157"/>
      <c r="Y105" s="147"/>
      <c r="Z105" s="157" t="str">
        <f t="shared" ca="1" si="32"/>
        <v/>
      </c>
      <c r="AA105" s="157" t="str">
        <f t="shared" ca="1" si="32"/>
        <v/>
      </c>
      <c r="AB105" s="157" t="str">
        <f t="shared" ca="1" si="32"/>
        <v/>
      </c>
      <c r="AC105" s="20" t="str">
        <f t="shared" ca="1" si="33"/>
        <v/>
      </c>
      <c r="AD105" s="6"/>
      <c r="AE105" s="6"/>
    </row>
    <row r="106" spans="1:31" x14ac:dyDescent="0.25">
      <c r="A106" s="148">
        <f>A104+1</f>
        <v>10</v>
      </c>
      <c r="B106" s="149">
        <f>IF(ISNA(MATCH($A106,Score!A$46:A$83,0)),"",MATCH($A106,Score!A$46:A$83,0)+ROW(Score!A$45))</f>
        <v>59</v>
      </c>
      <c r="C106" s="150" t="str">
        <f t="shared" ca="1" si="28"/>
        <v>352</v>
      </c>
      <c r="D106" s="149">
        <f t="shared" ca="1" si="28"/>
        <v>8</v>
      </c>
      <c r="E106" s="148">
        <f ca="1">IF(B106="","",SUM(D106,D107))</f>
        <v>8</v>
      </c>
      <c r="F106" s="148">
        <f ca="1">IF(B106="","",E106-U106)</f>
        <v>8</v>
      </c>
      <c r="G106" s="151">
        <f ca="1">IF($B106="","",IF(ISBLANK(INDIRECT(ADDRESS($B106,G$1,1,,"Score"))),"",1))</f>
        <v>1</v>
      </c>
      <c r="H106" s="151">
        <f ca="1">IF($B106="","",IF(ISBLANK(INDIRECT(ADDRESS($B106,H$1,1,,"Score"))),"",1))</f>
        <v>1</v>
      </c>
      <c r="I106" s="153">
        <f ca="1">IF(H106=1,F106,"")</f>
        <v>8</v>
      </c>
      <c r="J106" s="151" t="str">
        <f t="shared" ca="1" si="29"/>
        <v/>
      </c>
      <c r="K106" s="151" t="str">
        <f t="shared" ca="1" si="29"/>
        <v/>
      </c>
      <c r="L106" s="151" t="str">
        <f t="shared" ca="1" si="29"/>
        <v/>
      </c>
      <c r="M106" s="149">
        <f t="shared" ca="1" si="30"/>
        <v>2</v>
      </c>
      <c r="N106" s="6">
        <f ca="1">IF(ISNA(MATCH($A106,'Game Clock'!A$62:A$99,0)),"",INDIRECT(ADDRESS(MATCH($A106,'Game Clock'!A$62:A$99,0)+ROW('Game Clock'!A$61),N$1,1,,"Game Clock")))</f>
        <v>120</v>
      </c>
      <c r="O106" s="148">
        <f ca="1">IF(OR(N106="",N106=0),"",60*E106/N106)</f>
        <v>4</v>
      </c>
      <c r="Q106" s="148">
        <f>Q104+1</f>
        <v>10</v>
      </c>
      <c r="R106" s="149">
        <f>IF(ISNA(MATCH($Q106,Score!T$46:T$83,0)),"",MATCH($Q106,Score!T$46:T$83,0)+ROW(Score!T$45) )</f>
        <v>59</v>
      </c>
      <c r="S106" s="150" t="str">
        <f t="shared" ca="1" si="31"/>
        <v>12</v>
      </c>
      <c r="T106" s="149">
        <f t="shared" ca="1" si="31"/>
        <v>0</v>
      </c>
      <c r="U106" s="148">
        <f ca="1">IF(R106="","",SUM(T106,T107))</f>
        <v>0</v>
      </c>
      <c r="V106" s="148">
        <f ca="1">IF(R106="","",U106-E106)</f>
        <v>-8</v>
      </c>
      <c r="W106" s="151" t="str">
        <f ca="1">IF($R106="","",IF(ISBLANK(INDIRECT(ADDRESS($R106,W$1,1,,"Score"))),"",1))</f>
        <v/>
      </c>
      <c r="X106" s="151" t="str">
        <f ca="1">IF($R106="","",IF(ISBLANK(INDIRECT(ADDRESS($R106,X$1,1,,"Score"))),"",1))</f>
        <v/>
      </c>
      <c r="Y106" s="153" t="str">
        <f ca="1">IF(X106=1,V106,"")</f>
        <v/>
      </c>
      <c r="Z106" s="151" t="str">
        <f t="shared" ca="1" si="32"/>
        <v/>
      </c>
      <c r="AA106" s="151" t="str">
        <f t="shared" ca="1" si="32"/>
        <v/>
      </c>
      <c r="AB106" s="151">
        <f t="shared" ca="1" si="32"/>
        <v>1</v>
      </c>
      <c r="AC106" s="149">
        <f t="shared" ca="1" si="33"/>
        <v>0</v>
      </c>
      <c r="AD106" s="148">
        <f ca="1">N106</f>
        <v>120</v>
      </c>
      <c r="AE106" s="148">
        <f ca="1">IF(OR(AD106="",AD106=0),"",60*U106/AD106)</f>
        <v>0</v>
      </c>
    </row>
    <row r="107" spans="1:31" x14ac:dyDescent="0.3">
      <c r="A107" s="148"/>
      <c r="B107" s="149" t="str">
        <f ca="1">IF($B106="","",IF(INDIRECT(ADDRESS($B106+1,C$1-1,1,,"Score"))="SP",$B106+1,""))</f>
        <v/>
      </c>
      <c r="C107" s="150" t="str">
        <f t="shared" ca="1" si="28"/>
        <v/>
      </c>
      <c r="D107" s="149" t="str">
        <f t="shared" ca="1" si="28"/>
        <v/>
      </c>
      <c r="E107" s="148"/>
      <c r="F107" s="148"/>
      <c r="G107" s="151"/>
      <c r="H107" s="152"/>
      <c r="I107" s="153"/>
      <c r="J107" s="151" t="str">
        <f t="shared" ca="1" si="29"/>
        <v/>
      </c>
      <c r="K107" s="151" t="str">
        <f t="shared" ca="1" si="29"/>
        <v/>
      </c>
      <c r="L107" s="151" t="str">
        <f t="shared" ca="1" si="29"/>
        <v/>
      </c>
      <c r="M107" s="149" t="str">
        <f t="shared" ca="1" si="30"/>
        <v/>
      </c>
      <c r="N107" s="148"/>
      <c r="O107" s="148"/>
      <c r="Q107" s="148"/>
      <c r="R107" s="149">
        <f ca="1">IF($R106="","",IF(INDIRECT(ADDRESS($R106+1,S$1-1,1,,"Score"))="SP",$R106+1,""))</f>
        <v>60</v>
      </c>
      <c r="S107" s="150" t="str">
        <f t="shared" ca="1" si="31"/>
        <v>22</v>
      </c>
      <c r="T107" s="149">
        <f t="shared" ca="1" si="31"/>
        <v>0</v>
      </c>
      <c r="U107" s="148"/>
      <c r="V107" s="148"/>
      <c r="W107" s="151"/>
      <c r="X107" s="152"/>
      <c r="Y107" s="153"/>
      <c r="Z107" s="151" t="str">
        <f t="shared" ca="1" si="32"/>
        <v/>
      </c>
      <c r="AA107" s="151" t="str">
        <f t="shared" ca="1" si="32"/>
        <v/>
      </c>
      <c r="AB107" s="151">
        <f t="shared" ca="1" si="32"/>
        <v>1</v>
      </c>
      <c r="AC107" s="149">
        <f t="shared" ca="1" si="33"/>
        <v>0</v>
      </c>
      <c r="AD107" s="148"/>
      <c r="AE107" s="148"/>
    </row>
    <row r="108" spans="1:31" x14ac:dyDescent="0.25">
      <c r="A108" s="6">
        <f>A106+1</f>
        <v>11</v>
      </c>
      <c r="B108" s="20">
        <f>IF(ISNA(MATCH($A108,Score!A$46:A$83,0)),"",MATCH($A108,Score!A$46:A$83,0)+ROW(Score!A$45))</f>
        <v>61</v>
      </c>
      <c r="C108" s="89" t="str">
        <f t="shared" ref="C108:D127" ca="1" si="34">IF($B108="","",INDIRECT(ADDRESS($B108,C$1,1,,"Score")))</f>
        <v>202</v>
      </c>
      <c r="D108" s="20">
        <f t="shared" ca="1" si="34"/>
        <v>17</v>
      </c>
      <c r="E108" s="6">
        <f ca="1">IF(B108="","",SUM(D108,D109))</f>
        <v>17</v>
      </c>
      <c r="F108" s="6">
        <f ca="1">IF(B108="","",E108-U108)</f>
        <v>17</v>
      </c>
      <c r="G108" s="157" t="str">
        <f ca="1">IF($B108="","",IF(ISBLANK(INDIRECT(ADDRESS($B108,G$1,1,,"Score"))),"",1))</f>
        <v/>
      </c>
      <c r="H108" s="157">
        <f ca="1">IF($B108="","",IF(ISBLANK(INDIRECT(ADDRESS($B108,H$1,1,,"Score"))),"",1))</f>
        <v>1</v>
      </c>
      <c r="I108" s="147">
        <f ca="1">IF(H108=1,F108,"")</f>
        <v>17</v>
      </c>
      <c r="J108" s="157" t="str">
        <f t="shared" ref="J108:L127" ca="1" si="35">IF($B108="","",IF(ISBLANK(INDIRECT(ADDRESS($B108,J$1,1,,"Score"))),"",1))</f>
        <v/>
      </c>
      <c r="K108" s="157" t="str">
        <f t="shared" ca="1" si="35"/>
        <v/>
      </c>
      <c r="L108" s="157" t="str">
        <f t="shared" ca="1" si="35"/>
        <v/>
      </c>
      <c r="M108" s="20">
        <f t="shared" ref="M108:M127" ca="1" si="36">IF($B108="","",INDIRECT(ADDRESS($B108,M$1,1,,"Score")))</f>
        <v>5</v>
      </c>
      <c r="N108" s="6">
        <f ca="1">IF(ISNA(MATCH($A108,'Game Clock'!A$62:A$99,0)),"",INDIRECT(ADDRESS(MATCH($A108,'Game Clock'!A$62:A$99,0)+ROW('Game Clock'!A$61),N$1,1,,"Game Clock")))</f>
        <v>120</v>
      </c>
      <c r="O108" s="6">
        <f ca="1">IF(OR(N108="",N108=0),"",60*E108/N108)</f>
        <v>8.5</v>
      </c>
      <c r="Q108" s="6">
        <f>Q106+1</f>
        <v>11</v>
      </c>
      <c r="R108" s="20">
        <f>IF(ISNA(MATCH($Q108,Score!T$46:T$83,0)),"",MATCH($Q108,Score!T$46:T$83,0)+ROW(Score!T$45) )</f>
        <v>61</v>
      </c>
      <c r="S108" s="89" t="str">
        <f t="shared" ref="S108:T127" ca="1" si="37">IF($R108="","",INDIRECT(ADDRESS($R108,S$1,1,,"Score")))</f>
        <v>23</v>
      </c>
      <c r="T108" s="20">
        <f t="shared" ca="1" si="37"/>
        <v>0</v>
      </c>
      <c r="U108" s="6">
        <f ca="1">IF(R108="","",SUM(T108,T109))</f>
        <v>0</v>
      </c>
      <c r="V108" s="6">
        <f ca="1">IF(R108="","",U108-E108)</f>
        <v>-17</v>
      </c>
      <c r="W108" s="157" t="str">
        <f ca="1">IF($R108="","",IF(ISBLANK(INDIRECT(ADDRESS($R108,W$1,1,,"Score"))),"",1))</f>
        <v/>
      </c>
      <c r="X108" s="157" t="str">
        <f ca="1">IF($R108="","",IF(ISBLANK(INDIRECT(ADDRESS($R108,X$1,1,,"Score"))),"",1))</f>
        <v/>
      </c>
      <c r="Y108" s="147" t="str">
        <f ca="1">IF(X108=1,V108,"")</f>
        <v/>
      </c>
      <c r="Z108" s="157" t="str">
        <f t="shared" ref="Z108:AB127" ca="1" si="38">IF($R108="","",IF(ISBLANK(INDIRECT(ADDRESS($R108,Z$1,1,,"Score"))),"",1))</f>
        <v/>
      </c>
      <c r="AA108" s="157" t="str">
        <f t="shared" ca="1" si="38"/>
        <v/>
      </c>
      <c r="AB108" s="157">
        <f t="shared" ca="1" si="38"/>
        <v>1</v>
      </c>
      <c r="AC108" s="20">
        <f t="shared" ref="AC108:AC127" ca="1" si="39">IF($R108="","",INDIRECT(ADDRESS($R108,AC$1,1,,"Score")))</f>
        <v>0</v>
      </c>
      <c r="AD108" s="6">
        <f ca="1">N108</f>
        <v>120</v>
      </c>
      <c r="AE108" s="6">
        <f ca="1">IF(OR(AD108="",AD108=0),"",60*U108/AD108)</f>
        <v>0</v>
      </c>
    </row>
    <row r="109" spans="1:31" x14ac:dyDescent="0.25">
      <c r="A109" s="6"/>
      <c r="B109" s="20" t="str">
        <f ca="1">IF($B108="","",IF(INDIRECT(ADDRESS($B108+1,C$1-1,1,,"Score"))="SP",$B108+1,""))</f>
        <v/>
      </c>
      <c r="C109" s="89" t="str">
        <f t="shared" ca="1" si="34"/>
        <v/>
      </c>
      <c r="D109" s="20" t="str">
        <f t="shared" ca="1" si="34"/>
        <v/>
      </c>
      <c r="E109" s="6"/>
      <c r="F109" s="6"/>
      <c r="G109" s="157"/>
      <c r="H109" s="157"/>
      <c r="I109" s="147"/>
      <c r="J109" s="157" t="str">
        <f t="shared" ca="1" si="35"/>
        <v/>
      </c>
      <c r="K109" s="157" t="str">
        <f t="shared" ca="1" si="35"/>
        <v/>
      </c>
      <c r="L109" s="157" t="str">
        <f t="shared" ca="1" si="35"/>
        <v/>
      </c>
      <c r="M109" s="20" t="str">
        <f t="shared" ca="1" si="36"/>
        <v/>
      </c>
      <c r="N109" s="6"/>
      <c r="O109" s="6"/>
      <c r="Q109" s="6"/>
      <c r="R109" s="20">
        <f ca="1">IF($R108="","",IF(INDIRECT(ADDRESS($R108+1,S$1-1,1,,"Score"))="SP",$R108+1,""))</f>
        <v>62</v>
      </c>
      <c r="S109" s="89" t="str">
        <f t="shared" ca="1" si="37"/>
        <v>219</v>
      </c>
      <c r="T109" s="20">
        <f t="shared" ca="1" si="37"/>
        <v>0</v>
      </c>
      <c r="U109" s="6"/>
      <c r="V109" s="6"/>
      <c r="W109" s="157"/>
      <c r="X109" s="157"/>
      <c r="Y109" s="147"/>
      <c r="Z109" s="157" t="str">
        <f t="shared" ca="1" si="38"/>
        <v/>
      </c>
      <c r="AA109" s="157" t="str">
        <f t="shared" ca="1" si="38"/>
        <v/>
      </c>
      <c r="AB109" s="157">
        <f t="shared" ca="1" si="38"/>
        <v>1</v>
      </c>
      <c r="AC109" s="20">
        <f t="shared" ca="1" si="39"/>
        <v>0</v>
      </c>
      <c r="AD109" s="6"/>
      <c r="AE109" s="6"/>
    </row>
    <row r="110" spans="1:31" x14ac:dyDescent="0.25">
      <c r="A110" s="148">
        <f>A108+1</f>
        <v>12</v>
      </c>
      <c r="B110" s="149">
        <f>IF(ISNA(MATCH($A110,Score!A$46:A$83,0)),"",MATCH($A110,Score!A$46:A$83,0)+ROW(Score!A$45))</f>
        <v>63</v>
      </c>
      <c r="C110" s="150" t="str">
        <f t="shared" ca="1" si="34"/>
        <v>123</v>
      </c>
      <c r="D110" s="149">
        <f t="shared" ca="1" si="34"/>
        <v>6</v>
      </c>
      <c r="E110" s="148">
        <f ca="1">IF(B110="","",SUM(D110,D111))</f>
        <v>6</v>
      </c>
      <c r="F110" s="148">
        <f ca="1">IF(B110="","",E110-U110)</f>
        <v>6</v>
      </c>
      <c r="G110" s="151" t="str">
        <f ca="1">IF($B110="","",IF(ISBLANK(INDIRECT(ADDRESS($B110,G$1,1,,"Score"))),"",1))</f>
        <v/>
      </c>
      <c r="H110" s="151">
        <f ca="1">IF($B110="","",IF(ISBLANK(INDIRECT(ADDRESS($B110,H$1,1,,"Score"))),"",1))</f>
        <v>1</v>
      </c>
      <c r="I110" s="153">
        <f ca="1">IF(H110=1,F110,"")</f>
        <v>6</v>
      </c>
      <c r="J110" s="151">
        <f t="shared" ca="1" si="35"/>
        <v>1</v>
      </c>
      <c r="K110" s="151" t="str">
        <f t="shared" ca="1" si="35"/>
        <v/>
      </c>
      <c r="L110" s="151" t="str">
        <f t="shared" ca="1" si="35"/>
        <v/>
      </c>
      <c r="M110" s="149">
        <f t="shared" ca="1" si="36"/>
        <v>2</v>
      </c>
      <c r="N110" s="6">
        <f ca="1">IF(ISNA(MATCH($A110,'Game Clock'!A$62:A$99,0)),"",INDIRECT(ADDRESS(MATCH($A110,'Game Clock'!A$62:A$99,0)+ROW('Game Clock'!A$61),N$1,1,,"Game Clock")))</f>
        <v>89</v>
      </c>
      <c r="O110" s="148">
        <f ca="1">IF(OR(N110="",N110=0),"",60*E110/N110)</f>
        <v>4.0449438202247192</v>
      </c>
      <c r="Q110" s="148">
        <f>Q108+1</f>
        <v>12</v>
      </c>
      <c r="R110" s="149">
        <f>IF(ISNA(MATCH($Q110,Score!T$46:T$83,0)),"",MATCH($Q110,Score!T$46:T$83,0)+ROW(Score!T$45) )</f>
        <v>63</v>
      </c>
      <c r="S110" s="150" t="str">
        <f t="shared" ca="1" si="37"/>
        <v>49</v>
      </c>
      <c r="T110" s="149">
        <f t="shared" ca="1" si="37"/>
        <v>0</v>
      </c>
      <c r="U110" s="148">
        <f ca="1">IF(R110="","",SUM(T110,T111))</f>
        <v>0</v>
      </c>
      <c r="V110" s="148">
        <f ca="1">IF(R110="","",U110-E110)</f>
        <v>-6</v>
      </c>
      <c r="W110" s="151" t="str">
        <f ca="1">IF($R110="","",IF(ISBLANK(INDIRECT(ADDRESS($R110,W$1,1,,"Score"))),"",1))</f>
        <v/>
      </c>
      <c r="X110" s="151" t="str">
        <f ca="1">IF($R110="","",IF(ISBLANK(INDIRECT(ADDRESS($R110,X$1,1,,"Score"))),"",1))</f>
        <v/>
      </c>
      <c r="Y110" s="153" t="str">
        <f ca="1">IF(X110=1,V110,"")</f>
        <v/>
      </c>
      <c r="Z110" s="151" t="str">
        <f t="shared" ca="1" si="38"/>
        <v/>
      </c>
      <c r="AA110" s="151" t="str">
        <f t="shared" ca="1" si="38"/>
        <v/>
      </c>
      <c r="AB110" s="151">
        <f t="shared" ca="1" si="38"/>
        <v>1</v>
      </c>
      <c r="AC110" s="149">
        <f t="shared" ca="1" si="39"/>
        <v>0</v>
      </c>
      <c r="AD110" s="148">
        <f ca="1">N110</f>
        <v>89</v>
      </c>
      <c r="AE110" s="148">
        <f ca="1">IF(OR(AD110="",AD110=0),"",60*U110/AD110)</f>
        <v>0</v>
      </c>
    </row>
    <row r="111" spans="1:31" x14ac:dyDescent="0.3">
      <c r="A111" s="148"/>
      <c r="B111" s="149" t="str">
        <f ca="1">IF($B110="","",IF(INDIRECT(ADDRESS($B110+1,C$1-1,1,,"Score"))="SP",$B110+1,""))</f>
        <v/>
      </c>
      <c r="C111" s="150" t="str">
        <f t="shared" ca="1" si="34"/>
        <v/>
      </c>
      <c r="D111" s="149" t="str">
        <f t="shared" ca="1" si="34"/>
        <v/>
      </c>
      <c r="E111" s="148"/>
      <c r="F111" s="148"/>
      <c r="G111" s="151"/>
      <c r="H111" s="152"/>
      <c r="I111" s="153"/>
      <c r="J111" s="151" t="str">
        <f t="shared" ca="1" si="35"/>
        <v/>
      </c>
      <c r="K111" s="151" t="str">
        <f t="shared" ca="1" si="35"/>
        <v/>
      </c>
      <c r="L111" s="151" t="str">
        <f t="shared" ca="1" si="35"/>
        <v/>
      </c>
      <c r="M111" s="149" t="str">
        <f t="shared" ca="1" si="36"/>
        <v/>
      </c>
      <c r="N111" s="148"/>
      <c r="O111" s="148"/>
      <c r="Q111" s="148"/>
      <c r="R111" s="149" t="str">
        <f ca="1">IF($R110="","",IF(INDIRECT(ADDRESS($R110+1,S$1-1,1,,"Score"))="SP",$R110+1,""))</f>
        <v/>
      </c>
      <c r="S111" s="150" t="str">
        <f t="shared" ca="1" si="37"/>
        <v/>
      </c>
      <c r="T111" s="149" t="str">
        <f t="shared" ca="1" si="37"/>
        <v/>
      </c>
      <c r="U111" s="148"/>
      <c r="V111" s="148"/>
      <c r="W111" s="151"/>
      <c r="X111" s="152"/>
      <c r="Y111" s="153"/>
      <c r="Z111" s="151" t="str">
        <f t="shared" ca="1" si="38"/>
        <v/>
      </c>
      <c r="AA111" s="151" t="str">
        <f t="shared" ca="1" si="38"/>
        <v/>
      </c>
      <c r="AB111" s="151" t="str">
        <f t="shared" ca="1" si="38"/>
        <v/>
      </c>
      <c r="AC111" s="149" t="str">
        <f t="shared" ca="1" si="39"/>
        <v/>
      </c>
      <c r="AD111" s="148"/>
      <c r="AE111" s="148"/>
    </row>
    <row r="112" spans="1:31" x14ac:dyDescent="0.25">
      <c r="A112" s="6">
        <f>A110+1</f>
        <v>13</v>
      </c>
      <c r="B112" s="20">
        <f>IF(ISNA(MATCH($A112,Score!A$46:A$83,0)),"",MATCH($A112,Score!A$46:A$83,0)+ROW(Score!A$45))</f>
        <v>64</v>
      </c>
      <c r="C112" s="89" t="str">
        <f t="shared" ca="1" si="34"/>
        <v>352</v>
      </c>
      <c r="D112" s="20">
        <f t="shared" ca="1" si="34"/>
        <v>20</v>
      </c>
      <c r="E112" s="6">
        <f ca="1">IF(B112="","",SUM(D112,D113))</f>
        <v>20</v>
      </c>
      <c r="F112" s="6">
        <f ca="1">IF(B112="","",E112-U112)</f>
        <v>16</v>
      </c>
      <c r="G112" s="157" t="str">
        <f ca="1">IF($B112="","",IF(ISBLANK(INDIRECT(ADDRESS($B112,G$1,1,,"Score"))),"",1))</f>
        <v/>
      </c>
      <c r="H112" s="157">
        <f ca="1">IF($B112="","",IF(ISBLANK(INDIRECT(ADDRESS($B112,H$1,1,,"Score"))),"",1))</f>
        <v>1</v>
      </c>
      <c r="I112" s="147">
        <f ca="1">IF(H112=1,F112,"")</f>
        <v>16</v>
      </c>
      <c r="J112" s="157" t="str">
        <f t="shared" ca="1" si="35"/>
        <v/>
      </c>
      <c r="K112" s="157" t="str">
        <f t="shared" ca="1" si="35"/>
        <v/>
      </c>
      <c r="L112" s="157" t="str">
        <f t="shared" ca="1" si="35"/>
        <v/>
      </c>
      <c r="M112" s="20">
        <f t="shared" ca="1" si="36"/>
        <v>6</v>
      </c>
      <c r="N112" s="6">
        <f ca="1">IF(ISNA(MATCH($A112,'Game Clock'!A$62:A$99,0)),"",INDIRECT(ADDRESS(MATCH($A112,'Game Clock'!A$62:A$99,0)+ROW('Game Clock'!A$61),N$1,1,,"Game Clock")))</f>
        <v>120</v>
      </c>
      <c r="O112" s="6">
        <f ca="1">IF(OR(N112="",N112=0),"",60*E112/N112)</f>
        <v>10</v>
      </c>
      <c r="Q112" s="6">
        <f>Q110+1</f>
        <v>13</v>
      </c>
      <c r="R112" s="20">
        <f>IF(ISNA(MATCH($Q112,Score!T$46:T$83,0)),"",MATCH($Q112,Score!T$46:T$83,0)+ROW(Score!T$45) )</f>
        <v>64</v>
      </c>
      <c r="S112" s="89" t="str">
        <f t="shared" ca="1" si="37"/>
        <v>49</v>
      </c>
      <c r="T112" s="20">
        <f t="shared" ca="1" si="37"/>
        <v>4</v>
      </c>
      <c r="U112" s="6">
        <f ca="1">IF(R112="","",SUM(T112,T113))</f>
        <v>4</v>
      </c>
      <c r="V112" s="6">
        <f ca="1">IF(R112="","",U112-E112)</f>
        <v>-16</v>
      </c>
      <c r="W112" s="157" t="str">
        <f ca="1">IF($R112="","",IF(ISBLANK(INDIRECT(ADDRESS($R112,W$1,1,,"Score"))),"",1))</f>
        <v/>
      </c>
      <c r="X112" s="157" t="str">
        <f ca="1">IF($R112="","",IF(ISBLANK(INDIRECT(ADDRESS($R112,X$1,1,,"Score"))),"",1))</f>
        <v/>
      </c>
      <c r="Y112" s="147" t="str">
        <f ca="1">IF(X112=1,V112,"")</f>
        <v/>
      </c>
      <c r="Z112" s="157" t="str">
        <f t="shared" ca="1" si="38"/>
        <v/>
      </c>
      <c r="AA112" s="157" t="str">
        <f t="shared" ca="1" si="38"/>
        <v/>
      </c>
      <c r="AB112" s="157" t="str">
        <f t="shared" ca="1" si="38"/>
        <v/>
      </c>
      <c r="AC112" s="20">
        <f t="shared" ca="1" si="39"/>
        <v>1</v>
      </c>
      <c r="AD112" s="6">
        <f ca="1">N112</f>
        <v>120</v>
      </c>
      <c r="AE112" s="6">
        <f ca="1">IF(OR(AD112="",AD112=0),"",60*U112/AD112)</f>
        <v>2</v>
      </c>
    </row>
    <row r="113" spans="1:31" x14ac:dyDescent="0.25">
      <c r="A113" s="6"/>
      <c r="B113" s="20" t="str">
        <f ca="1">IF($B112="","",IF(INDIRECT(ADDRESS($B112+1,C$1-1,1,,"Score"))="SP",$B112+1,""))</f>
        <v/>
      </c>
      <c r="C113" s="89" t="str">
        <f t="shared" ca="1" si="34"/>
        <v/>
      </c>
      <c r="D113" s="20" t="str">
        <f t="shared" ca="1" si="34"/>
        <v/>
      </c>
      <c r="E113" s="6"/>
      <c r="F113" s="6"/>
      <c r="G113" s="157"/>
      <c r="H113" s="157"/>
      <c r="I113" s="147"/>
      <c r="J113" s="157" t="str">
        <f t="shared" ca="1" si="35"/>
        <v/>
      </c>
      <c r="K113" s="157" t="str">
        <f t="shared" ca="1" si="35"/>
        <v/>
      </c>
      <c r="L113" s="157" t="str">
        <f t="shared" ca="1" si="35"/>
        <v/>
      </c>
      <c r="M113" s="20" t="str">
        <f t="shared" ca="1" si="36"/>
        <v/>
      </c>
      <c r="N113" s="6"/>
      <c r="O113" s="6"/>
      <c r="Q113" s="6"/>
      <c r="R113" s="20" t="str">
        <f ca="1">IF($R112="","",IF(INDIRECT(ADDRESS($R112+1,S$1-1,1,,"Score"))="SP",$R112+1,""))</f>
        <v/>
      </c>
      <c r="S113" s="89" t="str">
        <f t="shared" ca="1" si="37"/>
        <v/>
      </c>
      <c r="T113" s="20" t="str">
        <f t="shared" ca="1" si="37"/>
        <v/>
      </c>
      <c r="U113" s="6"/>
      <c r="V113" s="6"/>
      <c r="W113" s="157"/>
      <c r="X113" s="157"/>
      <c r="Y113" s="147"/>
      <c r="Z113" s="157" t="str">
        <f t="shared" ca="1" si="38"/>
        <v/>
      </c>
      <c r="AA113" s="157" t="str">
        <f t="shared" ca="1" si="38"/>
        <v/>
      </c>
      <c r="AB113" s="157" t="str">
        <f t="shared" ca="1" si="38"/>
        <v/>
      </c>
      <c r="AC113" s="20" t="str">
        <f t="shared" ca="1" si="39"/>
        <v/>
      </c>
      <c r="AD113" s="6"/>
      <c r="AE113" s="6"/>
    </row>
    <row r="114" spans="1:31" x14ac:dyDescent="0.25">
      <c r="A114" s="148">
        <f>A112+1</f>
        <v>14</v>
      </c>
      <c r="B114" s="149">
        <f>IF(ISNA(MATCH($A114,Score!A$46:A$83,0)),"",MATCH($A114,Score!A$46:A$83,0)+ROW(Score!A$45))</f>
        <v>65</v>
      </c>
      <c r="C114" s="150" t="str">
        <f t="shared" ca="1" si="34"/>
        <v>202</v>
      </c>
      <c r="D114" s="149">
        <f t="shared" ca="1" si="34"/>
        <v>5</v>
      </c>
      <c r="E114" s="148">
        <f ca="1">IF(B114="","",SUM(D114,D115))</f>
        <v>5</v>
      </c>
      <c r="F114" s="148">
        <f ca="1">IF(B114="","",E114-U114)</f>
        <v>1</v>
      </c>
      <c r="G114" s="151" t="str">
        <f ca="1">IF($B114="","",IF(ISBLANK(INDIRECT(ADDRESS($B114,G$1,1,,"Score"))),"",1))</f>
        <v/>
      </c>
      <c r="H114" s="151">
        <f ca="1">IF($B114="","",IF(ISBLANK(INDIRECT(ADDRESS($B114,H$1,1,,"Score"))),"",1))</f>
        <v>1</v>
      </c>
      <c r="I114" s="153">
        <f ca="1">IF(H114=1,F114,"")</f>
        <v>1</v>
      </c>
      <c r="J114" s="151">
        <f t="shared" ca="1" si="35"/>
        <v>1</v>
      </c>
      <c r="K114" s="151" t="str">
        <f t="shared" ca="1" si="35"/>
        <v/>
      </c>
      <c r="L114" s="151" t="str">
        <f t="shared" ca="1" si="35"/>
        <v/>
      </c>
      <c r="M114" s="149">
        <f t="shared" ca="1" si="36"/>
        <v>2</v>
      </c>
      <c r="N114" s="6">
        <f ca="1">IF(ISNA(MATCH($A114,'Game Clock'!A$62:A$99,0)),"",INDIRECT(ADDRESS(MATCH($A114,'Game Clock'!A$62:A$99,0)+ROW('Game Clock'!A$61),N$1,1,,"Game Clock")))</f>
        <v>71</v>
      </c>
      <c r="O114" s="148">
        <f ca="1">IF(OR(N114="",N114=0),"",60*E114/N114)</f>
        <v>4.225352112676056</v>
      </c>
      <c r="Q114" s="148">
        <f>Q112+1</f>
        <v>14</v>
      </c>
      <c r="R114" s="149">
        <f>IF(ISNA(MATCH($Q114,Score!T$46:T$83,0)),"",MATCH($Q114,Score!T$46:T$83,0)+ROW(Score!T$45) )</f>
        <v>65</v>
      </c>
      <c r="S114" s="150" t="str">
        <f t="shared" ca="1" si="37"/>
        <v>23</v>
      </c>
      <c r="T114" s="149">
        <f t="shared" ca="1" si="37"/>
        <v>0</v>
      </c>
      <c r="U114" s="148">
        <f ca="1">IF(R114="","",SUM(T114,T115))</f>
        <v>4</v>
      </c>
      <c r="V114" s="148">
        <f ca="1">IF(R114="","",U114-E114)</f>
        <v>-1</v>
      </c>
      <c r="W114" s="151" t="str">
        <f ca="1">IF($R114="","",IF(ISBLANK(INDIRECT(ADDRESS($R114,W$1,1,,"Score"))),"",1))</f>
        <v/>
      </c>
      <c r="X114" s="151" t="str">
        <f ca="1">IF($R114="","",IF(ISBLANK(INDIRECT(ADDRESS($R114,X$1,1,,"Score"))),"",1))</f>
        <v/>
      </c>
      <c r="Y114" s="153" t="str">
        <f ca="1">IF(X114=1,V114,"")</f>
        <v/>
      </c>
      <c r="Z114" s="151" t="str">
        <f t="shared" ca="1" si="38"/>
        <v/>
      </c>
      <c r="AA114" s="151" t="str">
        <f t="shared" ca="1" si="38"/>
        <v/>
      </c>
      <c r="AB114" s="151">
        <f t="shared" ca="1" si="38"/>
        <v>1</v>
      </c>
      <c r="AC114" s="149">
        <f t="shared" ca="1" si="39"/>
        <v>0</v>
      </c>
      <c r="AD114" s="148">
        <f ca="1">N114</f>
        <v>71</v>
      </c>
      <c r="AE114" s="148">
        <f ca="1">IF(OR(AD114="",AD114=0),"",60*U114/AD114)</f>
        <v>3.380281690140845</v>
      </c>
    </row>
    <row r="115" spans="1:31" x14ac:dyDescent="0.3">
      <c r="A115" s="148"/>
      <c r="B115" s="149" t="str">
        <f ca="1">IF($B114="","",IF(INDIRECT(ADDRESS($B114+1,C$1-1,1,,"Score"))="SP",$B114+1,""))</f>
        <v/>
      </c>
      <c r="C115" s="150" t="str">
        <f t="shared" ca="1" si="34"/>
        <v/>
      </c>
      <c r="D115" s="149" t="str">
        <f t="shared" ca="1" si="34"/>
        <v/>
      </c>
      <c r="E115" s="148"/>
      <c r="F115" s="148"/>
      <c r="G115" s="151"/>
      <c r="H115" s="152"/>
      <c r="I115" s="153"/>
      <c r="J115" s="151" t="str">
        <f t="shared" ca="1" si="35"/>
        <v/>
      </c>
      <c r="K115" s="151" t="str">
        <f t="shared" ca="1" si="35"/>
        <v/>
      </c>
      <c r="L115" s="151" t="str">
        <f t="shared" ca="1" si="35"/>
        <v/>
      </c>
      <c r="M115" s="149" t="str">
        <f t="shared" ca="1" si="36"/>
        <v/>
      </c>
      <c r="N115" s="148"/>
      <c r="O115" s="148"/>
      <c r="Q115" s="148"/>
      <c r="R115" s="149">
        <f ca="1">IF($R114="","",IF(INDIRECT(ADDRESS($R114+1,S$1-1,1,,"Score"))="SP",$R114+1,""))</f>
        <v>66</v>
      </c>
      <c r="S115" s="150" t="str">
        <f t="shared" ca="1" si="37"/>
        <v>800</v>
      </c>
      <c r="T115" s="149">
        <f t="shared" ca="1" si="37"/>
        <v>4</v>
      </c>
      <c r="U115" s="148"/>
      <c r="V115" s="148"/>
      <c r="W115" s="151"/>
      <c r="X115" s="152"/>
      <c r="Y115" s="153"/>
      <c r="Z115" s="151" t="str">
        <f t="shared" ca="1" si="38"/>
        <v/>
      </c>
      <c r="AA115" s="151" t="str">
        <f t="shared" ca="1" si="38"/>
        <v/>
      </c>
      <c r="AB115" s="151" t="str">
        <f t="shared" ca="1" si="38"/>
        <v/>
      </c>
      <c r="AC115" s="149">
        <f t="shared" ca="1" si="39"/>
        <v>2</v>
      </c>
      <c r="AD115" s="148"/>
      <c r="AE115" s="148"/>
    </row>
    <row r="116" spans="1:31" x14ac:dyDescent="0.25">
      <c r="A116" s="6">
        <f>A114+1</f>
        <v>15</v>
      </c>
      <c r="B116" s="20">
        <f>IF(ISNA(MATCH($A116,Score!A$46:A$83,0)),"",MATCH($A116,Score!A$46:A$83,0)+ROW(Score!A$45))</f>
        <v>67</v>
      </c>
      <c r="C116" s="89" t="str">
        <f t="shared" ca="1" si="34"/>
        <v>123</v>
      </c>
      <c r="D116" s="20">
        <f t="shared" ca="1" si="34"/>
        <v>0</v>
      </c>
      <c r="E116" s="6">
        <f ca="1">IF(B116="","",SUM(D116,D117))</f>
        <v>0</v>
      </c>
      <c r="F116" s="6">
        <f ca="1">IF(B116="","",E116-U116)</f>
        <v>-4</v>
      </c>
      <c r="G116" s="157" t="str">
        <f ca="1">IF($B116="","",IF(ISBLANK(INDIRECT(ADDRESS($B116,G$1,1,,"Score"))),"",1))</f>
        <v/>
      </c>
      <c r="H116" s="157" t="str">
        <f ca="1">IF($B116="","",IF(ISBLANK(INDIRECT(ADDRESS($B116,H$1,1,,"Score"))),"",1))</f>
        <v/>
      </c>
      <c r="I116" s="147" t="str">
        <f ca="1">IF(H116=1,F116,"")</f>
        <v/>
      </c>
      <c r="J116" s="157" t="str">
        <f t="shared" ca="1" si="35"/>
        <v/>
      </c>
      <c r="K116" s="157" t="str">
        <f t="shared" ca="1" si="35"/>
        <v/>
      </c>
      <c r="L116" s="157" t="str">
        <f t="shared" ca="1" si="35"/>
        <v/>
      </c>
      <c r="M116" s="20">
        <f t="shared" ca="1" si="36"/>
        <v>1</v>
      </c>
      <c r="N116" s="6">
        <f ca="1">IF(ISNA(MATCH($A116,'Game Clock'!A$62:A$99,0)),"",INDIRECT(ADDRESS(MATCH($A116,'Game Clock'!A$62:A$99,0)+ROW('Game Clock'!A$61),N$1,1,,"Game Clock")))</f>
        <v>30</v>
      </c>
      <c r="O116" s="6">
        <f ca="1">IF(OR(N116="",N116=0),"",60*E116/N116)</f>
        <v>0</v>
      </c>
      <c r="Q116" s="6">
        <f>Q114+1</f>
        <v>15</v>
      </c>
      <c r="R116" s="20">
        <f>IF(ISNA(MATCH($Q116,Score!T$46:T$83,0)),"",MATCH($Q116,Score!T$46:T$83,0)+ROW(Score!T$45) )</f>
        <v>67</v>
      </c>
      <c r="S116" s="89" t="str">
        <f t="shared" ca="1" si="37"/>
        <v>12</v>
      </c>
      <c r="T116" s="20">
        <f t="shared" ca="1" si="37"/>
        <v>4</v>
      </c>
      <c r="U116" s="6">
        <f ca="1">IF(R116="","",SUM(T116,T117))</f>
        <v>4</v>
      </c>
      <c r="V116" s="6">
        <f ca="1">IF(R116="","",U116-E116)</f>
        <v>4</v>
      </c>
      <c r="W116" s="157" t="str">
        <f ca="1">IF($R116="","",IF(ISBLANK(INDIRECT(ADDRESS($R116,W$1,1,,"Score"))),"",1))</f>
        <v/>
      </c>
      <c r="X116" s="157">
        <f ca="1">IF($R116="","",IF(ISBLANK(INDIRECT(ADDRESS($R116,X$1,1,,"Score"))),"",1))</f>
        <v>1</v>
      </c>
      <c r="Y116" s="147">
        <f ca="1">IF(X116=1,V116,"")</f>
        <v>4</v>
      </c>
      <c r="Z116" s="157">
        <f t="shared" ca="1" si="38"/>
        <v>1</v>
      </c>
      <c r="AA116" s="157" t="str">
        <f t="shared" ca="1" si="38"/>
        <v/>
      </c>
      <c r="AB116" s="157" t="str">
        <f t="shared" ca="1" si="38"/>
        <v/>
      </c>
      <c r="AC116" s="20">
        <f t="shared" ca="1" si="39"/>
        <v>2</v>
      </c>
      <c r="AD116" s="6">
        <f ca="1">N116</f>
        <v>30</v>
      </c>
      <c r="AE116" s="6">
        <f ca="1">IF(OR(AD116="",AD116=0),"",60*U116/AD116)</f>
        <v>8</v>
      </c>
    </row>
    <row r="117" spans="1:31" x14ac:dyDescent="0.25">
      <c r="A117" s="6"/>
      <c r="B117" s="20" t="str">
        <f ca="1">IF($B116="","",IF(INDIRECT(ADDRESS($B116+1,C$1-1,1,,"Score"))="SP",$B116+1,""))</f>
        <v/>
      </c>
      <c r="C117" s="89" t="str">
        <f t="shared" ca="1" si="34"/>
        <v/>
      </c>
      <c r="D117" s="20" t="str">
        <f t="shared" ca="1" si="34"/>
        <v/>
      </c>
      <c r="E117" s="6"/>
      <c r="F117" s="6"/>
      <c r="G117" s="157"/>
      <c r="H117" s="157"/>
      <c r="I117" s="147"/>
      <c r="J117" s="157" t="str">
        <f t="shared" ca="1" si="35"/>
        <v/>
      </c>
      <c r="K117" s="157" t="str">
        <f t="shared" ca="1" si="35"/>
        <v/>
      </c>
      <c r="L117" s="157" t="str">
        <f t="shared" ca="1" si="35"/>
        <v/>
      </c>
      <c r="M117" s="20" t="str">
        <f t="shared" ca="1" si="36"/>
        <v/>
      </c>
      <c r="N117" s="6"/>
      <c r="O117" s="6"/>
      <c r="Q117" s="6"/>
      <c r="R117" s="20" t="str">
        <f ca="1">IF($R116="","",IF(INDIRECT(ADDRESS($R116+1,S$1-1,1,,"Score"))="SP",$R116+1,""))</f>
        <v/>
      </c>
      <c r="S117" s="89" t="str">
        <f t="shared" ca="1" si="37"/>
        <v/>
      </c>
      <c r="T117" s="20" t="str">
        <f t="shared" ca="1" si="37"/>
        <v/>
      </c>
      <c r="U117" s="6"/>
      <c r="V117" s="6"/>
      <c r="W117" s="157"/>
      <c r="X117" s="157"/>
      <c r="Y117" s="147"/>
      <c r="Z117" s="157" t="str">
        <f t="shared" ca="1" si="38"/>
        <v/>
      </c>
      <c r="AA117" s="157" t="str">
        <f t="shared" ca="1" si="38"/>
        <v/>
      </c>
      <c r="AB117" s="157" t="str">
        <f t="shared" ca="1" si="38"/>
        <v/>
      </c>
      <c r="AC117" s="20" t="str">
        <f t="shared" ca="1" si="39"/>
        <v/>
      </c>
      <c r="AD117" s="6"/>
      <c r="AE117" s="6"/>
    </row>
    <row r="118" spans="1:31" x14ac:dyDescent="0.25">
      <c r="A118" s="148">
        <f>A116+1</f>
        <v>16</v>
      </c>
      <c r="B118" s="149">
        <f>IF(ISNA(MATCH($A118,Score!A$46:A$83,0)),"",MATCH($A118,Score!A$46:A$83,0)+ROW(Score!A$45))</f>
        <v>68</v>
      </c>
      <c r="C118" s="150" t="str">
        <f t="shared" ca="1" si="34"/>
        <v>352</v>
      </c>
      <c r="D118" s="149">
        <f t="shared" ca="1" si="34"/>
        <v>9</v>
      </c>
      <c r="E118" s="148">
        <f ca="1">IF(B118="","",SUM(D118,D119))</f>
        <v>9</v>
      </c>
      <c r="F118" s="148">
        <f ca="1">IF(B118="","",E118-U118)</f>
        <v>1</v>
      </c>
      <c r="G118" s="151" t="str">
        <f ca="1">IF($B118="","",IF(ISBLANK(INDIRECT(ADDRESS($B118,G$1,1,,"Score"))),"",1))</f>
        <v/>
      </c>
      <c r="H118" s="151" t="str">
        <f ca="1">IF($B118="","",IF(ISBLANK(INDIRECT(ADDRESS($B118,H$1,1,,"Score"))),"",1))</f>
        <v/>
      </c>
      <c r="I118" s="153" t="str">
        <f ca="1">IF(H118=1,F118,"")</f>
        <v/>
      </c>
      <c r="J118" s="151" t="str">
        <f t="shared" ca="1" si="35"/>
        <v/>
      </c>
      <c r="K118" s="151" t="str">
        <f t="shared" ca="1" si="35"/>
        <v/>
      </c>
      <c r="L118" s="151" t="str">
        <f t="shared" ca="1" si="35"/>
        <v/>
      </c>
      <c r="M118" s="149">
        <f t="shared" ca="1" si="36"/>
        <v>3</v>
      </c>
      <c r="N118" s="6">
        <f ca="1">IF(ISNA(MATCH($A118,'Game Clock'!A$62:A$99,0)),"",INDIRECT(ADDRESS(MATCH($A118,'Game Clock'!A$62:A$99,0)+ROW('Game Clock'!A$61),N$1,1,,"Game Clock")))</f>
        <v>120</v>
      </c>
      <c r="O118" s="148">
        <f ca="1">IF(OR(N118="",N118=0),"",60*E118/N118)</f>
        <v>4.5</v>
      </c>
      <c r="Q118" s="148">
        <f>Q116+1</f>
        <v>16</v>
      </c>
      <c r="R118" s="149">
        <f>IF(ISNA(MATCH($Q118,Score!T$46:T$83,0)),"",MATCH($Q118,Score!T$46:T$83,0)+ROW(Score!T$45) )</f>
        <v>68</v>
      </c>
      <c r="S118" s="150" t="str">
        <f t="shared" ca="1" si="37"/>
        <v>12</v>
      </c>
      <c r="T118" s="149">
        <f t="shared" ca="1" si="37"/>
        <v>8</v>
      </c>
      <c r="U118" s="148">
        <f ca="1">IF(R118="","",SUM(T118,T119))</f>
        <v>8</v>
      </c>
      <c r="V118" s="148">
        <f ca="1">IF(R118="","",U118-E118)</f>
        <v>-1</v>
      </c>
      <c r="W118" s="151">
        <f ca="1">IF($R118="","",IF(ISBLANK(INDIRECT(ADDRESS($R118,W$1,1,,"Score"))),"",1))</f>
        <v>1</v>
      </c>
      <c r="X118" s="151">
        <f ca="1">IF($R118="","",IF(ISBLANK(INDIRECT(ADDRESS($R118,X$1,1,,"Score"))),"",1))</f>
        <v>1</v>
      </c>
      <c r="Y118" s="153">
        <f ca="1">IF(X118=1,V118,"")</f>
        <v>-1</v>
      </c>
      <c r="Z118" s="151" t="str">
        <f t="shared" ca="1" si="38"/>
        <v/>
      </c>
      <c r="AA118" s="151" t="str">
        <f t="shared" ca="1" si="38"/>
        <v/>
      </c>
      <c r="AB118" s="151" t="str">
        <f t="shared" ca="1" si="38"/>
        <v/>
      </c>
      <c r="AC118" s="149">
        <f t="shared" ca="1" si="39"/>
        <v>3</v>
      </c>
      <c r="AD118" s="148">
        <f ca="1">N118</f>
        <v>120</v>
      </c>
      <c r="AE118" s="148">
        <f ca="1">IF(OR(AD118="",AD118=0),"",60*U118/AD118)</f>
        <v>4</v>
      </c>
    </row>
    <row r="119" spans="1:31" x14ac:dyDescent="0.3">
      <c r="A119" s="148"/>
      <c r="B119" s="149" t="str">
        <f ca="1">IF($B118="","",IF(INDIRECT(ADDRESS($B118+1,C$1-1,1,,"Score"))="SP",$B118+1,""))</f>
        <v/>
      </c>
      <c r="C119" s="150" t="str">
        <f t="shared" ca="1" si="34"/>
        <v/>
      </c>
      <c r="D119" s="149" t="str">
        <f t="shared" ca="1" si="34"/>
        <v/>
      </c>
      <c r="E119" s="148"/>
      <c r="F119" s="148"/>
      <c r="G119" s="151"/>
      <c r="H119" s="152"/>
      <c r="I119" s="153"/>
      <c r="J119" s="151" t="str">
        <f t="shared" ca="1" si="35"/>
        <v/>
      </c>
      <c r="K119" s="151" t="str">
        <f t="shared" ca="1" si="35"/>
        <v/>
      </c>
      <c r="L119" s="151" t="str">
        <f t="shared" ca="1" si="35"/>
        <v/>
      </c>
      <c r="M119" s="149" t="str">
        <f t="shared" ca="1" si="36"/>
        <v/>
      </c>
      <c r="N119" s="148"/>
      <c r="O119" s="148"/>
      <c r="Q119" s="148"/>
      <c r="R119" s="149" t="str">
        <f ca="1">IF($R118="","",IF(INDIRECT(ADDRESS($R118+1,S$1-1,1,,"Score"))="SP",$R118+1,""))</f>
        <v/>
      </c>
      <c r="S119" s="150" t="str">
        <f t="shared" ca="1" si="37"/>
        <v/>
      </c>
      <c r="T119" s="149" t="str">
        <f t="shared" ca="1" si="37"/>
        <v/>
      </c>
      <c r="U119" s="148"/>
      <c r="V119" s="148"/>
      <c r="W119" s="151"/>
      <c r="X119" s="152"/>
      <c r="Y119" s="153"/>
      <c r="Z119" s="151" t="str">
        <f t="shared" ca="1" si="38"/>
        <v/>
      </c>
      <c r="AA119" s="151" t="str">
        <f t="shared" ca="1" si="38"/>
        <v/>
      </c>
      <c r="AB119" s="151" t="str">
        <f t="shared" ca="1" si="38"/>
        <v/>
      </c>
      <c r="AC119" s="149" t="str">
        <f t="shared" ca="1" si="39"/>
        <v/>
      </c>
      <c r="AD119" s="148"/>
      <c r="AE119" s="148"/>
    </row>
    <row r="120" spans="1:31" x14ac:dyDescent="0.25">
      <c r="A120" s="6">
        <f>A118+1</f>
        <v>17</v>
      </c>
      <c r="B120" s="20" t="str">
        <f>IF(ISNA(MATCH($A120,Score!A$46:A$83,0)),"",MATCH($A120,Score!A$46:A$83,0)+ROW(Score!A$45))</f>
        <v/>
      </c>
      <c r="C120" s="89" t="str">
        <f t="shared" ca="1" si="34"/>
        <v/>
      </c>
      <c r="D120" s="20" t="str">
        <f t="shared" ca="1" si="34"/>
        <v/>
      </c>
      <c r="E120" s="6" t="str">
        <f>IF(B120="","",SUM(D120,D121))</f>
        <v/>
      </c>
      <c r="F120" s="6" t="str">
        <f>IF(B120="","",E120-U120)</f>
        <v/>
      </c>
      <c r="G120" s="157" t="str">
        <f ca="1">IF($B120="","",IF(ISBLANK(INDIRECT(ADDRESS($B120,G$1,1,,"Score"))),"",1))</f>
        <v/>
      </c>
      <c r="H120" s="157" t="str">
        <f ca="1">IF($B120="","",IF(ISBLANK(INDIRECT(ADDRESS($B120,H$1,1,,"Score"))),"",1))</f>
        <v/>
      </c>
      <c r="I120" s="147" t="str">
        <f ca="1">IF(H120=1,F120,"")</f>
        <v/>
      </c>
      <c r="J120" s="157" t="str">
        <f t="shared" ca="1" si="35"/>
        <v/>
      </c>
      <c r="K120" s="157" t="str">
        <f t="shared" ca="1" si="35"/>
        <v/>
      </c>
      <c r="L120" s="157" t="str">
        <f t="shared" ca="1" si="35"/>
        <v/>
      </c>
      <c r="M120" s="20" t="str">
        <f t="shared" ca="1" si="36"/>
        <v/>
      </c>
      <c r="N120" s="6" t="str">
        <f ca="1">IF(ISNA(MATCH($A120,'Game Clock'!A$62:A$99,0)),"",INDIRECT(ADDRESS(MATCH($A120,'Game Clock'!A$62:A$99,0)+ROW('Game Clock'!A$61),N$1,1,,"Game Clock")))</f>
        <v/>
      </c>
      <c r="O120" s="6" t="str">
        <f ca="1">IF(OR(N120="",N120=0),"",60*E120/N120)</f>
        <v/>
      </c>
      <c r="Q120" s="6">
        <f>Q118+1</f>
        <v>17</v>
      </c>
      <c r="R120" s="20" t="str">
        <f>IF(ISNA(MATCH($Q120,Score!T$46:T$83,0)),"",MATCH($Q120,Score!T$46:T$83,0)+ROW(Score!T$45) )</f>
        <v/>
      </c>
      <c r="S120" s="89" t="str">
        <f t="shared" ca="1" si="37"/>
        <v/>
      </c>
      <c r="T120" s="20" t="str">
        <f t="shared" ca="1" si="37"/>
        <v/>
      </c>
      <c r="U120" s="6" t="str">
        <f>IF(R120="","",SUM(T120,T121))</f>
        <v/>
      </c>
      <c r="V120" s="6" t="str">
        <f>IF(R120="","",U120-E120)</f>
        <v/>
      </c>
      <c r="W120" s="157" t="str">
        <f ca="1">IF($R120="","",IF(ISBLANK(INDIRECT(ADDRESS($R120,W$1,1,,"Score"))),"",1))</f>
        <v/>
      </c>
      <c r="X120" s="157" t="str">
        <f ca="1">IF($R120="","",IF(ISBLANK(INDIRECT(ADDRESS($R120,X$1,1,,"Score"))),"",1))</f>
        <v/>
      </c>
      <c r="Y120" s="147" t="str">
        <f ca="1">IF(X120=1,V120,"")</f>
        <v/>
      </c>
      <c r="Z120" s="157" t="str">
        <f t="shared" ca="1" si="38"/>
        <v/>
      </c>
      <c r="AA120" s="157" t="str">
        <f t="shared" ca="1" si="38"/>
        <v/>
      </c>
      <c r="AB120" s="157" t="str">
        <f t="shared" ca="1" si="38"/>
        <v/>
      </c>
      <c r="AC120" s="20" t="str">
        <f t="shared" ca="1" si="39"/>
        <v/>
      </c>
      <c r="AD120" s="6" t="str">
        <f ca="1">N120</f>
        <v/>
      </c>
      <c r="AE120" s="6" t="str">
        <f ca="1">IF(OR(AD120="",AD120=0),"",60*U120/AD120)</f>
        <v/>
      </c>
    </row>
    <row r="121" spans="1:31" x14ac:dyDescent="0.25">
      <c r="A121" s="6"/>
      <c r="B121" s="20" t="str">
        <f ca="1">IF($B120="","",IF(INDIRECT(ADDRESS($B120+1,C$1-1,1,,"Score"))="SP",$B120+1,""))</f>
        <v/>
      </c>
      <c r="C121" s="89" t="str">
        <f t="shared" ca="1" si="34"/>
        <v/>
      </c>
      <c r="D121" s="20" t="str">
        <f t="shared" ca="1" si="34"/>
        <v/>
      </c>
      <c r="E121" s="6"/>
      <c r="F121" s="6"/>
      <c r="G121" s="157"/>
      <c r="H121" s="157"/>
      <c r="I121" s="147"/>
      <c r="J121" s="157" t="str">
        <f t="shared" ca="1" si="35"/>
        <v/>
      </c>
      <c r="K121" s="157" t="str">
        <f t="shared" ca="1" si="35"/>
        <v/>
      </c>
      <c r="L121" s="157" t="str">
        <f t="shared" ca="1" si="35"/>
        <v/>
      </c>
      <c r="M121" s="20" t="str">
        <f t="shared" ca="1" si="36"/>
        <v/>
      </c>
      <c r="N121" s="6"/>
      <c r="O121" s="6"/>
      <c r="Q121" s="6"/>
      <c r="R121" s="20" t="str">
        <f ca="1">IF($R120="","",IF(INDIRECT(ADDRESS($R120+1,S$1-1,1,,"Score"))="SP",$R120+1,""))</f>
        <v/>
      </c>
      <c r="S121" s="89" t="str">
        <f t="shared" ca="1" si="37"/>
        <v/>
      </c>
      <c r="T121" s="20" t="str">
        <f t="shared" ca="1" si="37"/>
        <v/>
      </c>
      <c r="U121" s="6"/>
      <c r="V121" s="6"/>
      <c r="W121" s="157"/>
      <c r="X121" s="157"/>
      <c r="Y121" s="147"/>
      <c r="Z121" s="157" t="str">
        <f t="shared" ca="1" si="38"/>
        <v/>
      </c>
      <c r="AA121" s="157" t="str">
        <f t="shared" ca="1" si="38"/>
        <v/>
      </c>
      <c r="AB121" s="157" t="str">
        <f t="shared" ca="1" si="38"/>
        <v/>
      </c>
      <c r="AC121" s="20" t="str">
        <f t="shared" ca="1" si="39"/>
        <v/>
      </c>
      <c r="AD121" s="6"/>
      <c r="AE121" s="6"/>
    </row>
    <row r="122" spans="1:31" x14ac:dyDescent="0.25">
      <c r="A122" s="148">
        <f>A120+1</f>
        <v>18</v>
      </c>
      <c r="B122" s="149" t="str">
        <f>IF(ISNA(MATCH($A122,Score!A$46:A$83,0)),"",MATCH($A122,Score!A$46:A$83,0)+ROW(Score!A$45))</f>
        <v/>
      </c>
      <c r="C122" s="150" t="str">
        <f t="shared" ca="1" si="34"/>
        <v/>
      </c>
      <c r="D122" s="149" t="str">
        <f t="shared" ca="1" si="34"/>
        <v/>
      </c>
      <c r="E122" s="148" t="str">
        <f>IF(B122="","",SUM(D122,D123))</f>
        <v/>
      </c>
      <c r="F122" s="148" t="str">
        <f>IF(B122="","",E122-U122)</f>
        <v/>
      </c>
      <c r="G122" s="151" t="str">
        <f ca="1">IF($B122="","",IF(ISBLANK(INDIRECT(ADDRESS($B122,G$1,1,,"Score"))),"",1))</f>
        <v/>
      </c>
      <c r="H122" s="151" t="str">
        <f ca="1">IF($B122="","",IF(ISBLANK(INDIRECT(ADDRESS($B122,H$1,1,,"Score"))),"",1))</f>
        <v/>
      </c>
      <c r="I122" s="153" t="str">
        <f ca="1">IF(H122=1,F122,"")</f>
        <v/>
      </c>
      <c r="J122" s="151" t="str">
        <f t="shared" ca="1" si="35"/>
        <v/>
      </c>
      <c r="K122" s="151" t="str">
        <f t="shared" ca="1" si="35"/>
        <v/>
      </c>
      <c r="L122" s="151" t="str">
        <f t="shared" ca="1" si="35"/>
        <v/>
      </c>
      <c r="M122" s="149" t="str">
        <f t="shared" ca="1" si="36"/>
        <v/>
      </c>
      <c r="N122" s="6" t="str">
        <f ca="1">IF(ISNA(MATCH($A122,'Game Clock'!A$62:A$99,0)),"",INDIRECT(ADDRESS(MATCH($A122,'Game Clock'!A$62:A$99,0)+ROW('Game Clock'!A$61),N$1,1,,"Game Clock")))</f>
        <v/>
      </c>
      <c r="O122" s="148" t="str">
        <f ca="1">IF(OR(N122="",N122=0),"",60*E122/N122)</f>
        <v/>
      </c>
      <c r="Q122" s="148">
        <f>Q120+1</f>
        <v>18</v>
      </c>
      <c r="R122" s="149" t="str">
        <f>IF(ISNA(MATCH($Q122,Score!T$46:T$83,0)),"",MATCH($Q122,Score!T$46:T$83,0)+ROW(Score!T$45) )</f>
        <v/>
      </c>
      <c r="S122" s="150" t="str">
        <f t="shared" ca="1" si="37"/>
        <v/>
      </c>
      <c r="T122" s="149" t="str">
        <f t="shared" ca="1" si="37"/>
        <v/>
      </c>
      <c r="U122" s="148" t="str">
        <f>IF(R122="","",SUM(T122,T123))</f>
        <v/>
      </c>
      <c r="V122" s="148" t="str">
        <f>IF(R122="","",U122-E122)</f>
        <v/>
      </c>
      <c r="W122" s="151" t="str">
        <f ca="1">IF($R122="","",IF(ISBLANK(INDIRECT(ADDRESS($R122,W$1,1,,"Score"))),"",1))</f>
        <v/>
      </c>
      <c r="X122" s="151" t="str">
        <f ca="1">IF($R122="","",IF(ISBLANK(INDIRECT(ADDRESS($R122,X$1,1,,"Score"))),"",1))</f>
        <v/>
      </c>
      <c r="Y122" s="153" t="str">
        <f ca="1">IF(X122=1,V122,"")</f>
        <v/>
      </c>
      <c r="Z122" s="151" t="str">
        <f t="shared" ca="1" si="38"/>
        <v/>
      </c>
      <c r="AA122" s="151" t="str">
        <f t="shared" ca="1" si="38"/>
        <v/>
      </c>
      <c r="AB122" s="151" t="str">
        <f t="shared" ca="1" si="38"/>
        <v/>
      </c>
      <c r="AC122" s="149" t="str">
        <f t="shared" ca="1" si="39"/>
        <v/>
      </c>
      <c r="AD122" s="148" t="str">
        <f ca="1">N122</f>
        <v/>
      </c>
      <c r="AE122" s="148" t="str">
        <f ca="1">IF(OR(AD122="",AD122=0),"",60*U122/AD122)</f>
        <v/>
      </c>
    </row>
    <row r="123" spans="1:31" x14ac:dyDescent="0.3">
      <c r="A123" s="148"/>
      <c r="B123" s="149" t="str">
        <f ca="1">IF($B122="","",IF(INDIRECT(ADDRESS($B122+1,C$1-1,1,,"Score"))="SP",$B122+1,""))</f>
        <v/>
      </c>
      <c r="C123" s="150" t="str">
        <f t="shared" ca="1" si="34"/>
        <v/>
      </c>
      <c r="D123" s="149" t="str">
        <f t="shared" ca="1" si="34"/>
        <v/>
      </c>
      <c r="E123" s="148"/>
      <c r="F123" s="148"/>
      <c r="G123" s="151"/>
      <c r="H123" s="152"/>
      <c r="I123" s="153"/>
      <c r="J123" s="151" t="str">
        <f t="shared" ca="1" si="35"/>
        <v/>
      </c>
      <c r="K123" s="151" t="str">
        <f t="shared" ca="1" si="35"/>
        <v/>
      </c>
      <c r="L123" s="151" t="str">
        <f t="shared" ca="1" si="35"/>
        <v/>
      </c>
      <c r="M123" s="149" t="str">
        <f t="shared" ca="1" si="36"/>
        <v/>
      </c>
      <c r="N123" s="148"/>
      <c r="O123" s="148"/>
      <c r="Q123" s="148"/>
      <c r="R123" s="149" t="str">
        <f ca="1">IF($R122="","",IF(INDIRECT(ADDRESS($R122+1,S$1-1,1,,"Score"))="SP",$R122+1,""))</f>
        <v/>
      </c>
      <c r="S123" s="150" t="str">
        <f t="shared" ca="1" si="37"/>
        <v/>
      </c>
      <c r="T123" s="149" t="str">
        <f t="shared" ca="1" si="37"/>
        <v/>
      </c>
      <c r="U123" s="148"/>
      <c r="V123" s="148"/>
      <c r="W123" s="151"/>
      <c r="X123" s="152"/>
      <c r="Y123" s="153"/>
      <c r="Z123" s="151" t="str">
        <f t="shared" ca="1" si="38"/>
        <v/>
      </c>
      <c r="AA123" s="151" t="str">
        <f t="shared" ca="1" si="38"/>
        <v/>
      </c>
      <c r="AB123" s="151" t="str">
        <f t="shared" ca="1" si="38"/>
        <v/>
      </c>
      <c r="AC123" s="149" t="str">
        <f t="shared" ca="1" si="39"/>
        <v/>
      </c>
      <c r="AD123" s="148"/>
      <c r="AE123" s="148"/>
    </row>
    <row r="124" spans="1:31" x14ac:dyDescent="0.25">
      <c r="A124" s="6">
        <f>A122+1</f>
        <v>19</v>
      </c>
      <c r="B124" s="20" t="str">
        <f>IF(ISNA(MATCH($A124,Score!A$46:A$83,0)),"",MATCH($A124,Score!A$46:A$83,0)+ROW(Score!A$45))</f>
        <v/>
      </c>
      <c r="C124" s="89" t="str">
        <f t="shared" ca="1" si="34"/>
        <v/>
      </c>
      <c r="D124" s="20" t="str">
        <f t="shared" ca="1" si="34"/>
        <v/>
      </c>
      <c r="E124" s="6" t="str">
        <f>IF(B124="","",SUM(D124,D125))</f>
        <v/>
      </c>
      <c r="F124" s="6" t="str">
        <f>IF(B124="","",E124-U124)</f>
        <v/>
      </c>
      <c r="G124" s="157" t="str">
        <f ca="1">IF($B124="","",IF(ISBLANK(INDIRECT(ADDRESS($B124,G$1,1,,"Score"))),"",1))</f>
        <v/>
      </c>
      <c r="H124" s="157" t="str">
        <f ca="1">IF($B124="","",IF(ISBLANK(INDIRECT(ADDRESS($B124,H$1,1,,"Score"))),"",1))</f>
        <v/>
      </c>
      <c r="I124" s="147" t="str">
        <f ca="1">IF(H124=1,F124,"")</f>
        <v/>
      </c>
      <c r="J124" s="157" t="str">
        <f t="shared" ca="1" si="35"/>
        <v/>
      </c>
      <c r="K124" s="157" t="str">
        <f t="shared" ca="1" si="35"/>
        <v/>
      </c>
      <c r="L124" s="157" t="str">
        <f t="shared" ca="1" si="35"/>
        <v/>
      </c>
      <c r="M124" s="20" t="str">
        <f t="shared" ca="1" si="36"/>
        <v/>
      </c>
      <c r="N124" s="6" t="str">
        <f ca="1">IF(ISNA(MATCH($A124,'Game Clock'!A$62:A$99,0)),"",INDIRECT(ADDRESS(MATCH($A124,'Game Clock'!A$62:A$99,0)+ROW('Game Clock'!A$61),N$1,1,,"Game Clock")))</f>
        <v/>
      </c>
      <c r="O124" s="6" t="str">
        <f ca="1">IF(OR(N124="",N124=0),"",60*E124/N124)</f>
        <v/>
      </c>
      <c r="Q124" s="6">
        <f>Q122+1</f>
        <v>19</v>
      </c>
      <c r="R124" s="20" t="str">
        <f>IF(ISNA(MATCH($Q124,Score!T$46:T$83,0)),"",MATCH($Q124,Score!T$46:T$83,0)+ROW(Score!T$45) )</f>
        <v/>
      </c>
      <c r="S124" s="89" t="str">
        <f t="shared" ca="1" si="37"/>
        <v/>
      </c>
      <c r="T124" s="20" t="str">
        <f t="shared" ca="1" si="37"/>
        <v/>
      </c>
      <c r="U124" s="6" t="str">
        <f>IF(R124="","",SUM(T124,T125))</f>
        <v/>
      </c>
      <c r="V124" s="6" t="str">
        <f>IF(R124="","",U124-E124)</f>
        <v/>
      </c>
      <c r="W124" s="157" t="str">
        <f ca="1">IF($R124="","",IF(ISBLANK(INDIRECT(ADDRESS($R124,W$1,1,,"Score"))),"",1))</f>
        <v/>
      </c>
      <c r="X124" s="157" t="str">
        <f ca="1">IF($R124="","",IF(ISBLANK(INDIRECT(ADDRESS($R124,X$1,1,,"Score"))),"",1))</f>
        <v/>
      </c>
      <c r="Y124" s="147" t="str">
        <f ca="1">IF(X124=1,V124,"")</f>
        <v/>
      </c>
      <c r="Z124" s="157" t="str">
        <f t="shared" ca="1" si="38"/>
        <v/>
      </c>
      <c r="AA124" s="157" t="str">
        <f t="shared" ca="1" si="38"/>
        <v/>
      </c>
      <c r="AB124" s="157" t="str">
        <f t="shared" ca="1" si="38"/>
        <v/>
      </c>
      <c r="AC124" s="20" t="str">
        <f t="shared" ca="1" si="39"/>
        <v/>
      </c>
      <c r="AD124" s="6" t="str">
        <f ca="1">N124</f>
        <v/>
      </c>
      <c r="AE124" s="6" t="str">
        <f ca="1">IF(OR(AD124="",AD124=0),"",60*U124/AD124)</f>
        <v/>
      </c>
    </row>
    <row r="125" spans="1:31" x14ac:dyDescent="0.25">
      <c r="A125" s="6"/>
      <c r="B125" s="20" t="str">
        <f ca="1">IF($B124="","",IF(INDIRECT(ADDRESS($B124+1,C$1-1,1,,"Score"))="SP",$B124+1,""))</f>
        <v/>
      </c>
      <c r="C125" s="89" t="str">
        <f t="shared" ca="1" si="34"/>
        <v/>
      </c>
      <c r="D125" s="20" t="str">
        <f t="shared" ca="1" si="34"/>
        <v/>
      </c>
      <c r="E125" s="6"/>
      <c r="F125" s="6"/>
      <c r="G125" s="157"/>
      <c r="H125" s="157"/>
      <c r="I125" s="147"/>
      <c r="J125" s="157" t="str">
        <f t="shared" ca="1" si="35"/>
        <v/>
      </c>
      <c r="K125" s="157" t="str">
        <f t="shared" ca="1" si="35"/>
        <v/>
      </c>
      <c r="L125" s="157" t="str">
        <f t="shared" ca="1" si="35"/>
        <v/>
      </c>
      <c r="M125" s="20" t="str">
        <f t="shared" ca="1" si="36"/>
        <v/>
      </c>
      <c r="N125" s="6"/>
      <c r="O125" s="6"/>
      <c r="Q125" s="6"/>
      <c r="R125" s="20" t="str">
        <f ca="1">IF($R124="","",IF(INDIRECT(ADDRESS($R124+1,S$1-1,1,,"Score"))="SP",$R124+1,""))</f>
        <v/>
      </c>
      <c r="S125" s="89" t="str">
        <f t="shared" ca="1" si="37"/>
        <v/>
      </c>
      <c r="T125" s="20" t="str">
        <f t="shared" ca="1" si="37"/>
        <v/>
      </c>
      <c r="U125" s="6"/>
      <c r="V125" s="6"/>
      <c r="W125" s="157"/>
      <c r="X125" s="157"/>
      <c r="Y125" s="147"/>
      <c r="Z125" s="157" t="str">
        <f t="shared" ca="1" si="38"/>
        <v/>
      </c>
      <c r="AA125" s="157" t="str">
        <f t="shared" ca="1" si="38"/>
        <v/>
      </c>
      <c r="AB125" s="157" t="str">
        <f t="shared" ca="1" si="38"/>
        <v/>
      </c>
      <c r="AC125" s="20" t="str">
        <f t="shared" ca="1" si="39"/>
        <v/>
      </c>
      <c r="AD125" s="6"/>
      <c r="AE125" s="6"/>
    </row>
    <row r="126" spans="1:31" x14ac:dyDescent="0.25">
      <c r="A126" s="148">
        <f>A124+1</f>
        <v>20</v>
      </c>
      <c r="B126" s="149" t="str">
        <f>IF(ISNA(MATCH($A126,Score!A$46:A$83,0)),"",MATCH($A126,Score!A$46:A$83,0)+ROW(Score!A$45))</f>
        <v/>
      </c>
      <c r="C126" s="150" t="str">
        <f t="shared" ca="1" si="34"/>
        <v/>
      </c>
      <c r="D126" s="149" t="str">
        <f t="shared" ca="1" si="34"/>
        <v/>
      </c>
      <c r="E126" s="148" t="str">
        <f>IF(B126="","",SUM(D126,D127))</f>
        <v/>
      </c>
      <c r="F126" s="148" t="str">
        <f>IF(B126="","",E126-U126)</f>
        <v/>
      </c>
      <c r="G126" s="151" t="str">
        <f ca="1">IF($B126="","",IF(ISBLANK(INDIRECT(ADDRESS($B126,G$1,1,,"Score"))),"",1))</f>
        <v/>
      </c>
      <c r="H126" s="151" t="str">
        <f ca="1">IF($B126="","",IF(ISBLANK(INDIRECT(ADDRESS($B126,H$1,1,,"Score"))),"",1))</f>
        <v/>
      </c>
      <c r="I126" s="153" t="str">
        <f ca="1">IF(H126=1,F126,"")</f>
        <v/>
      </c>
      <c r="J126" s="151" t="str">
        <f t="shared" ca="1" si="35"/>
        <v/>
      </c>
      <c r="K126" s="151" t="str">
        <f t="shared" ca="1" si="35"/>
        <v/>
      </c>
      <c r="L126" s="151" t="str">
        <f t="shared" ca="1" si="35"/>
        <v/>
      </c>
      <c r="M126" s="149" t="str">
        <f t="shared" ca="1" si="36"/>
        <v/>
      </c>
      <c r="N126" s="6" t="str">
        <f ca="1">IF(ISNA(MATCH($A126,'Game Clock'!A$62:A$99,0)),"",INDIRECT(ADDRESS(MATCH($A126,'Game Clock'!A$62:A$99,0)+ROW('Game Clock'!A$61),N$1,1,,"Game Clock")))</f>
        <v/>
      </c>
      <c r="O126" s="148" t="str">
        <f ca="1">IF(OR(N126="",N126=0),"",60*E126/N126)</f>
        <v/>
      </c>
      <c r="Q126" s="148">
        <f>Q124+1</f>
        <v>20</v>
      </c>
      <c r="R126" s="149" t="str">
        <f>IF(ISNA(MATCH($Q126,Score!T$46:T$83,0)),"",MATCH($Q126,Score!T$46:T$83,0)+ROW(Score!T$45) )</f>
        <v/>
      </c>
      <c r="S126" s="150" t="str">
        <f t="shared" ca="1" si="37"/>
        <v/>
      </c>
      <c r="T126" s="149" t="str">
        <f t="shared" ca="1" si="37"/>
        <v/>
      </c>
      <c r="U126" s="148" t="str">
        <f>IF(R126="","",SUM(T126,T127))</f>
        <v/>
      </c>
      <c r="V126" s="148" t="str">
        <f>IF(R126="","",U126-E126)</f>
        <v/>
      </c>
      <c r="W126" s="151" t="str">
        <f ca="1">IF($R126="","",IF(ISBLANK(INDIRECT(ADDRESS($R126,W$1,1,,"Score"))),"",1))</f>
        <v/>
      </c>
      <c r="X126" s="151" t="str">
        <f ca="1">IF($R126="","",IF(ISBLANK(INDIRECT(ADDRESS($R126,X$1,1,,"Score"))),"",1))</f>
        <v/>
      </c>
      <c r="Y126" s="153" t="str">
        <f ca="1">IF(X126=1,V126,"")</f>
        <v/>
      </c>
      <c r="Z126" s="151" t="str">
        <f t="shared" ca="1" si="38"/>
        <v/>
      </c>
      <c r="AA126" s="151" t="str">
        <f t="shared" ca="1" si="38"/>
        <v/>
      </c>
      <c r="AB126" s="151" t="str">
        <f t="shared" ca="1" si="38"/>
        <v/>
      </c>
      <c r="AC126" s="149" t="str">
        <f t="shared" ca="1" si="39"/>
        <v/>
      </c>
      <c r="AD126" s="148" t="str">
        <f ca="1">N126</f>
        <v/>
      </c>
      <c r="AE126" s="148" t="str">
        <f ca="1">IF(OR(AD126="",AD126=0),"",60*U126/AD126)</f>
        <v/>
      </c>
    </row>
    <row r="127" spans="1:31" x14ac:dyDescent="0.3">
      <c r="A127" s="148"/>
      <c r="B127" s="149" t="str">
        <f ca="1">IF($B126="","",IF(INDIRECT(ADDRESS($B126+1,C$1-1,1,,"Score"))="SP",$B126+1,""))</f>
        <v/>
      </c>
      <c r="C127" s="150" t="str">
        <f t="shared" ca="1" si="34"/>
        <v/>
      </c>
      <c r="D127" s="149" t="str">
        <f t="shared" ca="1" si="34"/>
        <v/>
      </c>
      <c r="E127" s="148"/>
      <c r="F127" s="148"/>
      <c r="G127" s="151"/>
      <c r="H127" s="152"/>
      <c r="I127" s="153"/>
      <c r="J127" s="151" t="str">
        <f t="shared" ca="1" si="35"/>
        <v/>
      </c>
      <c r="K127" s="151" t="str">
        <f t="shared" ca="1" si="35"/>
        <v/>
      </c>
      <c r="L127" s="151" t="str">
        <f t="shared" ca="1" si="35"/>
        <v/>
      </c>
      <c r="M127" s="149" t="str">
        <f t="shared" ca="1" si="36"/>
        <v/>
      </c>
      <c r="N127" s="148"/>
      <c r="O127" s="148"/>
      <c r="Q127" s="148"/>
      <c r="R127" s="149" t="str">
        <f ca="1">IF($R126="","",IF(INDIRECT(ADDRESS($R126+1,S$1-1,1,,"Score"))="SP",$R126+1,""))</f>
        <v/>
      </c>
      <c r="S127" s="150" t="str">
        <f t="shared" ca="1" si="37"/>
        <v/>
      </c>
      <c r="T127" s="149" t="str">
        <f t="shared" ca="1" si="37"/>
        <v/>
      </c>
      <c r="U127" s="148"/>
      <c r="V127" s="148"/>
      <c r="W127" s="151"/>
      <c r="X127" s="152"/>
      <c r="Y127" s="153"/>
      <c r="Z127" s="151" t="str">
        <f t="shared" ca="1" si="38"/>
        <v/>
      </c>
      <c r="AA127" s="151" t="str">
        <f t="shared" ca="1" si="38"/>
        <v/>
      </c>
      <c r="AB127" s="151" t="str">
        <f t="shared" ca="1" si="38"/>
        <v/>
      </c>
      <c r="AC127" s="149" t="str">
        <f t="shared" ca="1" si="39"/>
        <v/>
      </c>
      <c r="AD127" s="148"/>
      <c r="AE127" s="148"/>
    </row>
    <row r="128" spans="1:31" x14ac:dyDescent="0.25">
      <c r="A128" s="6">
        <f>A126+1</f>
        <v>21</v>
      </c>
      <c r="B128" s="20" t="str">
        <f>IF(ISNA(MATCH($A128,Score!A$46:A$83,0)),"",MATCH($A128,Score!A$46:A$83,0)+ROW(Score!A$45))</f>
        <v/>
      </c>
      <c r="C128" s="89" t="str">
        <f t="shared" ref="C128:D143" ca="1" si="40">IF($B128="","",INDIRECT(ADDRESS($B128,C$1,1,,"Score")))</f>
        <v/>
      </c>
      <c r="D128" s="20" t="str">
        <f t="shared" ca="1" si="40"/>
        <v/>
      </c>
      <c r="E128" s="6" t="str">
        <f>IF(B128="","",SUM(D128,D129))</f>
        <v/>
      </c>
      <c r="F128" s="6" t="str">
        <f>IF(B128="","",E128-U128)</f>
        <v/>
      </c>
      <c r="G128" s="157" t="str">
        <f ca="1">IF($B128="","",IF(ISBLANK(INDIRECT(ADDRESS($B128,G$1,1,,"Score"))),"",1))</f>
        <v/>
      </c>
      <c r="H128" s="157" t="str">
        <f ca="1">IF($B128="","",IF(ISBLANK(INDIRECT(ADDRESS($B128,H$1,1,,"Score"))),"",1))</f>
        <v/>
      </c>
      <c r="I128" s="147" t="str">
        <f ca="1">IF(H128=1,F128,"")</f>
        <v/>
      </c>
      <c r="J128" s="157" t="str">
        <f t="shared" ref="J128:L143" ca="1" si="41">IF($B128="","",IF(ISBLANK(INDIRECT(ADDRESS($B128,J$1,1,,"Score"))),"",1))</f>
        <v/>
      </c>
      <c r="K128" s="157" t="str">
        <f t="shared" ca="1" si="41"/>
        <v/>
      </c>
      <c r="L128" s="157" t="str">
        <f t="shared" ca="1" si="41"/>
        <v/>
      </c>
      <c r="M128" s="20" t="str">
        <f t="shared" ref="M128:M143" ca="1" si="42">IF($B128="","",INDIRECT(ADDRESS($B128,M$1,1,,"Score")))</f>
        <v/>
      </c>
      <c r="N128" s="6" t="str">
        <f ca="1">IF(ISNA(MATCH($A128,'Game Clock'!A$62:A$99,0)),"",INDIRECT(ADDRESS(MATCH($A128,'Game Clock'!A$62:A$99,0)+ROW('Game Clock'!A$61),N$1,1,,"Game Clock")))</f>
        <v/>
      </c>
      <c r="O128" s="6" t="str">
        <f ca="1">IF(OR(N128="",N128=0),"",60*E128/N128)</f>
        <v/>
      </c>
      <c r="Q128" s="6">
        <f>Q126+1</f>
        <v>21</v>
      </c>
      <c r="R128" s="20" t="str">
        <f>IF(ISNA(MATCH($Q128,Score!T$46:T$83,0)),"",MATCH($Q128,Score!T$46:T$83,0)+ROW(Score!T$45) )</f>
        <v/>
      </c>
      <c r="S128" s="89" t="str">
        <f t="shared" ref="S128:T143" ca="1" si="43">IF($R128="","",INDIRECT(ADDRESS($R128,S$1,1,,"Score")))</f>
        <v/>
      </c>
      <c r="T128" s="20" t="str">
        <f t="shared" ca="1" si="43"/>
        <v/>
      </c>
      <c r="U128" s="6" t="str">
        <f>IF(R128="","",SUM(T128,T129))</f>
        <v/>
      </c>
      <c r="V128" s="6" t="str">
        <f>IF(R128="","",U128-E128)</f>
        <v/>
      </c>
      <c r="W128" s="157" t="str">
        <f ca="1">IF($R128="","",IF(ISBLANK(INDIRECT(ADDRESS($R128,W$1,1,,"Score"))),"",1))</f>
        <v/>
      </c>
      <c r="X128" s="157" t="str">
        <f ca="1">IF($R128="","",IF(ISBLANK(INDIRECT(ADDRESS($R128,X$1,1,,"Score"))),"",1))</f>
        <v/>
      </c>
      <c r="Y128" s="147" t="str">
        <f ca="1">IF(X128=1,V128,"")</f>
        <v/>
      </c>
      <c r="Z128" s="157" t="str">
        <f t="shared" ref="Z128:AB143" ca="1" si="44">IF($R128="","",IF(ISBLANK(INDIRECT(ADDRESS($R128,Z$1,1,,"Score"))),"",1))</f>
        <v/>
      </c>
      <c r="AA128" s="157" t="str">
        <f t="shared" ca="1" si="44"/>
        <v/>
      </c>
      <c r="AB128" s="157" t="str">
        <f t="shared" ca="1" si="44"/>
        <v/>
      </c>
      <c r="AC128" s="20" t="str">
        <f t="shared" ref="AC128:AC143" ca="1" si="45">IF($R128="","",INDIRECT(ADDRESS($R128,AC$1,1,,"Score")))</f>
        <v/>
      </c>
      <c r="AD128" s="6" t="str">
        <f ca="1">N128</f>
        <v/>
      </c>
      <c r="AE128" s="6" t="str">
        <f ca="1">IF(OR(AD128="",AD128=0),"",60*U128/AD128)</f>
        <v/>
      </c>
    </row>
    <row r="129" spans="1:31" x14ac:dyDescent="0.25">
      <c r="A129" s="6"/>
      <c r="B129" s="20" t="str">
        <f ca="1">IF($B128="","",IF(INDIRECT(ADDRESS($B128+1,C$1-1,1,,"Score"))="SP",$B128+1,""))</f>
        <v/>
      </c>
      <c r="C129" s="89" t="str">
        <f t="shared" ca="1" si="40"/>
        <v/>
      </c>
      <c r="D129" s="20" t="str">
        <f t="shared" ca="1" si="40"/>
        <v/>
      </c>
      <c r="E129" s="6"/>
      <c r="F129" s="6"/>
      <c r="G129" s="157"/>
      <c r="H129" s="157"/>
      <c r="I129" s="147"/>
      <c r="J129" s="157" t="str">
        <f t="shared" ca="1" si="41"/>
        <v/>
      </c>
      <c r="K129" s="157" t="str">
        <f t="shared" ca="1" si="41"/>
        <v/>
      </c>
      <c r="L129" s="157" t="str">
        <f t="shared" ca="1" si="41"/>
        <v/>
      </c>
      <c r="M129" s="20" t="str">
        <f t="shared" ca="1" si="42"/>
        <v/>
      </c>
      <c r="N129" s="6"/>
      <c r="O129" s="6"/>
      <c r="Q129" s="6"/>
      <c r="R129" s="20" t="str">
        <f ca="1">IF($R128="","",IF(INDIRECT(ADDRESS($R128+1,S$1-1,1,,"Score"))="SP",$R128+1,""))</f>
        <v/>
      </c>
      <c r="S129" s="89" t="str">
        <f t="shared" ca="1" si="43"/>
        <v/>
      </c>
      <c r="T129" s="20" t="str">
        <f t="shared" ca="1" si="43"/>
        <v/>
      </c>
      <c r="U129" s="6"/>
      <c r="V129" s="6"/>
      <c r="W129" s="157"/>
      <c r="X129" s="157"/>
      <c r="Y129" s="147"/>
      <c r="Z129" s="157" t="str">
        <f t="shared" ca="1" si="44"/>
        <v/>
      </c>
      <c r="AA129" s="157" t="str">
        <f t="shared" ca="1" si="44"/>
        <v/>
      </c>
      <c r="AB129" s="157" t="str">
        <f t="shared" ca="1" si="44"/>
        <v/>
      </c>
      <c r="AC129" s="20" t="str">
        <f t="shared" ca="1" si="45"/>
        <v/>
      </c>
      <c r="AD129" s="6"/>
      <c r="AE129" s="6"/>
    </row>
    <row r="130" spans="1:31" x14ac:dyDescent="0.25">
      <c r="A130" s="148">
        <f>A128+1</f>
        <v>22</v>
      </c>
      <c r="B130" s="149" t="str">
        <f>IF(ISNA(MATCH($A130,Score!A$46:A$83,0)),"",MATCH($A130,Score!A$46:A$83,0)+ROW(Score!A$45))</f>
        <v/>
      </c>
      <c r="C130" s="150" t="str">
        <f t="shared" ca="1" si="40"/>
        <v/>
      </c>
      <c r="D130" s="149" t="str">
        <f t="shared" ca="1" si="40"/>
        <v/>
      </c>
      <c r="E130" s="148" t="str">
        <f>IF(B130="","",SUM(D130,D131))</f>
        <v/>
      </c>
      <c r="F130" s="148" t="str">
        <f>IF(B130="","",E130-U130)</f>
        <v/>
      </c>
      <c r="G130" s="151" t="str">
        <f ca="1">IF($B130="","",IF(ISBLANK(INDIRECT(ADDRESS($B130,G$1,1,,"Score"))),"",1))</f>
        <v/>
      </c>
      <c r="H130" s="151" t="str">
        <f ca="1">IF($B130="","",IF(ISBLANK(INDIRECT(ADDRESS($B130,H$1,1,,"Score"))),"",1))</f>
        <v/>
      </c>
      <c r="I130" s="153" t="str">
        <f ca="1">IF(H130=1,F130,"")</f>
        <v/>
      </c>
      <c r="J130" s="151" t="str">
        <f t="shared" ca="1" si="41"/>
        <v/>
      </c>
      <c r="K130" s="151" t="str">
        <f t="shared" ca="1" si="41"/>
        <v/>
      </c>
      <c r="L130" s="151" t="str">
        <f t="shared" ca="1" si="41"/>
        <v/>
      </c>
      <c r="M130" s="149" t="str">
        <f t="shared" ca="1" si="42"/>
        <v/>
      </c>
      <c r="N130" s="6" t="str">
        <f ca="1">IF(ISNA(MATCH($A130,'Game Clock'!A$62:A$99,0)),"",INDIRECT(ADDRESS(MATCH($A130,'Game Clock'!A$62:A$99,0)+ROW('Game Clock'!A$61),N$1,1,,"Game Clock")))</f>
        <v/>
      </c>
      <c r="O130" s="148" t="str">
        <f ca="1">IF(OR(N130="",N130=0),"",60*E130/N130)</f>
        <v/>
      </c>
      <c r="Q130" s="148">
        <f>Q128+1</f>
        <v>22</v>
      </c>
      <c r="R130" s="149" t="str">
        <f>IF(ISNA(MATCH($Q130,Score!T$46:T$83,0)),"",MATCH($Q130,Score!T$46:T$83,0)+ROW(Score!T$45) )</f>
        <v/>
      </c>
      <c r="S130" s="150" t="str">
        <f t="shared" ca="1" si="43"/>
        <v/>
      </c>
      <c r="T130" s="149" t="str">
        <f t="shared" ca="1" si="43"/>
        <v/>
      </c>
      <c r="U130" s="148" t="str">
        <f>IF(R130="","",SUM(T130,T131))</f>
        <v/>
      </c>
      <c r="V130" s="148" t="str">
        <f>IF(R130="","",U130-E130)</f>
        <v/>
      </c>
      <c r="W130" s="151" t="str">
        <f ca="1">IF($R130="","",IF(ISBLANK(INDIRECT(ADDRESS($R130,W$1,1,,"Score"))),"",1))</f>
        <v/>
      </c>
      <c r="X130" s="151" t="str">
        <f ca="1">IF($R130="","",IF(ISBLANK(INDIRECT(ADDRESS($R130,X$1,1,,"Score"))),"",1))</f>
        <v/>
      </c>
      <c r="Y130" s="153" t="str">
        <f ca="1">IF(X130=1,V130,"")</f>
        <v/>
      </c>
      <c r="Z130" s="151" t="str">
        <f t="shared" ca="1" si="44"/>
        <v/>
      </c>
      <c r="AA130" s="151" t="str">
        <f t="shared" ca="1" si="44"/>
        <v/>
      </c>
      <c r="AB130" s="151" t="str">
        <f t="shared" ca="1" si="44"/>
        <v/>
      </c>
      <c r="AC130" s="149" t="str">
        <f t="shared" ca="1" si="45"/>
        <v/>
      </c>
      <c r="AD130" s="148" t="str">
        <f ca="1">N130</f>
        <v/>
      </c>
      <c r="AE130" s="148" t="str">
        <f ca="1">IF(OR(AD130="",AD130=0),"",60*U130/AD130)</f>
        <v/>
      </c>
    </row>
    <row r="131" spans="1:31" x14ac:dyDescent="0.3">
      <c r="A131" s="148"/>
      <c r="B131" s="149" t="str">
        <f ca="1">IF($B130="","",IF(INDIRECT(ADDRESS($B130+1,C$1-1,1,,"Score"))="SP",$B130+1,""))</f>
        <v/>
      </c>
      <c r="C131" s="150" t="str">
        <f t="shared" ca="1" si="40"/>
        <v/>
      </c>
      <c r="D131" s="149" t="str">
        <f t="shared" ca="1" si="40"/>
        <v/>
      </c>
      <c r="E131" s="148"/>
      <c r="F131" s="148"/>
      <c r="G131" s="151"/>
      <c r="H131" s="152"/>
      <c r="I131" s="153"/>
      <c r="J131" s="151" t="str">
        <f t="shared" ca="1" si="41"/>
        <v/>
      </c>
      <c r="K131" s="151" t="str">
        <f t="shared" ca="1" si="41"/>
        <v/>
      </c>
      <c r="L131" s="151" t="str">
        <f t="shared" ca="1" si="41"/>
        <v/>
      </c>
      <c r="M131" s="149" t="str">
        <f t="shared" ca="1" si="42"/>
        <v/>
      </c>
      <c r="N131" s="148"/>
      <c r="O131" s="148"/>
      <c r="Q131" s="148"/>
      <c r="R131" s="149" t="str">
        <f ca="1">IF($R130="","",IF(INDIRECT(ADDRESS($R130+1,S$1-1,1,,"Score"))="SP",$R130+1,""))</f>
        <v/>
      </c>
      <c r="S131" s="150" t="str">
        <f t="shared" ca="1" si="43"/>
        <v/>
      </c>
      <c r="T131" s="149" t="str">
        <f t="shared" ca="1" si="43"/>
        <v/>
      </c>
      <c r="U131" s="148"/>
      <c r="V131" s="148"/>
      <c r="W131" s="151"/>
      <c r="X131" s="152"/>
      <c r="Y131" s="153"/>
      <c r="Z131" s="151" t="str">
        <f t="shared" ca="1" si="44"/>
        <v/>
      </c>
      <c r="AA131" s="151" t="str">
        <f t="shared" ca="1" si="44"/>
        <v/>
      </c>
      <c r="AB131" s="151" t="str">
        <f t="shared" ca="1" si="44"/>
        <v/>
      </c>
      <c r="AC131" s="149" t="str">
        <f t="shared" ca="1" si="45"/>
        <v/>
      </c>
      <c r="AD131" s="148"/>
      <c r="AE131" s="148"/>
    </row>
    <row r="132" spans="1:31" x14ac:dyDescent="0.25">
      <c r="A132" s="6">
        <f>A130+1</f>
        <v>23</v>
      </c>
      <c r="B132" s="20" t="str">
        <f>IF(ISNA(MATCH($A132,Score!A$46:A$83,0)),"",MATCH($A132,Score!A$46:A$83,0)+ROW(Score!A$45))</f>
        <v/>
      </c>
      <c r="C132" s="89" t="str">
        <f t="shared" ca="1" si="40"/>
        <v/>
      </c>
      <c r="D132" s="20" t="str">
        <f t="shared" ca="1" si="40"/>
        <v/>
      </c>
      <c r="E132" s="6" t="str">
        <f>IF(B132="","",SUM(D132,D133))</f>
        <v/>
      </c>
      <c r="F132" s="6" t="str">
        <f>IF(B132="","",E132-U132)</f>
        <v/>
      </c>
      <c r="G132" s="157" t="str">
        <f ca="1">IF($B132="","",IF(ISBLANK(INDIRECT(ADDRESS($B132,G$1,1,,"Score"))),"",1))</f>
        <v/>
      </c>
      <c r="H132" s="157" t="str">
        <f ca="1">IF($B132="","",IF(ISBLANK(INDIRECT(ADDRESS($B132,H$1,1,,"Score"))),"",1))</f>
        <v/>
      </c>
      <c r="I132" s="147" t="str">
        <f ca="1">IF(H132=1,F132,"")</f>
        <v/>
      </c>
      <c r="J132" s="157" t="str">
        <f t="shared" ca="1" si="41"/>
        <v/>
      </c>
      <c r="K132" s="157" t="str">
        <f t="shared" ca="1" si="41"/>
        <v/>
      </c>
      <c r="L132" s="157" t="str">
        <f t="shared" ca="1" si="41"/>
        <v/>
      </c>
      <c r="M132" s="20" t="str">
        <f t="shared" ca="1" si="42"/>
        <v/>
      </c>
      <c r="N132" s="6" t="str">
        <f ca="1">IF(ISNA(MATCH($A132,'Game Clock'!A$62:A$99,0)),"",INDIRECT(ADDRESS(MATCH($A132,'Game Clock'!A$62:A$99,0)+ROW('Game Clock'!A$61),N$1,1,,"Game Clock")))</f>
        <v/>
      </c>
      <c r="O132" s="6" t="str">
        <f ca="1">IF(OR(N132="",N132=0),"",60*E132/N132)</f>
        <v/>
      </c>
      <c r="Q132" s="6">
        <f>Q130+1</f>
        <v>23</v>
      </c>
      <c r="R132" s="20" t="str">
        <f>IF(ISNA(MATCH($Q132,Score!T$46:T$83,0)),"",MATCH($Q132,Score!T$46:T$83,0)+ROW(Score!T$45) )</f>
        <v/>
      </c>
      <c r="S132" s="89" t="str">
        <f t="shared" ca="1" si="43"/>
        <v/>
      </c>
      <c r="T132" s="20" t="str">
        <f t="shared" ca="1" si="43"/>
        <v/>
      </c>
      <c r="U132" s="6" t="str">
        <f>IF(R132="","",SUM(T132,T133))</f>
        <v/>
      </c>
      <c r="V132" s="6" t="str">
        <f>IF(R132="","",U132-E132)</f>
        <v/>
      </c>
      <c r="W132" s="157" t="str">
        <f ca="1">IF($R132="","",IF(ISBLANK(INDIRECT(ADDRESS($R132,W$1,1,,"Score"))),"",1))</f>
        <v/>
      </c>
      <c r="X132" s="157" t="str">
        <f ca="1">IF($R132="","",IF(ISBLANK(INDIRECT(ADDRESS($R132,X$1,1,,"Score"))),"",1))</f>
        <v/>
      </c>
      <c r="Y132" s="147" t="str">
        <f ca="1">IF(X132=1,V132,"")</f>
        <v/>
      </c>
      <c r="Z132" s="157" t="str">
        <f t="shared" ca="1" si="44"/>
        <v/>
      </c>
      <c r="AA132" s="157" t="str">
        <f t="shared" ca="1" si="44"/>
        <v/>
      </c>
      <c r="AB132" s="157" t="str">
        <f t="shared" ca="1" si="44"/>
        <v/>
      </c>
      <c r="AC132" s="20" t="str">
        <f t="shared" ca="1" si="45"/>
        <v/>
      </c>
      <c r="AD132" s="6" t="str">
        <f ca="1">N132</f>
        <v/>
      </c>
      <c r="AE132" s="6" t="str">
        <f ca="1">IF(OR(AD132="",AD132=0),"",60*U132/AD132)</f>
        <v/>
      </c>
    </row>
    <row r="133" spans="1:31" x14ac:dyDescent="0.25">
      <c r="A133" s="6"/>
      <c r="B133" s="20" t="str">
        <f ca="1">IF($B132="","",IF(INDIRECT(ADDRESS($B132+1,C$1-1,1,,"Score"))="SP",$B132+1,""))</f>
        <v/>
      </c>
      <c r="C133" s="89" t="str">
        <f t="shared" ca="1" si="40"/>
        <v/>
      </c>
      <c r="D133" s="20" t="str">
        <f t="shared" ca="1" si="40"/>
        <v/>
      </c>
      <c r="E133" s="6"/>
      <c r="F133" s="6"/>
      <c r="G133" s="157"/>
      <c r="H133" s="157"/>
      <c r="I133" s="147"/>
      <c r="J133" s="157" t="str">
        <f t="shared" ca="1" si="41"/>
        <v/>
      </c>
      <c r="K133" s="157" t="str">
        <f t="shared" ca="1" si="41"/>
        <v/>
      </c>
      <c r="L133" s="157" t="str">
        <f t="shared" ca="1" si="41"/>
        <v/>
      </c>
      <c r="M133" s="20" t="str">
        <f t="shared" ca="1" si="42"/>
        <v/>
      </c>
      <c r="N133" s="6"/>
      <c r="O133" s="6"/>
      <c r="Q133" s="6"/>
      <c r="R133" s="20" t="str">
        <f ca="1">IF($R132="","",IF(INDIRECT(ADDRESS($R132+1,S$1-1,1,,"Score"))="SP",$R132+1,""))</f>
        <v/>
      </c>
      <c r="S133" s="89" t="str">
        <f t="shared" ca="1" si="43"/>
        <v/>
      </c>
      <c r="T133" s="20" t="str">
        <f t="shared" ca="1" si="43"/>
        <v/>
      </c>
      <c r="U133" s="6"/>
      <c r="V133" s="6"/>
      <c r="W133" s="157"/>
      <c r="X133" s="157"/>
      <c r="Y133" s="147"/>
      <c r="Z133" s="157" t="str">
        <f t="shared" ca="1" si="44"/>
        <v/>
      </c>
      <c r="AA133" s="157" t="str">
        <f t="shared" ca="1" si="44"/>
        <v/>
      </c>
      <c r="AB133" s="157" t="str">
        <f t="shared" ca="1" si="44"/>
        <v/>
      </c>
      <c r="AC133" s="20" t="str">
        <f t="shared" ca="1" si="45"/>
        <v/>
      </c>
      <c r="AD133" s="6"/>
      <c r="AE133" s="6"/>
    </row>
    <row r="134" spans="1:31" x14ac:dyDescent="0.25">
      <c r="A134" s="148">
        <f>A132+1</f>
        <v>24</v>
      </c>
      <c r="B134" s="149" t="str">
        <f>IF(ISNA(MATCH($A134,Score!A$46:A$83,0)),"",MATCH($A134,Score!A$46:A$83,0)+ROW(Score!A$45))</f>
        <v/>
      </c>
      <c r="C134" s="150" t="str">
        <f t="shared" ca="1" si="40"/>
        <v/>
      </c>
      <c r="D134" s="149" t="str">
        <f t="shared" ca="1" si="40"/>
        <v/>
      </c>
      <c r="E134" s="148" t="str">
        <f>IF(B134="","",SUM(D134,D135))</f>
        <v/>
      </c>
      <c r="F134" s="148" t="str">
        <f>IF(B134="","",E134-U134)</f>
        <v/>
      </c>
      <c r="G134" s="151" t="str">
        <f ca="1">IF($B134="","",IF(ISBLANK(INDIRECT(ADDRESS($B134,G$1,1,,"Score"))),"",1))</f>
        <v/>
      </c>
      <c r="H134" s="151" t="str">
        <f ca="1">IF($B134="","",IF(ISBLANK(INDIRECT(ADDRESS($B134,H$1,1,,"Score"))),"",1))</f>
        <v/>
      </c>
      <c r="I134" s="153" t="str">
        <f ca="1">IF(H134=1,F134,"")</f>
        <v/>
      </c>
      <c r="J134" s="151" t="str">
        <f t="shared" ca="1" si="41"/>
        <v/>
      </c>
      <c r="K134" s="151" t="str">
        <f t="shared" ca="1" si="41"/>
        <v/>
      </c>
      <c r="L134" s="151" t="str">
        <f t="shared" ca="1" si="41"/>
        <v/>
      </c>
      <c r="M134" s="149" t="str">
        <f t="shared" ca="1" si="42"/>
        <v/>
      </c>
      <c r="N134" s="6" t="str">
        <f ca="1">IF(ISNA(MATCH($A134,'Game Clock'!A$62:A$99,0)),"",INDIRECT(ADDRESS(MATCH($A134,'Game Clock'!A$62:A$99,0)+ROW('Game Clock'!A$61),N$1,1,,"Game Clock")))</f>
        <v/>
      </c>
      <c r="O134" s="148" t="str">
        <f ca="1">IF(OR(N134="",N134=0),"",60*E134/N134)</f>
        <v/>
      </c>
      <c r="Q134" s="148">
        <f>Q132+1</f>
        <v>24</v>
      </c>
      <c r="R134" s="149" t="str">
        <f>IF(ISNA(MATCH($Q134,Score!T$46:T$83,0)),"",MATCH($Q134,Score!T$46:T$83,0)+ROW(Score!T$45) )</f>
        <v/>
      </c>
      <c r="S134" s="150" t="str">
        <f t="shared" ca="1" si="43"/>
        <v/>
      </c>
      <c r="T134" s="149" t="str">
        <f t="shared" ca="1" si="43"/>
        <v/>
      </c>
      <c r="U134" s="148" t="str">
        <f>IF(R134="","",SUM(T134,T135))</f>
        <v/>
      </c>
      <c r="V134" s="148" t="str">
        <f>IF(R134="","",U134-E134)</f>
        <v/>
      </c>
      <c r="W134" s="151" t="str">
        <f ca="1">IF($R134="","",IF(ISBLANK(INDIRECT(ADDRESS($R134,W$1,1,,"Score"))),"",1))</f>
        <v/>
      </c>
      <c r="X134" s="151" t="str">
        <f ca="1">IF($R134="","",IF(ISBLANK(INDIRECT(ADDRESS($R134,X$1,1,,"Score"))),"",1))</f>
        <v/>
      </c>
      <c r="Y134" s="153" t="str">
        <f ca="1">IF(X134=1,V134,"")</f>
        <v/>
      </c>
      <c r="Z134" s="151" t="str">
        <f t="shared" ca="1" si="44"/>
        <v/>
      </c>
      <c r="AA134" s="151" t="str">
        <f t="shared" ca="1" si="44"/>
        <v/>
      </c>
      <c r="AB134" s="151" t="str">
        <f t="shared" ca="1" si="44"/>
        <v/>
      </c>
      <c r="AC134" s="149" t="str">
        <f t="shared" ca="1" si="45"/>
        <v/>
      </c>
      <c r="AD134" s="148" t="str">
        <f ca="1">N134</f>
        <v/>
      </c>
      <c r="AE134" s="148" t="str">
        <f ca="1">IF(OR(AD134="",AD134=0),"",60*U134/AD134)</f>
        <v/>
      </c>
    </row>
    <row r="135" spans="1:31" x14ac:dyDescent="0.3">
      <c r="A135" s="148"/>
      <c r="B135" s="149" t="str">
        <f ca="1">IF($B134="","",IF(INDIRECT(ADDRESS($B134+1,C$1-1,1,,"Score"))="SP",$B134+1,""))</f>
        <v/>
      </c>
      <c r="C135" s="150" t="str">
        <f t="shared" ca="1" si="40"/>
        <v/>
      </c>
      <c r="D135" s="149" t="str">
        <f t="shared" ca="1" si="40"/>
        <v/>
      </c>
      <c r="E135" s="148"/>
      <c r="F135" s="148"/>
      <c r="G135" s="151"/>
      <c r="H135" s="152"/>
      <c r="I135" s="153"/>
      <c r="J135" s="151" t="str">
        <f t="shared" ca="1" si="41"/>
        <v/>
      </c>
      <c r="K135" s="151" t="str">
        <f t="shared" ca="1" si="41"/>
        <v/>
      </c>
      <c r="L135" s="151" t="str">
        <f t="shared" ca="1" si="41"/>
        <v/>
      </c>
      <c r="M135" s="149" t="str">
        <f t="shared" ca="1" si="42"/>
        <v/>
      </c>
      <c r="N135" s="148"/>
      <c r="O135" s="148"/>
      <c r="Q135" s="148"/>
      <c r="R135" s="149" t="str">
        <f ca="1">IF($R134="","",IF(INDIRECT(ADDRESS($R134+1,S$1-1,1,,"Score"))="SP",$R134+1,""))</f>
        <v/>
      </c>
      <c r="S135" s="150" t="str">
        <f t="shared" ca="1" si="43"/>
        <v/>
      </c>
      <c r="T135" s="149" t="str">
        <f t="shared" ca="1" si="43"/>
        <v/>
      </c>
      <c r="U135" s="148"/>
      <c r="V135" s="148"/>
      <c r="W135" s="151"/>
      <c r="X135" s="152"/>
      <c r="Y135" s="153"/>
      <c r="Z135" s="151" t="str">
        <f t="shared" ca="1" si="44"/>
        <v/>
      </c>
      <c r="AA135" s="151" t="str">
        <f t="shared" ca="1" si="44"/>
        <v/>
      </c>
      <c r="AB135" s="151" t="str">
        <f t="shared" ca="1" si="44"/>
        <v/>
      </c>
      <c r="AC135" s="149" t="str">
        <f t="shared" ca="1" si="45"/>
        <v/>
      </c>
      <c r="AD135" s="148"/>
      <c r="AE135" s="148"/>
    </row>
    <row r="136" spans="1:31" x14ac:dyDescent="0.25">
      <c r="A136" s="6">
        <f>A134+1</f>
        <v>25</v>
      </c>
      <c r="B136" s="20" t="str">
        <f>IF(ISNA(MATCH($A136,Score!A$46:A$83,0)),"",MATCH($A136,Score!A$46:A$83,0)+ROW(Score!A$45))</f>
        <v/>
      </c>
      <c r="C136" s="89" t="str">
        <f t="shared" ca="1" si="40"/>
        <v/>
      </c>
      <c r="D136" s="20" t="str">
        <f t="shared" ca="1" si="40"/>
        <v/>
      </c>
      <c r="E136" s="6" t="str">
        <f>IF(B136="","",SUM(D136,D137))</f>
        <v/>
      </c>
      <c r="F136" s="6" t="str">
        <f>IF(B136="","",E136-U136)</f>
        <v/>
      </c>
      <c r="G136" s="157" t="str">
        <f ca="1">IF($B136="","",IF(ISBLANK(INDIRECT(ADDRESS($B136,G$1,1,,"Score"))),"",1))</f>
        <v/>
      </c>
      <c r="H136" s="157" t="str">
        <f ca="1">IF($B136="","",IF(ISBLANK(INDIRECT(ADDRESS($B136,H$1,1,,"Score"))),"",1))</f>
        <v/>
      </c>
      <c r="I136" s="147" t="str">
        <f ca="1">IF(H136=1,F136,"")</f>
        <v/>
      </c>
      <c r="J136" s="157" t="str">
        <f t="shared" ca="1" si="41"/>
        <v/>
      </c>
      <c r="K136" s="157" t="str">
        <f t="shared" ca="1" si="41"/>
        <v/>
      </c>
      <c r="L136" s="157" t="str">
        <f t="shared" ca="1" si="41"/>
        <v/>
      </c>
      <c r="M136" s="20" t="str">
        <f t="shared" ca="1" si="42"/>
        <v/>
      </c>
      <c r="N136" s="6" t="str">
        <f ca="1">IF(ISNA(MATCH($A136,'Game Clock'!A$62:A$99,0)),"",INDIRECT(ADDRESS(MATCH($A136,'Game Clock'!A$62:A$99,0)+ROW('Game Clock'!A$61),N$1,1,,"Game Clock")))</f>
        <v/>
      </c>
      <c r="O136" s="6" t="str">
        <f ca="1">IF(OR(N136="",N136=0),"",60*E136/N136)</f>
        <v/>
      </c>
      <c r="Q136" s="6">
        <f>Q134+1</f>
        <v>25</v>
      </c>
      <c r="R136" s="20" t="str">
        <f>IF(ISNA(MATCH($Q136,Score!T$46:T$83,0)),"",MATCH($Q136,Score!T$46:T$83,0)+ROW(Score!T$45) )</f>
        <v/>
      </c>
      <c r="S136" s="89" t="str">
        <f t="shared" ca="1" si="43"/>
        <v/>
      </c>
      <c r="T136" s="20" t="str">
        <f t="shared" ca="1" si="43"/>
        <v/>
      </c>
      <c r="U136" s="6" t="str">
        <f>IF(R136="","",SUM(T136,T137))</f>
        <v/>
      </c>
      <c r="V136" s="6" t="str">
        <f>IF(R136="","",U136-E136)</f>
        <v/>
      </c>
      <c r="W136" s="157" t="str">
        <f ca="1">IF($R136="","",IF(ISBLANK(INDIRECT(ADDRESS($R136,W$1,1,,"Score"))),"",1))</f>
        <v/>
      </c>
      <c r="X136" s="157" t="str">
        <f ca="1">IF($R136="","",IF(ISBLANK(INDIRECT(ADDRESS($R136,X$1,1,,"Score"))),"",1))</f>
        <v/>
      </c>
      <c r="Y136" s="147" t="str">
        <f ca="1">IF(X136=1,V136,"")</f>
        <v/>
      </c>
      <c r="Z136" s="157" t="str">
        <f t="shared" ca="1" si="44"/>
        <v/>
      </c>
      <c r="AA136" s="157" t="str">
        <f t="shared" ca="1" si="44"/>
        <v/>
      </c>
      <c r="AB136" s="157" t="str">
        <f t="shared" ca="1" si="44"/>
        <v/>
      </c>
      <c r="AC136" s="20" t="str">
        <f t="shared" ca="1" si="45"/>
        <v/>
      </c>
      <c r="AD136" s="6" t="str">
        <f ca="1">N136</f>
        <v/>
      </c>
      <c r="AE136" s="6" t="str">
        <f ca="1">IF(OR(AD136="",AD136=0),"",60*U136/AD136)</f>
        <v/>
      </c>
    </row>
    <row r="137" spans="1:31" x14ac:dyDescent="0.25">
      <c r="A137" s="6"/>
      <c r="B137" s="20" t="str">
        <f ca="1">IF($B136="","",IF(INDIRECT(ADDRESS($B136+1,C$1-1,1,,"Score"))="SP",$B136+1,""))</f>
        <v/>
      </c>
      <c r="C137" s="89" t="str">
        <f t="shared" ca="1" si="40"/>
        <v/>
      </c>
      <c r="D137" s="20" t="str">
        <f t="shared" ca="1" si="40"/>
        <v/>
      </c>
      <c r="E137" s="6"/>
      <c r="F137" s="6"/>
      <c r="G137" s="157"/>
      <c r="H137" s="157"/>
      <c r="I137" s="147"/>
      <c r="J137" s="157" t="str">
        <f t="shared" ca="1" si="41"/>
        <v/>
      </c>
      <c r="K137" s="157" t="str">
        <f t="shared" ca="1" si="41"/>
        <v/>
      </c>
      <c r="L137" s="157" t="str">
        <f t="shared" ca="1" si="41"/>
        <v/>
      </c>
      <c r="M137" s="20" t="str">
        <f t="shared" ca="1" si="42"/>
        <v/>
      </c>
      <c r="N137" s="6"/>
      <c r="O137" s="6"/>
      <c r="Q137" s="6"/>
      <c r="R137" s="20" t="str">
        <f ca="1">IF($R136="","",IF(INDIRECT(ADDRESS($R136+1,S$1-1,1,,"Score"))="SP",$R136+1,""))</f>
        <v/>
      </c>
      <c r="S137" s="89" t="str">
        <f t="shared" ca="1" si="43"/>
        <v/>
      </c>
      <c r="T137" s="20" t="str">
        <f t="shared" ca="1" si="43"/>
        <v/>
      </c>
      <c r="U137" s="6"/>
      <c r="V137" s="6"/>
      <c r="W137" s="157"/>
      <c r="X137" s="157"/>
      <c r="Y137" s="147"/>
      <c r="Z137" s="157" t="str">
        <f t="shared" ca="1" si="44"/>
        <v/>
      </c>
      <c r="AA137" s="157" t="str">
        <f t="shared" ca="1" si="44"/>
        <v/>
      </c>
      <c r="AB137" s="157" t="str">
        <f t="shared" ca="1" si="44"/>
        <v/>
      </c>
      <c r="AC137" s="20" t="str">
        <f t="shared" ca="1" si="45"/>
        <v/>
      </c>
      <c r="AD137" s="6"/>
      <c r="AE137" s="6"/>
    </row>
    <row r="138" spans="1:31" x14ac:dyDescent="0.25">
      <c r="A138" s="148">
        <f>A136+1</f>
        <v>26</v>
      </c>
      <c r="B138" s="149" t="str">
        <f>IF(ISNA(MATCH($A138,Score!A$46:A$83,0)),"",MATCH($A138,Score!A$46:A$83,0)+ROW(Score!A$45))</f>
        <v/>
      </c>
      <c r="C138" s="150" t="str">
        <f t="shared" ca="1" si="40"/>
        <v/>
      </c>
      <c r="D138" s="149" t="str">
        <f t="shared" ca="1" si="40"/>
        <v/>
      </c>
      <c r="E138" s="148" t="str">
        <f>IF(B138="","",SUM(D138,D139))</f>
        <v/>
      </c>
      <c r="F138" s="148" t="str">
        <f>IF(B138="","",E138-U138)</f>
        <v/>
      </c>
      <c r="G138" s="151" t="str">
        <f ca="1">IF($B138="","",IF(ISBLANK(INDIRECT(ADDRESS($B138,G$1,1,,"Score"))),"",1))</f>
        <v/>
      </c>
      <c r="H138" s="151" t="str">
        <f ca="1">IF($B138="","",IF(ISBLANK(INDIRECT(ADDRESS($B138,H$1,1,,"Score"))),"",1))</f>
        <v/>
      </c>
      <c r="I138" s="153" t="str">
        <f ca="1">IF(H138=1,F138,"")</f>
        <v/>
      </c>
      <c r="J138" s="151" t="str">
        <f t="shared" ca="1" si="41"/>
        <v/>
      </c>
      <c r="K138" s="151" t="str">
        <f t="shared" ca="1" si="41"/>
        <v/>
      </c>
      <c r="L138" s="151" t="str">
        <f t="shared" ca="1" si="41"/>
        <v/>
      </c>
      <c r="M138" s="149" t="str">
        <f t="shared" ca="1" si="42"/>
        <v/>
      </c>
      <c r="N138" s="6" t="str">
        <f ca="1">IF(ISNA(MATCH($A138,'Game Clock'!A$62:A$99,0)),"",INDIRECT(ADDRESS(MATCH($A138,'Game Clock'!A$62:A$99,0)+ROW('Game Clock'!A$61),N$1,1,,"Game Clock")))</f>
        <v/>
      </c>
      <c r="O138" s="148" t="str">
        <f ca="1">IF(OR(N138="",N138=0),"",60*E138/N138)</f>
        <v/>
      </c>
      <c r="Q138" s="148">
        <f>Q136+1</f>
        <v>26</v>
      </c>
      <c r="R138" s="149" t="str">
        <f>IF(ISNA(MATCH($Q138,Score!T$46:T$83,0)),"",MATCH($Q138,Score!T$46:T$83,0)+ROW(Score!T$45) )</f>
        <v/>
      </c>
      <c r="S138" s="150" t="str">
        <f t="shared" ca="1" si="43"/>
        <v/>
      </c>
      <c r="T138" s="149" t="str">
        <f t="shared" ca="1" si="43"/>
        <v/>
      </c>
      <c r="U138" s="148" t="str">
        <f>IF(R138="","",SUM(T138,T139))</f>
        <v/>
      </c>
      <c r="V138" s="148" t="str">
        <f>IF(R138="","",U138-E138)</f>
        <v/>
      </c>
      <c r="W138" s="151" t="str">
        <f ca="1">IF($R138="","",IF(ISBLANK(INDIRECT(ADDRESS($R138,W$1,1,,"Score"))),"",1))</f>
        <v/>
      </c>
      <c r="X138" s="151" t="str">
        <f ca="1">IF($R138="","",IF(ISBLANK(INDIRECT(ADDRESS($R138,X$1,1,,"Score"))),"",1))</f>
        <v/>
      </c>
      <c r="Y138" s="153" t="str">
        <f ca="1">IF(X138=1,V138,"")</f>
        <v/>
      </c>
      <c r="Z138" s="151" t="str">
        <f t="shared" ca="1" si="44"/>
        <v/>
      </c>
      <c r="AA138" s="151" t="str">
        <f t="shared" ca="1" si="44"/>
        <v/>
      </c>
      <c r="AB138" s="151" t="str">
        <f t="shared" ca="1" si="44"/>
        <v/>
      </c>
      <c r="AC138" s="149" t="str">
        <f t="shared" ca="1" si="45"/>
        <v/>
      </c>
      <c r="AD138" s="148" t="str">
        <f ca="1">N138</f>
        <v/>
      </c>
      <c r="AE138" s="148" t="str">
        <f ca="1">IF(OR(AD138="",AD138=0),"",60*U138/AD138)</f>
        <v/>
      </c>
    </row>
    <row r="139" spans="1:31" x14ac:dyDescent="0.3">
      <c r="A139" s="148"/>
      <c r="B139" s="149" t="str">
        <f ca="1">IF($B138="","",IF(INDIRECT(ADDRESS($B138+1,C$1-1,1,,"Score"))="SP",$B138+1,""))</f>
        <v/>
      </c>
      <c r="C139" s="150" t="str">
        <f t="shared" ca="1" si="40"/>
        <v/>
      </c>
      <c r="D139" s="149" t="str">
        <f t="shared" ca="1" si="40"/>
        <v/>
      </c>
      <c r="E139" s="148"/>
      <c r="F139" s="148"/>
      <c r="G139" s="151"/>
      <c r="H139" s="152"/>
      <c r="I139" s="153"/>
      <c r="J139" s="151" t="str">
        <f t="shared" ca="1" si="41"/>
        <v/>
      </c>
      <c r="K139" s="151" t="str">
        <f t="shared" ca="1" si="41"/>
        <v/>
      </c>
      <c r="L139" s="151" t="str">
        <f t="shared" ca="1" si="41"/>
        <v/>
      </c>
      <c r="M139" s="149" t="str">
        <f t="shared" ca="1" si="42"/>
        <v/>
      </c>
      <c r="N139" s="148"/>
      <c r="O139" s="148"/>
      <c r="Q139" s="148"/>
      <c r="R139" s="149" t="str">
        <f ca="1">IF($R138="","",IF(INDIRECT(ADDRESS($R138+1,S$1-1,1,,"Score"))="SP",$R138+1,""))</f>
        <v/>
      </c>
      <c r="S139" s="150" t="str">
        <f t="shared" ca="1" si="43"/>
        <v/>
      </c>
      <c r="T139" s="149" t="str">
        <f t="shared" ca="1" si="43"/>
        <v/>
      </c>
      <c r="U139" s="148"/>
      <c r="V139" s="148"/>
      <c r="W139" s="151"/>
      <c r="X139" s="152"/>
      <c r="Y139" s="153"/>
      <c r="Z139" s="151" t="str">
        <f t="shared" ca="1" si="44"/>
        <v/>
      </c>
      <c r="AA139" s="151" t="str">
        <f t="shared" ca="1" si="44"/>
        <v/>
      </c>
      <c r="AB139" s="151" t="str">
        <f t="shared" ca="1" si="44"/>
        <v/>
      </c>
      <c r="AC139" s="149" t="str">
        <f t="shared" ca="1" si="45"/>
        <v/>
      </c>
      <c r="AD139" s="148"/>
      <c r="AE139" s="148"/>
    </row>
    <row r="140" spans="1:31" x14ac:dyDescent="0.25">
      <c r="A140" s="6">
        <f>A138+1</f>
        <v>27</v>
      </c>
      <c r="B140" s="20" t="str">
        <f>IF(ISNA(MATCH($A140,Score!A$46:A$83,0)),"",MATCH($A140,Score!A$46:A$83,0)+ROW(Score!A$45))</f>
        <v/>
      </c>
      <c r="C140" s="89" t="str">
        <f t="shared" ca="1" si="40"/>
        <v/>
      </c>
      <c r="D140" s="20" t="str">
        <f t="shared" ca="1" si="40"/>
        <v/>
      </c>
      <c r="E140" s="6" t="str">
        <f>IF(B140="","",SUM(D140,D141))</f>
        <v/>
      </c>
      <c r="F140" s="6" t="str">
        <f>IF(B140="","",E140-U140)</f>
        <v/>
      </c>
      <c r="G140" s="157" t="str">
        <f ca="1">IF($B140="","",IF(ISBLANK(INDIRECT(ADDRESS($B140,G$1,1,,"Score"))),"",1))</f>
        <v/>
      </c>
      <c r="H140" s="157" t="str">
        <f ca="1">IF($B140="","",IF(ISBLANK(INDIRECT(ADDRESS($B140,H$1,1,,"Score"))),"",1))</f>
        <v/>
      </c>
      <c r="I140" s="147" t="str">
        <f ca="1">IF(H140=1,F140,"")</f>
        <v/>
      </c>
      <c r="J140" s="157" t="str">
        <f t="shared" ca="1" si="41"/>
        <v/>
      </c>
      <c r="K140" s="157" t="str">
        <f t="shared" ca="1" si="41"/>
        <v/>
      </c>
      <c r="L140" s="157" t="str">
        <f t="shared" ca="1" si="41"/>
        <v/>
      </c>
      <c r="M140" s="20" t="str">
        <f t="shared" ca="1" si="42"/>
        <v/>
      </c>
      <c r="N140" s="6" t="str">
        <f ca="1">IF(ISNA(MATCH($A140,'Game Clock'!A$62:A$99,0)),"",INDIRECT(ADDRESS(MATCH($A140,'Game Clock'!A$62:A$99,0)+ROW('Game Clock'!A$61),N$1,1,,"Game Clock")))</f>
        <v/>
      </c>
      <c r="O140" s="6" t="str">
        <f ca="1">IF(OR(N140="",N140=0),"",60*E140/N140)</f>
        <v/>
      </c>
      <c r="Q140" s="6">
        <f>Q138+1</f>
        <v>27</v>
      </c>
      <c r="R140" s="20" t="str">
        <f>IF(ISNA(MATCH($Q140,Score!T$46:T$83,0)),"",MATCH($Q140,Score!T$46:T$83,0)+ROW(Score!T$45) )</f>
        <v/>
      </c>
      <c r="S140" s="89" t="str">
        <f t="shared" ca="1" si="43"/>
        <v/>
      </c>
      <c r="T140" s="20" t="str">
        <f t="shared" ca="1" si="43"/>
        <v/>
      </c>
      <c r="U140" s="6" t="str">
        <f>IF(R140="","",SUM(T140,T141))</f>
        <v/>
      </c>
      <c r="V140" s="6" t="str">
        <f>IF(R140="","",U140-E140)</f>
        <v/>
      </c>
      <c r="W140" s="157" t="str">
        <f ca="1">IF($R140="","",IF(ISBLANK(INDIRECT(ADDRESS($R140,W$1,1,,"Score"))),"",1))</f>
        <v/>
      </c>
      <c r="X140" s="157" t="str">
        <f ca="1">IF($R140="","",IF(ISBLANK(INDIRECT(ADDRESS($R140,X$1,1,,"Score"))),"",1))</f>
        <v/>
      </c>
      <c r="Y140" s="147" t="str">
        <f ca="1">IF(X140=1,V140,"")</f>
        <v/>
      </c>
      <c r="Z140" s="157" t="str">
        <f t="shared" ca="1" si="44"/>
        <v/>
      </c>
      <c r="AA140" s="157" t="str">
        <f t="shared" ca="1" si="44"/>
        <v/>
      </c>
      <c r="AB140" s="157" t="str">
        <f t="shared" ca="1" si="44"/>
        <v/>
      </c>
      <c r="AC140" s="20" t="str">
        <f t="shared" ca="1" si="45"/>
        <v/>
      </c>
      <c r="AD140" s="6" t="str">
        <f ca="1">N140</f>
        <v/>
      </c>
      <c r="AE140" s="6" t="str">
        <f ca="1">IF(OR(AD140="",AD140=0),"",60*U140/AD140)</f>
        <v/>
      </c>
    </row>
    <row r="141" spans="1:31" x14ac:dyDescent="0.25">
      <c r="A141" s="6"/>
      <c r="B141" s="20" t="str">
        <f ca="1">IF($B140="","",IF(INDIRECT(ADDRESS($B140+1,C$1-1,1,,"Score"))="SP",$B140+1,""))</f>
        <v/>
      </c>
      <c r="C141" s="89" t="str">
        <f t="shared" ca="1" si="40"/>
        <v/>
      </c>
      <c r="D141" s="20" t="str">
        <f t="shared" ca="1" si="40"/>
        <v/>
      </c>
      <c r="E141" s="6"/>
      <c r="F141" s="6"/>
      <c r="G141" s="157"/>
      <c r="H141" s="157"/>
      <c r="I141" s="147"/>
      <c r="J141" s="157" t="str">
        <f t="shared" ca="1" si="41"/>
        <v/>
      </c>
      <c r="K141" s="157" t="str">
        <f t="shared" ca="1" si="41"/>
        <v/>
      </c>
      <c r="L141" s="157" t="str">
        <f t="shared" ca="1" si="41"/>
        <v/>
      </c>
      <c r="M141" s="20" t="str">
        <f t="shared" ca="1" si="42"/>
        <v/>
      </c>
      <c r="N141" s="6"/>
      <c r="O141" s="6"/>
      <c r="Q141" s="6"/>
      <c r="R141" s="20" t="str">
        <f ca="1">IF($R140="","",IF(INDIRECT(ADDRESS($R140+1,S$1-1,1,,"Score"))="SP",$R140+1,""))</f>
        <v/>
      </c>
      <c r="S141" s="89" t="str">
        <f t="shared" ca="1" si="43"/>
        <v/>
      </c>
      <c r="T141" s="20" t="str">
        <f t="shared" ca="1" si="43"/>
        <v/>
      </c>
      <c r="U141" s="6"/>
      <c r="V141" s="6"/>
      <c r="W141" s="157"/>
      <c r="X141" s="157"/>
      <c r="Y141" s="147"/>
      <c r="Z141" s="157" t="str">
        <f t="shared" ca="1" si="44"/>
        <v/>
      </c>
      <c r="AA141" s="157" t="str">
        <f t="shared" ca="1" si="44"/>
        <v/>
      </c>
      <c r="AB141" s="157" t="str">
        <f t="shared" ca="1" si="44"/>
        <v/>
      </c>
      <c r="AC141" s="20" t="str">
        <f t="shared" ca="1" si="45"/>
        <v/>
      </c>
      <c r="AD141" s="6"/>
      <c r="AE141" s="6"/>
    </row>
    <row r="142" spans="1:31" x14ac:dyDescent="0.25">
      <c r="A142" s="148">
        <f>A140+1</f>
        <v>28</v>
      </c>
      <c r="B142" s="149" t="str">
        <f>IF(ISNA(MATCH($A142,Score!A$46:A$83,0)),"",MATCH($A142,Score!A$46:A$83,0)+ROW(Score!A$45))</f>
        <v/>
      </c>
      <c r="C142" s="150" t="str">
        <f t="shared" ca="1" si="40"/>
        <v/>
      </c>
      <c r="D142" s="149" t="str">
        <f t="shared" ca="1" si="40"/>
        <v/>
      </c>
      <c r="E142" s="148" t="str">
        <f>IF(B142="","",SUM(D142,D143))</f>
        <v/>
      </c>
      <c r="F142" s="148" t="str">
        <f>IF(B142="","",E142-U142)</f>
        <v/>
      </c>
      <c r="G142" s="151" t="str">
        <f ca="1">IF($B142="","",IF(ISBLANK(INDIRECT(ADDRESS($B142,G$1,1,,"Score"))),"",1))</f>
        <v/>
      </c>
      <c r="H142" s="151" t="str">
        <f ca="1">IF($B142="","",IF(ISBLANK(INDIRECT(ADDRESS($B142,H$1,1,,"Score"))),"",1))</f>
        <v/>
      </c>
      <c r="I142" s="153" t="str">
        <f ca="1">IF(H142=1,F142,"")</f>
        <v/>
      </c>
      <c r="J142" s="151" t="str">
        <f t="shared" ca="1" si="41"/>
        <v/>
      </c>
      <c r="K142" s="151" t="str">
        <f t="shared" ca="1" si="41"/>
        <v/>
      </c>
      <c r="L142" s="151" t="str">
        <f t="shared" ca="1" si="41"/>
        <v/>
      </c>
      <c r="M142" s="149" t="str">
        <f t="shared" ca="1" si="42"/>
        <v/>
      </c>
      <c r="N142" s="6" t="str">
        <f ca="1">IF(ISNA(MATCH($A142,'Game Clock'!A$62:A$99,0)),"",INDIRECT(ADDRESS(MATCH($A142,'Game Clock'!A$62:A$99,0)+ROW('Game Clock'!A$61),N$1,1,,"Game Clock")))</f>
        <v/>
      </c>
      <c r="O142" s="148" t="str">
        <f ca="1">IF(OR(N142="",N142=0),"",60*E142/N142)</f>
        <v/>
      </c>
      <c r="Q142" s="148">
        <f>Q140+1</f>
        <v>28</v>
      </c>
      <c r="R142" s="149" t="str">
        <f>IF(ISNA(MATCH($Q142,Score!T$46:T$83,0)),"",MATCH($Q142,Score!T$46:T$83,0)+ROW(Score!T$45) )</f>
        <v/>
      </c>
      <c r="S142" s="150" t="str">
        <f t="shared" ca="1" si="43"/>
        <v/>
      </c>
      <c r="T142" s="149" t="str">
        <f t="shared" ca="1" si="43"/>
        <v/>
      </c>
      <c r="U142" s="148" t="str">
        <f>IF(R142="","",SUM(T142,T143))</f>
        <v/>
      </c>
      <c r="V142" s="148" t="str">
        <f>IF(R142="","",U142-E142)</f>
        <v/>
      </c>
      <c r="W142" s="151" t="str">
        <f ca="1">IF($R142="","",IF(ISBLANK(INDIRECT(ADDRESS($R142,W$1,1,,"Score"))),"",1))</f>
        <v/>
      </c>
      <c r="X142" s="151" t="str">
        <f ca="1">IF($R142="","",IF(ISBLANK(INDIRECT(ADDRESS($R142,X$1,1,,"Score"))),"",1))</f>
        <v/>
      </c>
      <c r="Y142" s="153" t="str">
        <f ca="1">IF(X142=1,V142,"")</f>
        <v/>
      </c>
      <c r="Z142" s="151" t="str">
        <f t="shared" ca="1" si="44"/>
        <v/>
      </c>
      <c r="AA142" s="151" t="str">
        <f t="shared" ca="1" si="44"/>
        <v/>
      </c>
      <c r="AB142" s="151" t="str">
        <f t="shared" ca="1" si="44"/>
        <v/>
      </c>
      <c r="AC142" s="149" t="str">
        <f t="shared" ca="1" si="45"/>
        <v/>
      </c>
      <c r="AD142" s="148" t="str">
        <f ca="1">N142</f>
        <v/>
      </c>
      <c r="AE142" s="148" t="str">
        <f ca="1">IF(OR(AD142="",AD142=0),"",60*U142/AD142)</f>
        <v/>
      </c>
    </row>
    <row r="143" spans="1:31" x14ac:dyDescent="0.3">
      <c r="A143" s="148"/>
      <c r="B143" s="149" t="str">
        <f ca="1">IF($B142="","",IF(INDIRECT(ADDRESS($B142+1,C$1-1,1,,"Score"))="SP",$B142+1,""))</f>
        <v/>
      </c>
      <c r="C143" s="150" t="str">
        <f t="shared" ca="1" si="40"/>
        <v/>
      </c>
      <c r="D143" s="149" t="str">
        <f t="shared" ca="1" si="40"/>
        <v/>
      </c>
      <c r="E143" s="148"/>
      <c r="F143" s="148"/>
      <c r="G143" s="151"/>
      <c r="H143" s="152"/>
      <c r="I143" s="153"/>
      <c r="J143" s="151" t="str">
        <f t="shared" ca="1" si="41"/>
        <v/>
      </c>
      <c r="K143" s="151" t="str">
        <f t="shared" ca="1" si="41"/>
        <v/>
      </c>
      <c r="L143" s="151" t="str">
        <f t="shared" ca="1" si="41"/>
        <v/>
      </c>
      <c r="M143" s="149" t="str">
        <f t="shared" ca="1" si="42"/>
        <v/>
      </c>
      <c r="N143" s="148"/>
      <c r="O143" s="148"/>
      <c r="Q143" s="148"/>
      <c r="R143" s="149" t="str">
        <f ca="1">IF($R142="","",IF(INDIRECT(ADDRESS($R142+1,S$1-1,1,,"Score"))="SP",$R142+1,""))</f>
        <v/>
      </c>
      <c r="S143" s="150" t="str">
        <f t="shared" ca="1" si="43"/>
        <v/>
      </c>
      <c r="T143" s="149" t="str">
        <f t="shared" ca="1" si="43"/>
        <v/>
      </c>
      <c r="U143" s="148"/>
      <c r="V143" s="148"/>
      <c r="W143" s="151"/>
      <c r="X143" s="152"/>
      <c r="Y143" s="153"/>
      <c r="Z143" s="151" t="str">
        <f t="shared" ca="1" si="44"/>
        <v/>
      </c>
      <c r="AA143" s="151" t="str">
        <f t="shared" ca="1" si="44"/>
        <v/>
      </c>
      <c r="AB143" s="151" t="str">
        <f t="shared" ca="1" si="44"/>
        <v/>
      </c>
      <c r="AC143" s="149" t="str">
        <f t="shared" ca="1" si="45"/>
        <v/>
      </c>
      <c r="AD143" s="148"/>
      <c r="AE143" s="148"/>
    </row>
    <row r="144" spans="1:31" x14ac:dyDescent="0.25">
      <c r="A144" s="6">
        <f>A142+1</f>
        <v>29</v>
      </c>
      <c r="B144" s="20" t="str">
        <f>IF(ISNA(MATCH($A144,Score!A$46:A$83,0)),"",MATCH($A144,Score!A$46:A$83,0)+ROW(Score!A$45))</f>
        <v/>
      </c>
      <c r="C144" s="89" t="str">
        <f t="shared" ref="C144:D159" ca="1" si="46">IF($B144="","",INDIRECT(ADDRESS($B144,C$1,1,,"Score")))</f>
        <v/>
      </c>
      <c r="D144" s="20" t="str">
        <f t="shared" ca="1" si="46"/>
        <v/>
      </c>
      <c r="E144" s="6" t="str">
        <f>IF(B144="","",SUM(D144,D145))</f>
        <v/>
      </c>
      <c r="F144" s="6" t="str">
        <f>IF(B144="","",E144-U144)</f>
        <v/>
      </c>
      <c r="G144" s="157" t="str">
        <f ca="1">IF($B144="","",IF(ISBLANK(INDIRECT(ADDRESS($B144,G$1,1,,"Score"))),"",1))</f>
        <v/>
      </c>
      <c r="H144" s="157" t="str">
        <f ca="1">IF($B144="","",IF(ISBLANK(INDIRECT(ADDRESS($B144,H$1,1,,"Score"))),"",1))</f>
        <v/>
      </c>
      <c r="I144" s="147" t="str">
        <f ca="1">IF(H144=1,F144,"")</f>
        <v/>
      </c>
      <c r="J144" s="157" t="str">
        <f t="shared" ref="J144:L159" ca="1" si="47">IF($B144="","",IF(ISBLANK(INDIRECT(ADDRESS($B144,J$1,1,,"Score"))),"",1))</f>
        <v/>
      </c>
      <c r="K144" s="157" t="str">
        <f t="shared" ca="1" si="47"/>
        <v/>
      </c>
      <c r="L144" s="157" t="str">
        <f t="shared" ca="1" si="47"/>
        <v/>
      </c>
      <c r="M144" s="20" t="str">
        <f t="shared" ref="M144:M163" ca="1" si="48">IF($B144="","",INDIRECT(ADDRESS($B144,M$1,1,,"Score")))</f>
        <v/>
      </c>
      <c r="N144" s="6" t="str">
        <f ca="1">IF(ISNA(MATCH($A144,'Game Clock'!A$62:A$99,0)),"",INDIRECT(ADDRESS(MATCH($A144,'Game Clock'!A$62:A$99,0)+ROW('Game Clock'!A$61),N$1,1,,"Game Clock")))</f>
        <v/>
      </c>
      <c r="O144" s="6" t="str">
        <f ca="1">IF(OR(N144="",N144=0),"",60*E144/N144)</f>
        <v/>
      </c>
      <c r="Q144" s="6">
        <f>Q142+1</f>
        <v>29</v>
      </c>
      <c r="R144" s="20" t="str">
        <f>IF(ISNA(MATCH($Q144,Score!T$46:T$83,0)),"",MATCH($Q144,Score!T$46:T$83,0)+ROW(Score!T$45) )</f>
        <v/>
      </c>
      <c r="S144" s="89" t="str">
        <f t="shared" ref="S144:T159" ca="1" si="49">IF($R144="","",INDIRECT(ADDRESS($R144,S$1,1,,"Score")))</f>
        <v/>
      </c>
      <c r="T144" s="20" t="str">
        <f t="shared" ca="1" si="49"/>
        <v/>
      </c>
      <c r="U144" s="6" t="str">
        <f>IF(R144="","",SUM(T144,T145))</f>
        <v/>
      </c>
      <c r="V144" s="6" t="str">
        <f>IF(R144="","",U144-E144)</f>
        <v/>
      </c>
      <c r="W144" s="157" t="str">
        <f ca="1">IF($R144="","",IF(ISBLANK(INDIRECT(ADDRESS($R144,W$1,1,,"Score"))),"",1))</f>
        <v/>
      </c>
      <c r="X144" s="157" t="str">
        <f ca="1">IF($R144="","",IF(ISBLANK(INDIRECT(ADDRESS($R144,X$1,1,,"Score"))),"",1))</f>
        <v/>
      </c>
      <c r="Y144" s="147" t="str">
        <f ca="1">IF(X144=1,V144,"")</f>
        <v/>
      </c>
      <c r="Z144" s="157" t="str">
        <f t="shared" ref="Z144:AB159" ca="1" si="50">IF($R144="","",IF(ISBLANK(INDIRECT(ADDRESS($R144,Z$1,1,,"Score"))),"",1))</f>
        <v/>
      </c>
      <c r="AA144" s="157" t="str">
        <f t="shared" ca="1" si="50"/>
        <v/>
      </c>
      <c r="AB144" s="157" t="str">
        <f t="shared" ca="1" si="50"/>
        <v/>
      </c>
      <c r="AC144" s="20" t="str">
        <f t="shared" ref="AC144:AC163" ca="1" si="51">IF($R144="","",INDIRECT(ADDRESS($R144,AC$1,1,,"Score")))</f>
        <v/>
      </c>
      <c r="AD144" s="6" t="str">
        <f ca="1">N144</f>
        <v/>
      </c>
      <c r="AE144" s="6" t="str">
        <f ca="1">IF(OR(AD144="",AD144=0),"",60*U144/AD144)</f>
        <v/>
      </c>
    </row>
    <row r="145" spans="1:31" x14ac:dyDescent="0.25">
      <c r="A145" s="6"/>
      <c r="B145" s="20" t="str">
        <f ca="1">IF($B144="","",IF(INDIRECT(ADDRESS($B144+1,C$1-1,1,,"Score"))="SP",$B144+1,""))</f>
        <v/>
      </c>
      <c r="C145" s="89" t="str">
        <f t="shared" ca="1" si="46"/>
        <v/>
      </c>
      <c r="D145" s="20" t="str">
        <f t="shared" ca="1" si="46"/>
        <v/>
      </c>
      <c r="E145" s="6"/>
      <c r="F145" s="6"/>
      <c r="G145" s="157"/>
      <c r="H145" s="157"/>
      <c r="I145" s="147"/>
      <c r="J145" s="157" t="str">
        <f t="shared" ca="1" si="47"/>
        <v/>
      </c>
      <c r="K145" s="157" t="str">
        <f t="shared" ca="1" si="47"/>
        <v/>
      </c>
      <c r="L145" s="157" t="str">
        <f t="shared" ca="1" si="47"/>
        <v/>
      </c>
      <c r="M145" s="20" t="str">
        <f t="shared" ca="1" si="48"/>
        <v/>
      </c>
      <c r="N145" s="6"/>
      <c r="O145" s="6"/>
      <c r="Q145" s="6"/>
      <c r="R145" s="20" t="str">
        <f ca="1">IF($R144="","",IF(INDIRECT(ADDRESS($R144+1,S$1-1,1,,"Score"))="SP",$R144+1,""))</f>
        <v/>
      </c>
      <c r="S145" s="89" t="str">
        <f t="shared" ca="1" si="49"/>
        <v/>
      </c>
      <c r="T145" s="20" t="str">
        <f t="shared" ca="1" si="49"/>
        <v/>
      </c>
      <c r="U145" s="6"/>
      <c r="V145" s="6"/>
      <c r="W145" s="157"/>
      <c r="X145" s="157"/>
      <c r="Y145" s="147"/>
      <c r="Z145" s="157" t="str">
        <f t="shared" ca="1" si="50"/>
        <v/>
      </c>
      <c r="AA145" s="157" t="str">
        <f t="shared" ca="1" si="50"/>
        <v/>
      </c>
      <c r="AB145" s="157" t="str">
        <f t="shared" ca="1" si="50"/>
        <v/>
      </c>
      <c r="AC145" s="20" t="str">
        <f t="shared" ca="1" si="51"/>
        <v/>
      </c>
      <c r="AD145" s="6"/>
      <c r="AE145" s="6"/>
    </row>
    <row r="146" spans="1:31" x14ac:dyDescent="0.25">
      <c r="A146" s="148">
        <f>A144+1</f>
        <v>30</v>
      </c>
      <c r="B146" s="149" t="str">
        <f>IF(ISNA(MATCH($A146,Score!A$46:A$83,0)),"",MATCH($A146,Score!A$46:A$83,0)+ROW(Score!A$45))</f>
        <v/>
      </c>
      <c r="C146" s="150" t="str">
        <f t="shared" ca="1" si="46"/>
        <v/>
      </c>
      <c r="D146" s="149" t="str">
        <f t="shared" ca="1" si="46"/>
        <v/>
      </c>
      <c r="E146" s="148" t="str">
        <f>IF(B146="","",SUM(D146,D147))</f>
        <v/>
      </c>
      <c r="F146" s="148" t="str">
        <f>IF(B146="","",E146-U146)</f>
        <v/>
      </c>
      <c r="G146" s="151" t="str">
        <f ca="1">IF($B146="","",IF(ISBLANK(INDIRECT(ADDRESS($B146,G$1,1,,"Score"))),"",1))</f>
        <v/>
      </c>
      <c r="H146" s="151" t="str">
        <f ca="1">IF($B146="","",IF(ISBLANK(INDIRECT(ADDRESS($B146,H$1,1,,"Score"))),"",1))</f>
        <v/>
      </c>
      <c r="I146" s="153" t="str">
        <f ca="1">IF(H146=1,F146,"")</f>
        <v/>
      </c>
      <c r="J146" s="151" t="str">
        <f t="shared" ca="1" si="47"/>
        <v/>
      </c>
      <c r="K146" s="151" t="str">
        <f t="shared" ca="1" si="47"/>
        <v/>
      </c>
      <c r="L146" s="151" t="str">
        <f t="shared" ca="1" si="47"/>
        <v/>
      </c>
      <c r="M146" s="149" t="str">
        <f t="shared" ca="1" si="48"/>
        <v/>
      </c>
      <c r="N146" s="6" t="str">
        <f ca="1">IF(ISNA(MATCH($A146,'Game Clock'!A$62:A$99,0)),"",INDIRECT(ADDRESS(MATCH($A146,'Game Clock'!A$62:A$99,0)+ROW('Game Clock'!A$61),N$1,1,,"Game Clock")))</f>
        <v/>
      </c>
      <c r="O146" s="148" t="str">
        <f ca="1">IF(OR(N146="",N146=0),"",60*E146/N146)</f>
        <v/>
      </c>
      <c r="Q146" s="148">
        <f>Q144+1</f>
        <v>30</v>
      </c>
      <c r="R146" s="149" t="str">
        <f>IF(ISNA(MATCH($Q146,Score!T$46:T$83,0)),"",MATCH($Q146,Score!T$46:T$83,0)+ROW(Score!T$45) )</f>
        <v/>
      </c>
      <c r="S146" s="150" t="str">
        <f t="shared" ca="1" si="49"/>
        <v/>
      </c>
      <c r="T146" s="149" t="str">
        <f t="shared" ca="1" si="49"/>
        <v/>
      </c>
      <c r="U146" s="148" t="str">
        <f>IF(R146="","",SUM(T146,T147))</f>
        <v/>
      </c>
      <c r="V146" s="148" t="str">
        <f>IF(R146="","",U146-E146)</f>
        <v/>
      </c>
      <c r="W146" s="151" t="str">
        <f ca="1">IF($R146="","",IF(ISBLANK(INDIRECT(ADDRESS($R146,W$1,1,,"Score"))),"",1))</f>
        <v/>
      </c>
      <c r="X146" s="151" t="str">
        <f ca="1">IF($R146="","",IF(ISBLANK(INDIRECT(ADDRESS($R146,X$1,1,,"Score"))),"",1))</f>
        <v/>
      </c>
      <c r="Y146" s="153" t="str">
        <f ca="1">IF(X146=1,V146,"")</f>
        <v/>
      </c>
      <c r="Z146" s="151" t="str">
        <f t="shared" ca="1" si="50"/>
        <v/>
      </c>
      <c r="AA146" s="151" t="str">
        <f t="shared" ca="1" si="50"/>
        <v/>
      </c>
      <c r="AB146" s="151" t="str">
        <f t="shared" ca="1" si="50"/>
        <v/>
      </c>
      <c r="AC146" s="149" t="str">
        <f t="shared" ca="1" si="51"/>
        <v/>
      </c>
      <c r="AD146" s="148" t="str">
        <f ca="1">N146</f>
        <v/>
      </c>
      <c r="AE146" s="148" t="str">
        <f ca="1">IF(OR(AD146="",AD146=0),"",60*U146/AD146)</f>
        <v/>
      </c>
    </row>
    <row r="147" spans="1:31" x14ac:dyDescent="0.3">
      <c r="A147" s="148"/>
      <c r="B147" s="149" t="str">
        <f ca="1">IF($B146="","",IF(INDIRECT(ADDRESS($B146+1,C$1-1,1,,"Score"))="SP",$B146+1,""))</f>
        <v/>
      </c>
      <c r="C147" s="150" t="str">
        <f t="shared" ca="1" si="46"/>
        <v/>
      </c>
      <c r="D147" s="149" t="str">
        <f t="shared" ca="1" si="46"/>
        <v/>
      </c>
      <c r="E147" s="148"/>
      <c r="F147" s="148"/>
      <c r="G147" s="151"/>
      <c r="H147" s="152"/>
      <c r="I147" s="153"/>
      <c r="J147" s="151" t="str">
        <f t="shared" ca="1" si="47"/>
        <v/>
      </c>
      <c r="K147" s="151" t="str">
        <f t="shared" ca="1" si="47"/>
        <v/>
      </c>
      <c r="L147" s="151" t="str">
        <f t="shared" ca="1" si="47"/>
        <v/>
      </c>
      <c r="M147" s="149" t="str">
        <f t="shared" ca="1" si="48"/>
        <v/>
      </c>
      <c r="N147" s="148"/>
      <c r="O147" s="148"/>
      <c r="Q147" s="148"/>
      <c r="R147" s="149" t="str">
        <f ca="1">IF($R146="","",IF(INDIRECT(ADDRESS($R146+1,S$1-1,1,,"Score"))="SP",$R146+1,""))</f>
        <v/>
      </c>
      <c r="S147" s="150" t="str">
        <f t="shared" ca="1" si="49"/>
        <v/>
      </c>
      <c r="T147" s="149" t="str">
        <f t="shared" ca="1" si="49"/>
        <v/>
      </c>
      <c r="U147" s="148"/>
      <c r="V147" s="148"/>
      <c r="W147" s="151"/>
      <c r="X147" s="152"/>
      <c r="Y147" s="153"/>
      <c r="Z147" s="151" t="str">
        <f t="shared" ca="1" si="50"/>
        <v/>
      </c>
      <c r="AA147" s="151" t="str">
        <f t="shared" ca="1" si="50"/>
        <v/>
      </c>
      <c r="AB147" s="151" t="str">
        <f t="shared" ca="1" si="50"/>
        <v/>
      </c>
      <c r="AC147" s="149" t="str">
        <f t="shared" ca="1" si="51"/>
        <v/>
      </c>
      <c r="AD147" s="148"/>
      <c r="AE147" s="148"/>
    </row>
    <row r="148" spans="1:31" x14ac:dyDescent="0.25">
      <c r="A148" s="6">
        <f>A146+1</f>
        <v>31</v>
      </c>
      <c r="B148" s="20" t="str">
        <f>IF(ISNA(MATCH($A148,Score!A$46:A$83,0)),"",MATCH($A148,Score!A$46:A$83,0)+ROW(Score!A$45))</f>
        <v/>
      </c>
      <c r="C148" s="89" t="str">
        <f t="shared" ca="1" si="46"/>
        <v/>
      </c>
      <c r="D148" s="20" t="str">
        <f t="shared" ca="1" si="46"/>
        <v/>
      </c>
      <c r="E148" s="6" t="str">
        <f>IF(B148="","",SUM(D148,D149))</f>
        <v/>
      </c>
      <c r="F148" s="6" t="str">
        <f>IF(B148="","",E148-U148)</f>
        <v/>
      </c>
      <c r="G148" s="157" t="str">
        <f ca="1">IF($B148="","",IF(ISBLANK(INDIRECT(ADDRESS($B148,G$1,1,,"Score"))),"",1))</f>
        <v/>
      </c>
      <c r="H148" s="157" t="str">
        <f ca="1">IF($B148="","",IF(ISBLANK(INDIRECT(ADDRESS($B148,H$1,1,,"Score"))),"",1))</f>
        <v/>
      </c>
      <c r="I148" s="147" t="str">
        <f ca="1">IF(H148=1,F148,"")</f>
        <v/>
      </c>
      <c r="J148" s="157" t="str">
        <f t="shared" ca="1" si="47"/>
        <v/>
      </c>
      <c r="K148" s="157" t="str">
        <f t="shared" ca="1" si="47"/>
        <v/>
      </c>
      <c r="L148" s="157" t="str">
        <f t="shared" ca="1" si="47"/>
        <v/>
      </c>
      <c r="M148" s="20" t="str">
        <f t="shared" ca="1" si="48"/>
        <v/>
      </c>
      <c r="N148" s="6" t="str">
        <f ca="1">IF(ISNA(MATCH($A148,'Game Clock'!A$62:A$99,0)),"",INDIRECT(ADDRESS(MATCH($A148,'Game Clock'!A$62:A$99,0)+ROW('Game Clock'!A$61),N$1,1,,"Game Clock")))</f>
        <v/>
      </c>
      <c r="O148" s="6" t="str">
        <f ca="1">IF(OR(N148="",N148=0),"",60*E148/N148)</f>
        <v/>
      </c>
      <c r="Q148" s="6">
        <f>Q146+1</f>
        <v>31</v>
      </c>
      <c r="R148" s="20" t="str">
        <f>IF(ISNA(MATCH($Q148,Score!T$46:T$83,0)),"",MATCH($Q148,Score!T$46:T$83,0)+ROW(Score!T$45) )</f>
        <v/>
      </c>
      <c r="S148" s="89" t="str">
        <f t="shared" ca="1" si="49"/>
        <v/>
      </c>
      <c r="T148" s="20" t="str">
        <f t="shared" ca="1" si="49"/>
        <v/>
      </c>
      <c r="U148" s="6" t="str">
        <f>IF(R148="","",SUM(T148,T149))</f>
        <v/>
      </c>
      <c r="V148" s="6" t="str">
        <f>IF(R148="","",U148-E148)</f>
        <v/>
      </c>
      <c r="W148" s="157" t="str">
        <f ca="1">IF($R148="","",IF(ISBLANK(INDIRECT(ADDRESS($R148,W$1,1,,"Score"))),"",1))</f>
        <v/>
      </c>
      <c r="X148" s="157" t="str">
        <f ca="1">IF($R148="","",IF(ISBLANK(INDIRECT(ADDRESS($R148,X$1,1,,"Score"))),"",1))</f>
        <v/>
      </c>
      <c r="Y148" s="147" t="str">
        <f ca="1">IF(X148=1,V148,"")</f>
        <v/>
      </c>
      <c r="Z148" s="157" t="str">
        <f t="shared" ca="1" si="50"/>
        <v/>
      </c>
      <c r="AA148" s="157" t="str">
        <f t="shared" ca="1" si="50"/>
        <v/>
      </c>
      <c r="AB148" s="157" t="str">
        <f t="shared" ca="1" si="50"/>
        <v/>
      </c>
      <c r="AC148" s="20" t="str">
        <f t="shared" ca="1" si="51"/>
        <v/>
      </c>
      <c r="AD148" s="6" t="str">
        <f ca="1">N148</f>
        <v/>
      </c>
      <c r="AE148" s="6" t="str">
        <f ca="1">IF(OR(AD148="",AD148=0),"",60*U148/AD148)</f>
        <v/>
      </c>
    </row>
    <row r="149" spans="1:31" x14ac:dyDescent="0.25">
      <c r="A149" s="6"/>
      <c r="B149" s="20" t="str">
        <f ca="1">IF($B148="","",IF(INDIRECT(ADDRESS($B148+1,C$1-1,1,,"Score"))="SP",$B148+1,""))</f>
        <v/>
      </c>
      <c r="C149" s="89" t="str">
        <f t="shared" ca="1" si="46"/>
        <v/>
      </c>
      <c r="D149" s="20" t="str">
        <f t="shared" ca="1" si="46"/>
        <v/>
      </c>
      <c r="E149" s="6"/>
      <c r="F149" s="6"/>
      <c r="G149" s="157"/>
      <c r="H149" s="157"/>
      <c r="I149" s="147"/>
      <c r="J149" s="157" t="str">
        <f t="shared" ca="1" si="47"/>
        <v/>
      </c>
      <c r="K149" s="157" t="str">
        <f t="shared" ca="1" si="47"/>
        <v/>
      </c>
      <c r="L149" s="157" t="str">
        <f t="shared" ca="1" si="47"/>
        <v/>
      </c>
      <c r="M149" s="20" t="str">
        <f t="shared" ca="1" si="48"/>
        <v/>
      </c>
      <c r="N149" s="6"/>
      <c r="O149" s="6"/>
      <c r="Q149" s="6"/>
      <c r="R149" s="20" t="str">
        <f ca="1">IF($R148="","",IF(INDIRECT(ADDRESS($R148+1,S$1-1,1,,"Score"))="SP",$R148+1,""))</f>
        <v/>
      </c>
      <c r="S149" s="89" t="str">
        <f t="shared" ca="1" si="49"/>
        <v/>
      </c>
      <c r="T149" s="20" t="str">
        <f t="shared" ca="1" si="49"/>
        <v/>
      </c>
      <c r="U149" s="6"/>
      <c r="V149" s="6"/>
      <c r="W149" s="157"/>
      <c r="X149" s="157"/>
      <c r="Y149" s="147"/>
      <c r="Z149" s="157" t="str">
        <f t="shared" ca="1" si="50"/>
        <v/>
      </c>
      <c r="AA149" s="157" t="str">
        <f t="shared" ca="1" si="50"/>
        <v/>
      </c>
      <c r="AB149" s="157" t="str">
        <f t="shared" ca="1" si="50"/>
        <v/>
      </c>
      <c r="AC149" s="20" t="str">
        <f t="shared" ca="1" si="51"/>
        <v/>
      </c>
      <c r="AD149" s="6"/>
      <c r="AE149" s="6"/>
    </row>
    <row r="150" spans="1:31" x14ac:dyDescent="0.25">
      <c r="A150" s="148">
        <f>A148+1</f>
        <v>32</v>
      </c>
      <c r="B150" s="149" t="str">
        <f>IF(ISNA(MATCH($A150,Score!A$46:A$83,0)),"",MATCH($A150,Score!A$46:A$83,0)+ROW(Score!A$45))</f>
        <v/>
      </c>
      <c r="C150" s="150" t="str">
        <f t="shared" ca="1" si="46"/>
        <v/>
      </c>
      <c r="D150" s="149" t="str">
        <f t="shared" ca="1" si="46"/>
        <v/>
      </c>
      <c r="E150" s="148" t="str">
        <f>IF(B150="","",SUM(D150,D151))</f>
        <v/>
      </c>
      <c r="F150" s="148" t="str">
        <f>IF(B150="","",E150-U150)</f>
        <v/>
      </c>
      <c r="G150" s="151" t="str">
        <f ca="1">IF($B150="","",IF(ISBLANK(INDIRECT(ADDRESS($B150,G$1,1,,"Score"))),"",1))</f>
        <v/>
      </c>
      <c r="H150" s="151" t="str">
        <f ca="1">IF($B150="","",IF(ISBLANK(INDIRECT(ADDRESS($B150,H$1,1,,"Score"))),"",1))</f>
        <v/>
      </c>
      <c r="I150" s="153" t="str">
        <f ca="1">IF(H150=1,F150,"")</f>
        <v/>
      </c>
      <c r="J150" s="151" t="str">
        <f t="shared" ca="1" si="47"/>
        <v/>
      </c>
      <c r="K150" s="151" t="str">
        <f t="shared" ca="1" si="47"/>
        <v/>
      </c>
      <c r="L150" s="151" t="str">
        <f t="shared" ca="1" si="47"/>
        <v/>
      </c>
      <c r="M150" s="149" t="str">
        <f t="shared" ca="1" si="48"/>
        <v/>
      </c>
      <c r="N150" s="6" t="str">
        <f ca="1">IF(ISNA(MATCH($A150,'Game Clock'!A$62:A$99,0)),"",INDIRECT(ADDRESS(MATCH($A150,'Game Clock'!A$62:A$99,0)+ROW('Game Clock'!A$61),N$1,1,,"Game Clock")))</f>
        <v/>
      </c>
      <c r="O150" s="148" t="str">
        <f ca="1">IF(OR(N150="",N150=0),"",60*E150/N150)</f>
        <v/>
      </c>
      <c r="Q150" s="148">
        <f>Q148+1</f>
        <v>32</v>
      </c>
      <c r="R150" s="149" t="str">
        <f>IF(ISNA(MATCH($Q150,Score!T$46:T$83,0)),"",MATCH($Q150,Score!T$46:T$83,0)+ROW(Score!T$45) )</f>
        <v/>
      </c>
      <c r="S150" s="150" t="str">
        <f t="shared" ca="1" si="49"/>
        <v/>
      </c>
      <c r="T150" s="149" t="str">
        <f t="shared" ca="1" si="49"/>
        <v/>
      </c>
      <c r="U150" s="148" t="str">
        <f>IF(R150="","",SUM(T150,T151))</f>
        <v/>
      </c>
      <c r="V150" s="148" t="str">
        <f>IF(R150="","",U150-E150)</f>
        <v/>
      </c>
      <c r="W150" s="151" t="str">
        <f ca="1">IF($R150="","",IF(ISBLANK(INDIRECT(ADDRESS($R150,W$1,1,,"Score"))),"",1))</f>
        <v/>
      </c>
      <c r="X150" s="151" t="str">
        <f ca="1">IF($R150="","",IF(ISBLANK(INDIRECT(ADDRESS($R150,X$1,1,,"Score"))),"",1))</f>
        <v/>
      </c>
      <c r="Y150" s="153" t="str">
        <f ca="1">IF(X150=1,V150,"")</f>
        <v/>
      </c>
      <c r="Z150" s="151" t="str">
        <f t="shared" ca="1" si="50"/>
        <v/>
      </c>
      <c r="AA150" s="151" t="str">
        <f t="shared" ca="1" si="50"/>
        <v/>
      </c>
      <c r="AB150" s="151" t="str">
        <f t="shared" ca="1" si="50"/>
        <v/>
      </c>
      <c r="AC150" s="149" t="str">
        <f t="shared" ca="1" si="51"/>
        <v/>
      </c>
      <c r="AD150" s="148" t="str">
        <f ca="1">N150</f>
        <v/>
      </c>
      <c r="AE150" s="148" t="str">
        <f ca="1">IF(OR(AD150="",AD150=0),"",60*U150/AD150)</f>
        <v/>
      </c>
    </row>
    <row r="151" spans="1:31" x14ac:dyDescent="0.3">
      <c r="A151" s="148"/>
      <c r="B151" s="149" t="str">
        <f ca="1">IF($B150="","",IF(INDIRECT(ADDRESS($B150+1,C$1-1,1,,"Score"))="SP",$B150+1,""))</f>
        <v/>
      </c>
      <c r="C151" s="150" t="str">
        <f t="shared" ca="1" si="46"/>
        <v/>
      </c>
      <c r="D151" s="149" t="str">
        <f t="shared" ca="1" si="46"/>
        <v/>
      </c>
      <c r="E151" s="148"/>
      <c r="F151" s="148"/>
      <c r="G151" s="151"/>
      <c r="H151" s="152"/>
      <c r="I151" s="153"/>
      <c r="J151" s="151" t="str">
        <f t="shared" ca="1" si="47"/>
        <v/>
      </c>
      <c r="K151" s="151" t="str">
        <f t="shared" ca="1" si="47"/>
        <v/>
      </c>
      <c r="L151" s="151" t="str">
        <f t="shared" ca="1" si="47"/>
        <v/>
      </c>
      <c r="M151" s="149" t="str">
        <f t="shared" ca="1" si="48"/>
        <v/>
      </c>
      <c r="N151" s="148"/>
      <c r="O151" s="148"/>
      <c r="Q151" s="148"/>
      <c r="R151" s="149" t="str">
        <f ca="1">IF($R150="","",IF(INDIRECT(ADDRESS($R150+1,S$1-1,1,,"Score"))="SP",$R150+1,""))</f>
        <v/>
      </c>
      <c r="S151" s="150" t="str">
        <f t="shared" ca="1" si="49"/>
        <v/>
      </c>
      <c r="T151" s="149" t="str">
        <f t="shared" ca="1" si="49"/>
        <v/>
      </c>
      <c r="U151" s="148"/>
      <c r="V151" s="148"/>
      <c r="W151" s="151"/>
      <c r="X151" s="152"/>
      <c r="Y151" s="153"/>
      <c r="Z151" s="151" t="str">
        <f t="shared" ca="1" si="50"/>
        <v/>
      </c>
      <c r="AA151" s="151" t="str">
        <f t="shared" ca="1" si="50"/>
        <v/>
      </c>
      <c r="AB151" s="151" t="str">
        <f t="shared" ca="1" si="50"/>
        <v/>
      </c>
      <c r="AC151" s="149" t="str">
        <f t="shared" ca="1" si="51"/>
        <v/>
      </c>
      <c r="AD151" s="148"/>
      <c r="AE151" s="148"/>
    </row>
    <row r="152" spans="1:31" x14ac:dyDescent="0.25">
      <c r="A152" s="6">
        <f>A150+1</f>
        <v>33</v>
      </c>
      <c r="B152" s="20" t="str">
        <f>IF(ISNA(MATCH($A152,Score!A$46:A$83,0)),"",MATCH($A152,Score!A$46:A$83,0)+ROW(Score!A$45))</f>
        <v/>
      </c>
      <c r="C152" s="89" t="str">
        <f t="shared" ca="1" si="46"/>
        <v/>
      </c>
      <c r="D152" s="20" t="str">
        <f t="shared" ca="1" si="46"/>
        <v/>
      </c>
      <c r="E152" s="6" t="str">
        <f>IF(B152="","",SUM(D152,D153))</f>
        <v/>
      </c>
      <c r="F152" s="6" t="str">
        <f>IF(B152="","",E152-U152)</f>
        <v/>
      </c>
      <c r="G152" s="157" t="str">
        <f ca="1">IF($B152="","",IF(ISBLANK(INDIRECT(ADDRESS($B152,G$1,1,,"Score"))),"",1))</f>
        <v/>
      </c>
      <c r="H152" s="157" t="str">
        <f ca="1">IF($B152="","",IF(ISBLANK(INDIRECT(ADDRESS($B152,H$1,1,,"Score"))),"",1))</f>
        <v/>
      </c>
      <c r="I152" s="147" t="str">
        <f ca="1">IF(H152=1,F152,"")</f>
        <v/>
      </c>
      <c r="J152" s="157" t="str">
        <f t="shared" ca="1" si="47"/>
        <v/>
      </c>
      <c r="K152" s="157" t="str">
        <f t="shared" ca="1" si="47"/>
        <v/>
      </c>
      <c r="L152" s="157" t="str">
        <f t="shared" ca="1" si="47"/>
        <v/>
      </c>
      <c r="M152" s="20" t="str">
        <f t="shared" ca="1" si="48"/>
        <v/>
      </c>
      <c r="N152" s="6" t="str">
        <f ca="1">IF(ISNA(MATCH($A152,'Game Clock'!A$62:A$99,0)),"",INDIRECT(ADDRESS(MATCH($A152,'Game Clock'!A$62:A$99,0)+ROW('Game Clock'!A$61),N$1,1,,"Game Clock")))</f>
        <v/>
      </c>
      <c r="O152" s="6" t="str">
        <f ca="1">IF(OR(N152="",N152=0),"",60*E152/N152)</f>
        <v/>
      </c>
      <c r="Q152" s="6">
        <f>Q150+1</f>
        <v>33</v>
      </c>
      <c r="R152" s="20" t="str">
        <f>IF(ISNA(MATCH($Q152,Score!T$46:T$83,0)),"",MATCH($Q152,Score!T$46:T$83,0)+ROW(Score!T$45) )</f>
        <v/>
      </c>
      <c r="S152" s="89" t="str">
        <f t="shared" ca="1" si="49"/>
        <v/>
      </c>
      <c r="T152" s="20" t="str">
        <f t="shared" ca="1" si="49"/>
        <v/>
      </c>
      <c r="U152" s="6" t="str">
        <f>IF(R152="","",SUM(T152,T153))</f>
        <v/>
      </c>
      <c r="V152" s="6" t="str">
        <f>IF(R152="","",U152-E152)</f>
        <v/>
      </c>
      <c r="W152" s="157" t="str">
        <f ca="1">IF($R152="","",IF(ISBLANK(INDIRECT(ADDRESS($R152,W$1,1,,"Score"))),"",1))</f>
        <v/>
      </c>
      <c r="X152" s="157" t="str">
        <f ca="1">IF($R152="","",IF(ISBLANK(INDIRECT(ADDRESS($R152,X$1,1,,"Score"))),"",1))</f>
        <v/>
      </c>
      <c r="Y152" s="147" t="str">
        <f ca="1">IF(X152=1,V152,"")</f>
        <v/>
      </c>
      <c r="Z152" s="157" t="str">
        <f t="shared" ca="1" si="50"/>
        <v/>
      </c>
      <c r="AA152" s="157" t="str">
        <f t="shared" ca="1" si="50"/>
        <v/>
      </c>
      <c r="AB152" s="157" t="str">
        <f t="shared" ca="1" si="50"/>
        <v/>
      </c>
      <c r="AC152" s="20" t="str">
        <f t="shared" ca="1" si="51"/>
        <v/>
      </c>
      <c r="AD152" s="6" t="str">
        <f ca="1">N152</f>
        <v/>
      </c>
      <c r="AE152" s="6" t="str">
        <f ca="1">IF(OR(AD152="",AD152=0),"",60*U152/AD152)</f>
        <v/>
      </c>
    </row>
    <row r="153" spans="1:31" x14ac:dyDescent="0.25">
      <c r="A153" s="6"/>
      <c r="B153" s="20" t="str">
        <f ca="1">IF($B152="","",IF(INDIRECT(ADDRESS($B152+1,C$1-1,1,,"Score"))="SP",$B152+1,""))</f>
        <v/>
      </c>
      <c r="C153" s="89" t="str">
        <f t="shared" ca="1" si="46"/>
        <v/>
      </c>
      <c r="D153" s="20" t="str">
        <f t="shared" ca="1" si="46"/>
        <v/>
      </c>
      <c r="E153" s="6"/>
      <c r="F153" s="6"/>
      <c r="G153" s="157"/>
      <c r="H153" s="157"/>
      <c r="I153" s="147"/>
      <c r="J153" s="157" t="str">
        <f t="shared" ca="1" si="47"/>
        <v/>
      </c>
      <c r="K153" s="157" t="str">
        <f t="shared" ca="1" si="47"/>
        <v/>
      </c>
      <c r="L153" s="157" t="str">
        <f t="shared" ca="1" si="47"/>
        <v/>
      </c>
      <c r="M153" s="20" t="str">
        <f t="shared" ca="1" si="48"/>
        <v/>
      </c>
      <c r="N153" s="6"/>
      <c r="O153" s="6"/>
      <c r="Q153" s="6"/>
      <c r="R153" s="20" t="str">
        <f ca="1">IF($R152="","",IF(INDIRECT(ADDRESS($R152+1,S$1-1,1,,"Score"))="SP",$R152+1,""))</f>
        <v/>
      </c>
      <c r="S153" s="89" t="str">
        <f t="shared" ca="1" si="49"/>
        <v/>
      </c>
      <c r="T153" s="20" t="str">
        <f t="shared" ca="1" si="49"/>
        <v/>
      </c>
      <c r="U153" s="6"/>
      <c r="V153" s="6"/>
      <c r="W153" s="157"/>
      <c r="X153" s="157"/>
      <c r="Y153" s="147"/>
      <c r="Z153" s="157" t="str">
        <f t="shared" ca="1" si="50"/>
        <v/>
      </c>
      <c r="AA153" s="157" t="str">
        <f t="shared" ca="1" si="50"/>
        <v/>
      </c>
      <c r="AB153" s="157" t="str">
        <f t="shared" ca="1" si="50"/>
        <v/>
      </c>
      <c r="AC153" s="20" t="str">
        <f t="shared" ca="1" si="51"/>
        <v/>
      </c>
      <c r="AD153" s="6"/>
      <c r="AE153" s="6"/>
    </row>
    <row r="154" spans="1:31" x14ac:dyDescent="0.25">
      <c r="A154" s="148">
        <f>A152+1</f>
        <v>34</v>
      </c>
      <c r="B154" s="149" t="str">
        <f>IF(ISNA(MATCH($A154,Score!A$46:A$83,0)),"",MATCH($A154,Score!A$46:A$83,0)+ROW(Score!A$45))</f>
        <v/>
      </c>
      <c r="C154" s="150" t="str">
        <f t="shared" ca="1" si="46"/>
        <v/>
      </c>
      <c r="D154" s="149" t="str">
        <f t="shared" ca="1" si="46"/>
        <v/>
      </c>
      <c r="E154" s="148" t="str">
        <f>IF(B154="","",SUM(D154,D155))</f>
        <v/>
      </c>
      <c r="F154" s="148" t="str">
        <f>IF(B154="","",E154-U154)</f>
        <v/>
      </c>
      <c r="G154" s="151" t="str">
        <f ca="1">IF($B154="","",IF(ISBLANK(INDIRECT(ADDRESS($B154,G$1,1,,"Score"))),"",1))</f>
        <v/>
      </c>
      <c r="H154" s="151" t="str">
        <f ca="1">IF($B154="","",IF(ISBLANK(INDIRECT(ADDRESS($B154,H$1,1,,"Score"))),"",1))</f>
        <v/>
      </c>
      <c r="I154" s="153" t="str">
        <f ca="1">IF(H154=1,F154,"")</f>
        <v/>
      </c>
      <c r="J154" s="151" t="str">
        <f t="shared" ca="1" si="47"/>
        <v/>
      </c>
      <c r="K154" s="151" t="str">
        <f t="shared" ca="1" si="47"/>
        <v/>
      </c>
      <c r="L154" s="151" t="str">
        <f t="shared" ca="1" si="47"/>
        <v/>
      </c>
      <c r="M154" s="149" t="str">
        <f t="shared" ca="1" si="48"/>
        <v/>
      </c>
      <c r="N154" s="6" t="str">
        <f ca="1">IF(ISNA(MATCH($A154,'Game Clock'!A$62:A$99,0)),"",INDIRECT(ADDRESS(MATCH($A154,'Game Clock'!A$62:A$99,0)+ROW('Game Clock'!A$61),N$1,1,,"Game Clock")))</f>
        <v/>
      </c>
      <c r="O154" s="148" t="str">
        <f ca="1">IF(OR(N154="",N154=0),"",60*E154/N154)</f>
        <v/>
      </c>
      <c r="Q154" s="148">
        <f>Q152+1</f>
        <v>34</v>
      </c>
      <c r="R154" s="149" t="str">
        <f>IF(ISNA(MATCH($Q154,Score!T$46:T$83,0)),"",MATCH($Q154,Score!T$46:T$83,0)+ROW(Score!T$45) )</f>
        <v/>
      </c>
      <c r="S154" s="150" t="str">
        <f t="shared" ca="1" si="49"/>
        <v/>
      </c>
      <c r="T154" s="149" t="str">
        <f t="shared" ca="1" si="49"/>
        <v/>
      </c>
      <c r="U154" s="148" t="str">
        <f>IF(R154="","",SUM(T154,T155))</f>
        <v/>
      </c>
      <c r="V154" s="148" t="str">
        <f>IF(R154="","",U154-E154)</f>
        <v/>
      </c>
      <c r="W154" s="151" t="str">
        <f ca="1">IF($R154="","",IF(ISBLANK(INDIRECT(ADDRESS($R154,W$1,1,,"Score"))),"",1))</f>
        <v/>
      </c>
      <c r="X154" s="151" t="str">
        <f ca="1">IF($R154="","",IF(ISBLANK(INDIRECT(ADDRESS($R154,X$1,1,,"Score"))),"",1))</f>
        <v/>
      </c>
      <c r="Y154" s="153" t="str">
        <f ca="1">IF(X154=1,V154,"")</f>
        <v/>
      </c>
      <c r="Z154" s="151" t="str">
        <f t="shared" ca="1" si="50"/>
        <v/>
      </c>
      <c r="AA154" s="151" t="str">
        <f t="shared" ca="1" si="50"/>
        <v/>
      </c>
      <c r="AB154" s="151" t="str">
        <f t="shared" ca="1" si="50"/>
        <v/>
      </c>
      <c r="AC154" s="149" t="str">
        <f t="shared" ca="1" si="51"/>
        <v/>
      </c>
      <c r="AD154" s="148" t="str">
        <f ca="1">N154</f>
        <v/>
      </c>
      <c r="AE154" s="148" t="str">
        <f ca="1">IF(OR(AD154="",AD154=0),"",60*U154/AD154)</f>
        <v/>
      </c>
    </row>
    <row r="155" spans="1:31" x14ac:dyDescent="0.3">
      <c r="A155" s="148"/>
      <c r="B155" s="149" t="str">
        <f ca="1">IF($B154="","",IF(INDIRECT(ADDRESS($B154+1,C$1-1,1,,"Score"))="SP",$B154+1,""))</f>
        <v/>
      </c>
      <c r="C155" s="150" t="str">
        <f t="shared" ca="1" si="46"/>
        <v/>
      </c>
      <c r="D155" s="149" t="str">
        <f t="shared" ca="1" si="46"/>
        <v/>
      </c>
      <c r="E155" s="148"/>
      <c r="F155" s="148"/>
      <c r="G155" s="151"/>
      <c r="H155" s="152"/>
      <c r="I155" s="153"/>
      <c r="J155" s="151" t="str">
        <f t="shared" ca="1" si="47"/>
        <v/>
      </c>
      <c r="K155" s="151" t="str">
        <f t="shared" ca="1" si="47"/>
        <v/>
      </c>
      <c r="L155" s="151" t="str">
        <f t="shared" ca="1" si="47"/>
        <v/>
      </c>
      <c r="M155" s="149" t="str">
        <f t="shared" ca="1" si="48"/>
        <v/>
      </c>
      <c r="N155" s="148"/>
      <c r="O155" s="148"/>
      <c r="Q155" s="148"/>
      <c r="R155" s="149" t="str">
        <f ca="1">IF($R154="","",IF(INDIRECT(ADDRESS($R154+1,S$1-1,1,,"Score"))="SP",$R154+1,""))</f>
        <v/>
      </c>
      <c r="S155" s="150" t="str">
        <f t="shared" ca="1" si="49"/>
        <v/>
      </c>
      <c r="T155" s="149" t="str">
        <f t="shared" ca="1" si="49"/>
        <v/>
      </c>
      <c r="U155" s="148"/>
      <c r="V155" s="148"/>
      <c r="W155" s="151"/>
      <c r="X155" s="152"/>
      <c r="Y155" s="153"/>
      <c r="Z155" s="151" t="str">
        <f t="shared" ca="1" si="50"/>
        <v/>
      </c>
      <c r="AA155" s="151" t="str">
        <f t="shared" ca="1" si="50"/>
        <v/>
      </c>
      <c r="AB155" s="151" t="str">
        <f t="shared" ca="1" si="50"/>
        <v/>
      </c>
      <c r="AC155" s="149" t="str">
        <f t="shared" ca="1" si="51"/>
        <v/>
      </c>
      <c r="AD155" s="148"/>
      <c r="AE155" s="148"/>
    </row>
    <row r="156" spans="1:31" x14ac:dyDescent="0.25">
      <c r="A156" s="6">
        <f>A154+1</f>
        <v>35</v>
      </c>
      <c r="B156" s="20" t="str">
        <f>IF(ISNA(MATCH($A156,Score!A$46:A$83,0)),"",MATCH($A156,Score!A$46:A$83,0)+ROW(Score!A$45))</f>
        <v/>
      </c>
      <c r="C156" s="89" t="str">
        <f t="shared" ca="1" si="46"/>
        <v/>
      </c>
      <c r="D156" s="20" t="str">
        <f t="shared" ca="1" si="46"/>
        <v/>
      </c>
      <c r="E156" s="6" t="str">
        <f>IF(B156="","",SUM(D156,D157))</f>
        <v/>
      </c>
      <c r="F156" s="6" t="str">
        <f>IF(B156="","",E156-U156)</f>
        <v/>
      </c>
      <c r="G156" s="157" t="str">
        <f ca="1">IF($B156="","",IF(ISBLANK(INDIRECT(ADDRESS($B156,G$1,1,,"Score"))),"",1))</f>
        <v/>
      </c>
      <c r="H156" s="157" t="str">
        <f ca="1">IF($B156="","",IF(ISBLANK(INDIRECT(ADDRESS($B156,H$1,1,,"Score"))),"",1))</f>
        <v/>
      </c>
      <c r="I156" s="147" t="str">
        <f ca="1">IF(H156=1,F156,"")</f>
        <v/>
      </c>
      <c r="J156" s="157" t="str">
        <f t="shared" ca="1" si="47"/>
        <v/>
      </c>
      <c r="K156" s="157" t="str">
        <f t="shared" ca="1" si="47"/>
        <v/>
      </c>
      <c r="L156" s="157" t="str">
        <f t="shared" ca="1" si="47"/>
        <v/>
      </c>
      <c r="M156" s="20" t="str">
        <f t="shared" ca="1" si="48"/>
        <v/>
      </c>
      <c r="N156" s="6" t="str">
        <f ca="1">IF(ISNA(MATCH($A156,'Game Clock'!A$62:A$99,0)),"",INDIRECT(ADDRESS(MATCH($A156,'Game Clock'!A$62:A$99,0)+ROW('Game Clock'!A$61),N$1,1,,"Game Clock")))</f>
        <v/>
      </c>
      <c r="O156" s="6" t="str">
        <f ca="1">IF(OR(N156="",N156=0),"",60*E156/N156)</f>
        <v/>
      </c>
      <c r="Q156" s="6">
        <f>Q154+1</f>
        <v>35</v>
      </c>
      <c r="R156" s="20" t="str">
        <f>IF(ISNA(MATCH($Q156,Score!T$46:T$83,0)),"",MATCH($Q156,Score!T$46:T$83,0)+ROW(Score!T$45) )</f>
        <v/>
      </c>
      <c r="S156" s="89" t="str">
        <f t="shared" ca="1" si="49"/>
        <v/>
      </c>
      <c r="T156" s="20" t="str">
        <f t="shared" ca="1" si="49"/>
        <v/>
      </c>
      <c r="U156" s="6" t="str">
        <f>IF(R156="","",SUM(T156,T157))</f>
        <v/>
      </c>
      <c r="V156" s="6" t="str">
        <f>IF(R156="","",U156-E156)</f>
        <v/>
      </c>
      <c r="W156" s="157" t="str">
        <f ca="1">IF($R156="","",IF(ISBLANK(INDIRECT(ADDRESS($R156,W$1,1,,"Score"))),"",1))</f>
        <v/>
      </c>
      <c r="X156" s="157" t="str">
        <f ca="1">IF($R156="","",IF(ISBLANK(INDIRECT(ADDRESS($R156,X$1,1,,"Score"))),"",1))</f>
        <v/>
      </c>
      <c r="Y156" s="147" t="str">
        <f ca="1">IF(X156=1,V156,"")</f>
        <v/>
      </c>
      <c r="Z156" s="157" t="str">
        <f t="shared" ca="1" si="50"/>
        <v/>
      </c>
      <c r="AA156" s="157" t="str">
        <f t="shared" ca="1" si="50"/>
        <v/>
      </c>
      <c r="AB156" s="157" t="str">
        <f t="shared" ca="1" si="50"/>
        <v/>
      </c>
      <c r="AC156" s="20" t="str">
        <f t="shared" ca="1" si="51"/>
        <v/>
      </c>
      <c r="AD156" s="6" t="str">
        <f ca="1">N156</f>
        <v/>
      </c>
      <c r="AE156" s="6" t="str">
        <f ca="1">IF(OR(AD156="",AD156=0),"",60*U156/AD156)</f>
        <v/>
      </c>
    </row>
    <row r="157" spans="1:31" x14ac:dyDescent="0.25">
      <c r="A157" s="6"/>
      <c r="B157" s="20" t="str">
        <f ca="1">IF($B156="","",IF(INDIRECT(ADDRESS($B156+1,C$1-1,1,,"Score"))="SP",$B156+1,""))</f>
        <v/>
      </c>
      <c r="C157" s="89" t="str">
        <f t="shared" ca="1" si="46"/>
        <v/>
      </c>
      <c r="D157" s="20" t="str">
        <f t="shared" ca="1" si="46"/>
        <v/>
      </c>
      <c r="E157" s="6"/>
      <c r="F157" s="6"/>
      <c r="G157" s="157"/>
      <c r="H157" s="157"/>
      <c r="I157" s="147"/>
      <c r="J157" s="157" t="str">
        <f t="shared" ca="1" si="47"/>
        <v/>
      </c>
      <c r="K157" s="157" t="str">
        <f t="shared" ca="1" si="47"/>
        <v/>
      </c>
      <c r="L157" s="157" t="str">
        <f t="shared" ca="1" si="47"/>
        <v/>
      </c>
      <c r="M157" s="20" t="str">
        <f t="shared" ca="1" si="48"/>
        <v/>
      </c>
      <c r="N157" s="6"/>
      <c r="O157" s="6"/>
      <c r="Q157" s="6"/>
      <c r="R157" s="20" t="str">
        <f ca="1">IF($R156="","",IF(INDIRECT(ADDRESS($R156+1,S$1-1,1,,"Score"))="SP",$R156+1,""))</f>
        <v/>
      </c>
      <c r="S157" s="89" t="str">
        <f t="shared" ca="1" si="49"/>
        <v/>
      </c>
      <c r="T157" s="20" t="str">
        <f t="shared" ca="1" si="49"/>
        <v/>
      </c>
      <c r="U157" s="6"/>
      <c r="V157" s="6"/>
      <c r="W157" s="157"/>
      <c r="X157" s="157"/>
      <c r="Y157" s="147"/>
      <c r="Z157" s="157" t="str">
        <f t="shared" ca="1" si="50"/>
        <v/>
      </c>
      <c r="AA157" s="157" t="str">
        <f t="shared" ca="1" si="50"/>
        <v/>
      </c>
      <c r="AB157" s="157" t="str">
        <f t="shared" ca="1" si="50"/>
        <v/>
      </c>
      <c r="AC157" s="20" t="str">
        <f t="shared" ca="1" si="51"/>
        <v/>
      </c>
      <c r="AD157" s="6"/>
      <c r="AE157" s="6"/>
    </row>
    <row r="158" spans="1:31" x14ac:dyDescent="0.25">
      <c r="A158" s="148">
        <f>A156+1</f>
        <v>36</v>
      </c>
      <c r="B158" s="149" t="str">
        <f>IF(ISNA(MATCH($A158,Score!A$46:A$83,0)),"",MATCH($A158,Score!A$46:A$83,0)+ROW(Score!A$45))</f>
        <v/>
      </c>
      <c r="C158" s="150" t="str">
        <f t="shared" ca="1" si="46"/>
        <v/>
      </c>
      <c r="D158" s="149" t="str">
        <f t="shared" ca="1" si="46"/>
        <v/>
      </c>
      <c r="E158" s="148" t="str">
        <f>IF(B158="","",SUM(D158,D159))</f>
        <v/>
      </c>
      <c r="F158" s="148" t="str">
        <f>IF(B158="","",E158-U158)</f>
        <v/>
      </c>
      <c r="G158" s="151" t="str">
        <f ca="1">IF($B158="","",IF(ISBLANK(INDIRECT(ADDRESS($B158,G$1,1,,"Score"))),"",1))</f>
        <v/>
      </c>
      <c r="H158" s="151" t="str">
        <f ca="1">IF($B158="","",IF(ISBLANK(INDIRECT(ADDRESS($B158,H$1,1,,"Score"))),"",1))</f>
        <v/>
      </c>
      <c r="I158" s="153" t="str">
        <f ca="1">IF(H158=1,F158,"")</f>
        <v/>
      </c>
      <c r="J158" s="151" t="str">
        <f t="shared" ca="1" si="47"/>
        <v/>
      </c>
      <c r="K158" s="151" t="str">
        <f t="shared" ca="1" si="47"/>
        <v/>
      </c>
      <c r="L158" s="151" t="str">
        <f t="shared" ca="1" si="47"/>
        <v/>
      </c>
      <c r="M158" s="149" t="str">
        <f t="shared" ca="1" si="48"/>
        <v/>
      </c>
      <c r="N158" s="6" t="str">
        <f ca="1">IF(ISNA(MATCH($A158,'Game Clock'!A$62:A$99,0)),"",INDIRECT(ADDRESS(MATCH($A158,'Game Clock'!A$62:A$99,0)+ROW('Game Clock'!A$61),N$1,1,,"Game Clock")))</f>
        <v/>
      </c>
      <c r="O158" s="148" t="str">
        <f ca="1">IF(OR(N158="",N158=0),"",60*E158/N158)</f>
        <v/>
      </c>
      <c r="Q158" s="148">
        <f>Q156+1</f>
        <v>36</v>
      </c>
      <c r="R158" s="149" t="str">
        <f>IF(ISNA(MATCH($Q158,Score!T$46:T$83,0)),"",MATCH($Q158,Score!T$46:T$83,0)+ROW(Score!T$45) )</f>
        <v/>
      </c>
      <c r="S158" s="150" t="str">
        <f t="shared" ca="1" si="49"/>
        <v/>
      </c>
      <c r="T158" s="149" t="str">
        <f t="shared" ca="1" si="49"/>
        <v/>
      </c>
      <c r="U158" s="148" t="str">
        <f>IF(R158="","",SUM(T158,T159))</f>
        <v/>
      </c>
      <c r="V158" s="148" t="str">
        <f>IF(R158="","",U158-E158)</f>
        <v/>
      </c>
      <c r="W158" s="151" t="str">
        <f ca="1">IF($R158="","",IF(ISBLANK(INDIRECT(ADDRESS($R158,W$1,1,,"Score"))),"",1))</f>
        <v/>
      </c>
      <c r="X158" s="151" t="str">
        <f ca="1">IF($R158="","",IF(ISBLANK(INDIRECT(ADDRESS($R158,X$1,1,,"Score"))),"",1))</f>
        <v/>
      </c>
      <c r="Y158" s="153" t="str">
        <f ca="1">IF(X158=1,V158,"")</f>
        <v/>
      </c>
      <c r="Z158" s="151" t="str">
        <f t="shared" ca="1" si="50"/>
        <v/>
      </c>
      <c r="AA158" s="151" t="str">
        <f t="shared" ca="1" si="50"/>
        <v/>
      </c>
      <c r="AB158" s="151" t="str">
        <f t="shared" ca="1" si="50"/>
        <v/>
      </c>
      <c r="AC158" s="149" t="str">
        <f t="shared" ca="1" si="51"/>
        <v/>
      </c>
      <c r="AD158" s="148" t="str">
        <f ca="1">N158</f>
        <v/>
      </c>
      <c r="AE158" s="148" t="str">
        <f ca="1">IF(OR(AD158="",AD158=0),"",60*U158/AD158)</f>
        <v/>
      </c>
    </row>
    <row r="159" spans="1:31" x14ac:dyDescent="0.3">
      <c r="A159" s="148"/>
      <c r="B159" s="149" t="str">
        <f ca="1">IF($B158="","",IF(INDIRECT(ADDRESS($B158+1,C$1-1,1,,"Score"))="SP",$B158+1,""))</f>
        <v/>
      </c>
      <c r="C159" s="150" t="str">
        <f t="shared" ca="1" si="46"/>
        <v/>
      </c>
      <c r="D159" s="149" t="str">
        <f t="shared" ca="1" si="46"/>
        <v/>
      </c>
      <c r="E159" s="148"/>
      <c r="F159" s="148"/>
      <c r="G159" s="151"/>
      <c r="H159" s="152"/>
      <c r="I159" s="153"/>
      <c r="J159" s="151" t="str">
        <f t="shared" ca="1" si="47"/>
        <v/>
      </c>
      <c r="K159" s="151" t="str">
        <f t="shared" ca="1" si="47"/>
        <v/>
      </c>
      <c r="L159" s="151" t="str">
        <f t="shared" ca="1" si="47"/>
        <v/>
      </c>
      <c r="M159" s="149" t="str">
        <f t="shared" ca="1" si="48"/>
        <v/>
      </c>
      <c r="N159" s="148"/>
      <c r="O159" s="148"/>
      <c r="Q159" s="148"/>
      <c r="R159" s="149" t="str">
        <f ca="1">IF($R158="","",IF(INDIRECT(ADDRESS($R158+1,S$1-1,1,,"Score"))="SP",$R158+1,""))</f>
        <v/>
      </c>
      <c r="S159" s="150" t="str">
        <f t="shared" ca="1" si="49"/>
        <v/>
      </c>
      <c r="T159" s="149" t="str">
        <f t="shared" ca="1" si="49"/>
        <v/>
      </c>
      <c r="U159" s="148"/>
      <c r="V159" s="148"/>
      <c r="W159" s="151"/>
      <c r="X159" s="152"/>
      <c r="Y159" s="153"/>
      <c r="Z159" s="151" t="str">
        <f t="shared" ca="1" si="50"/>
        <v/>
      </c>
      <c r="AA159" s="151" t="str">
        <f t="shared" ca="1" si="50"/>
        <v/>
      </c>
      <c r="AB159" s="151" t="str">
        <f t="shared" ca="1" si="50"/>
        <v/>
      </c>
      <c r="AC159" s="149" t="str">
        <f t="shared" ca="1" si="51"/>
        <v/>
      </c>
      <c r="AD159" s="148"/>
      <c r="AE159" s="148"/>
    </row>
    <row r="160" spans="1:31" x14ac:dyDescent="0.25">
      <c r="A160" s="6">
        <f>A158+1</f>
        <v>37</v>
      </c>
      <c r="B160" s="20" t="str">
        <f>IF(ISNA(MATCH($A160,Score!A$46:A$83,0)),"",MATCH($A160,Score!A$46:A$83,0)+ROW(Score!A$45))</f>
        <v/>
      </c>
      <c r="C160" s="89" t="str">
        <f t="shared" ref="C160:D163" ca="1" si="52">IF($B160="","",INDIRECT(ADDRESS($B160,C$1,1,,"Score")))</f>
        <v/>
      </c>
      <c r="D160" s="20" t="str">
        <f t="shared" ca="1" si="52"/>
        <v/>
      </c>
      <c r="E160" s="6" t="str">
        <f>IF(B160="","",SUM(D160,D161))</f>
        <v/>
      </c>
      <c r="F160" s="6" t="str">
        <f>IF(B160="","",E160-U160)</f>
        <v/>
      </c>
      <c r="G160" s="157" t="str">
        <f ca="1">IF($B160="","",IF(ISBLANK(INDIRECT(ADDRESS($B160,G$1,1,,"Score"))),"",1))</f>
        <v/>
      </c>
      <c r="H160" s="157" t="str">
        <f ca="1">IF($B160="","",IF(ISBLANK(INDIRECT(ADDRESS($B160,H$1,1,,"Score"))),"",1))</f>
        <v/>
      </c>
      <c r="I160" s="147" t="str">
        <f ca="1">IF(H160=1,F160,"")</f>
        <v/>
      </c>
      <c r="J160" s="157" t="str">
        <f t="shared" ref="J160:L163" ca="1" si="53">IF($B160="","",IF(ISBLANK(INDIRECT(ADDRESS($B160,J$1,1,,"Score"))),"",1))</f>
        <v/>
      </c>
      <c r="K160" s="157" t="str">
        <f t="shared" ca="1" si="53"/>
        <v/>
      </c>
      <c r="L160" s="157" t="str">
        <f t="shared" ca="1" si="53"/>
        <v/>
      </c>
      <c r="M160" s="20" t="str">
        <f t="shared" ca="1" si="48"/>
        <v/>
      </c>
      <c r="N160" s="6" t="str">
        <f ca="1">IF(ISNA(MATCH($A160,'Game Clock'!A$62:A$99,0)),"",INDIRECT(ADDRESS(MATCH($A160,'Game Clock'!A$62:A$99,0)+ROW('Game Clock'!A$61),N$1,1,,"Game Clock")))</f>
        <v/>
      </c>
      <c r="O160" s="6" t="str">
        <f ca="1">IF(OR(N160="",N160=0),"",60*E160/N160)</f>
        <v/>
      </c>
      <c r="Q160" s="6">
        <f>Q158+1</f>
        <v>37</v>
      </c>
      <c r="R160" s="20" t="str">
        <f>IF(ISNA(MATCH($Q160,Score!T$46:T$83,0)),"",MATCH($Q160,Score!T$46:T$83,0)+ROW(Score!T$45) )</f>
        <v/>
      </c>
      <c r="S160" s="89" t="str">
        <f t="shared" ref="S160:T163" ca="1" si="54">IF($R160="","",INDIRECT(ADDRESS($R160,S$1,1,,"Score")))</f>
        <v/>
      </c>
      <c r="T160" s="20" t="str">
        <f t="shared" ca="1" si="54"/>
        <v/>
      </c>
      <c r="U160" s="6" t="str">
        <f>IF(R160="","",SUM(T160,T161))</f>
        <v/>
      </c>
      <c r="V160" s="6" t="str">
        <f>IF(R160="","",U160-E160)</f>
        <v/>
      </c>
      <c r="W160" s="157" t="str">
        <f ca="1">IF($R160="","",IF(ISBLANK(INDIRECT(ADDRESS($R160,W$1,1,,"Score"))),"",1))</f>
        <v/>
      </c>
      <c r="X160" s="157" t="str">
        <f ca="1">IF($R160="","",IF(ISBLANK(INDIRECT(ADDRESS($R160,X$1,1,,"Score"))),"",1))</f>
        <v/>
      </c>
      <c r="Y160" s="147" t="str">
        <f ca="1">IF(X160=1,V160,"")</f>
        <v/>
      </c>
      <c r="Z160" s="157" t="str">
        <f t="shared" ref="Z160:AB163" ca="1" si="55">IF($R160="","",IF(ISBLANK(INDIRECT(ADDRESS($R160,Z$1,1,,"Score"))),"",1))</f>
        <v/>
      </c>
      <c r="AA160" s="157" t="str">
        <f t="shared" ca="1" si="55"/>
        <v/>
      </c>
      <c r="AB160" s="157" t="str">
        <f t="shared" ca="1" si="55"/>
        <v/>
      </c>
      <c r="AC160" s="20" t="str">
        <f t="shared" ca="1" si="51"/>
        <v/>
      </c>
      <c r="AD160" s="6" t="str">
        <f ca="1">N160</f>
        <v/>
      </c>
      <c r="AE160" s="6" t="str">
        <f ca="1">IF(OR(AD160="",AD160=0),"",60*U160/AD160)</f>
        <v/>
      </c>
    </row>
    <row r="161" spans="1:31" x14ac:dyDescent="0.25">
      <c r="A161" s="6"/>
      <c r="B161" s="20" t="str">
        <f ca="1">IF($B160="","",IF(INDIRECT(ADDRESS($B160+1,C$1-1,1,,"Score"))="SP",$B160+1,""))</f>
        <v/>
      </c>
      <c r="C161" s="89" t="str">
        <f t="shared" ca="1" si="52"/>
        <v/>
      </c>
      <c r="D161" s="20" t="str">
        <f t="shared" ca="1" si="52"/>
        <v/>
      </c>
      <c r="E161" s="6"/>
      <c r="F161" s="6"/>
      <c r="G161" s="157"/>
      <c r="H161" s="157"/>
      <c r="I161" s="147"/>
      <c r="J161" s="157" t="str">
        <f t="shared" ca="1" si="53"/>
        <v/>
      </c>
      <c r="K161" s="157" t="str">
        <f t="shared" ca="1" si="53"/>
        <v/>
      </c>
      <c r="L161" s="157" t="str">
        <f t="shared" ca="1" si="53"/>
        <v/>
      </c>
      <c r="M161" s="20" t="str">
        <f t="shared" ca="1" si="48"/>
        <v/>
      </c>
      <c r="N161" s="6"/>
      <c r="O161" s="6"/>
      <c r="Q161" s="6"/>
      <c r="R161" s="20" t="str">
        <f ca="1">IF($R160="","",IF(INDIRECT(ADDRESS($R160+1,S$1-1,1,,"Score"))="SP",$R160+1,""))</f>
        <v/>
      </c>
      <c r="S161" s="89" t="str">
        <f t="shared" ca="1" si="54"/>
        <v/>
      </c>
      <c r="T161" s="20" t="str">
        <f t="shared" ca="1" si="54"/>
        <v/>
      </c>
      <c r="U161" s="6"/>
      <c r="V161" s="6"/>
      <c r="W161" s="157"/>
      <c r="X161" s="157"/>
      <c r="Y161" s="147"/>
      <c r="Z161" s="157" t="str">
        <f t="shared" ca="1" si="55"/>
        <v/>
      </c>
      <c r="AA161" s="157" t="str">
        <f t="shared" ca="1" si="55"/>
        <v/>
      </c>
      <c r="AB161" s="157" t="str">
        <f t="shared" ca="1" si="55"/>
        <v/>
      </c>
      <c r="AC161" s="20" t="str">
        <f t="shared" ca="1" si="51"/>
        <v/>
      </c>
      <c r="AD161" s="6"/>
      <c r="AE161" s="6"/>
    </row>
    <row r="162" spans="1:31" x14ac:dyDescent="0.25">
      <c r="A162" s="148">
        <f>A160+1</f>
        <v>38</v>
      </c>
      <c r="B162" s="149" t="str">
        <f>IF(ISNA(MATCH($A162,Score!A$46:A$83,0)),"",MATCH($A162,Score!A$46:A$83,0)+ROW(Score!A$45))</f>
        <v/>
      </c>
      <c r="C162" s="150" t="str">
        <f t="shared" ca="1" si="52"/>
        <v/>
      </c>
      <c r="D162" s="149" t="str">
        <f t="shared" ca="1" si="52"/>
        <v/>
      </c>
      <c r="E162" s="148" t="str">
        <f>IF(B162="","",SUM(D162,D163))</f>
        <v/>
      </c>
      <c r="F162" s="148" t="str">
        <f>IF(B162="","",E162-U162)</f>
        <v/>
      </c>
      <c r="G162" s="151" t="str">
        <f ca="1">IF($B162="","",IF(ISBLANK(INDIRECT(ADDRESS($B162,G$1,1,,"Score"))),"",1))</f>
        <v/>
      </c>
      <c r="H162" s="151" t="str">
        <f ca="1">IF($B162="","",IF(ISBLANK(INDIRECT(ADDRESS($B162,H$1,1,,"Score"))),"",1))</f>
        <v/>
      </c>
      <c r="I162" s="153" t="str">
        <f ca="1">IF(H162=1,F162,"")</f>
        <v/>
      </c>
      <c r="J162" s="151" t="str">
        <f t="shared" ca="1" si="53"/>
        <v/>
      </c>
      <c r="K162" s="151" t="str">
        <f t="shared" ca="1" si="53"/>
        <v/>
      </c>
      <c r="L162" s="151" t="str">
        <f t="shared" ca="1" si="53"/>
        <v/>
      </c>
      <c r="M162" s="149" t="str">
        <f t="shared" ca="1" si="48"/>
        <v/>
      </c>
      <c r="N162" s="6" t="str">
        <f ca="1">IF(ISNA(MATCH($A162,'Game Clock'!A$62:A$99,0)),"",INDIRECT(ADDRESS(MATCH($A162,'Game Clock'!A$62:A$99,0)+ROW('Game Clock'!A$61),N$1,1,,"Game Clock")))</f>
        <v/>
      </c>
      <c r="O162" s="148" t="str">
        <f ca="1">IF(OR(N162="",N162=0),"",60*E162/N162)</f>
        <v/>
      </c>
      <c r="Q162" s="148">
        <f>Q160+1</f>
        <v>38</v>
      </c>
      <c r="R162" s="149" t="str">
        <f>IF(ISNA(MATCH($Q162,Score!T$46:T$83,0)),"",MATCH($Q162,Score!T$46:T$83,0)+ROW(Score!T$45) )</f>
        <v/>
      </c>
      <c r="S162" s="150" t="str">
        <f t="shared" ca="1" si="54"/>
        <v/>
      </c>
      <c r="T162" s="149" t="str">
        <f t="shared" ca="1" si="54"/>
        <v/>
      </c>
      <c r="U162" s="148" t="str">
        <f>IF(R162="","",SUM(T162,T163))</f>
        <v/>
      </c>
      <c r="V162" s="148" t="str">
        <f>IF(R162="","",U162-E162)</f>
        <v/>
      </c>
      <c r="W162" s="151" t="str">
        <f ca="1">IF($R162="","",IF(ISBLANK(INDIRECT(ADDRESS($R162,W$1,1,,"Score"))),"",1))</f>
        <v/>
      </c>
      <c r="X162" s="151" t="str">
        <f ca="1">IF($R162="","",IF(ISBLANK(INDIRECT(ADDRESS($R162,X$1,1,,"Score"))),"",1))</f>
        <v/>
      </c>
      <c r="Y162" s="153" t="str">
        <f ca="1">IF(X162=1,V162,"")</f>
        <v/>
      </c>
      <c r="Z162" s="151" t="str">
        <f t="shared" ca="1" si="55"/>
        <v/>
      </c>
      <c r="AA162" s="151" t="str">
        <f t="shared" ca="1" si="55"/>
        <v/>
      </c>
      <c r="AB162" s="151" t="str">
        <f t="shared" ca="1" si="55"/>
        <v/>
      </c>
      <c r="AC162" s="149" t="str">
        <f t="shared" ca="1" si="51"/>
        <v/>
      </c>
      <c r="AD162" s="148" t="str">
        <f ca="1">N162</f>
        <v/>
      </c>
      <c r="AE162" s="148" t="str">
        <f ca="1">IF(OR(AD162="",AD162=0),"",60*U162/AD162)</f>
        <v/>
      </c>
    </row>
    <row r="163" spans="1:31" x14ac:dyDescent="0.3">
      <c r="A163" s="148"/>
      <c r="B163" s="149" t="str">
        <f ca="1">IF($B162="","",IF(INDIRECT(ADDRESS($B162+1,C$1-1,1,,"Score"))="SP",$B162+1,""))</f>
        <v/>
      </c>
      <c r="C163" s="150" t="str">
        <f t="shared" ca="1" si="52"/>
        <v/>
      </c>
      <c r="D163" s="149" t="str">
        <f t="shared" ca="1" si="52"/>
        <v/>
      </c>
      <c r="E163" s="148"/>
      <c r="F163" s="148"/>
      <c r="G163" s="151"/>
      <c r="H163" s="152"/>
      <c r="I163" s="153"/>
      <c r="J163" s="151" t="str">
        <f t="shared" ca="1" si="53"/>
        <v/>
      </c>
      <c r="K163" s="151" t="str">
        <f t="shared" ca="1" si="53"/>
        <v/>
      </c>
      <c r="L163" s="151" t="str">
        <f t="shared" ca="1" si="53"/>
        <v/>
      </c>
      <c r="M163" s="149" t="str">
        <f t="shared" ca="1" si="48"/>
        <v/>
      </c>
      <c r="N163" s="148"/>
      <c r="O163" s="148"/>
      <c r="Q163" s="148"/>
      <c r="R163" s="149" t="str">
        <f ca="1">IF($R162="","",IF(INDIRECT(ADDRESS($R162+1,S$1-1,1,,"Score"))="SP",$R162+1,""))</f>
        <v/>
      </c>
      <c r="S163" s="150" t="str">
        <f t="shared" ca="1" si="54"/>
        <v/>
      </c>
      <c r="T163" s="149" t="str">
        <f t="shared" ca="1" si="54"/>
        <v/>
      </c>
      <c r="U163" s="148"/>
      <c r="V163" s="148"/>
      <c r="W163" s="151"/>
      <c r="X163" s="152"/>
      <c r="Y163" s="153"/>
      <c r="Z163" s="151" t="str">
        <f t="shared" ca="1" si="55"/>
        <v/>
      </c>
      <c r="AA163" s="151" t="str">
        <f t="shared" ca="1" si="55"/>
        <v/>
      </c>
      <c r="AB163" s="151" t="str">
        <f t="shared" ca="1" si="55"/>
        <v/>
      </c>
      <c r="AC163" s="149" t="str">
        <f t="shared" ca="1" si="51"/>
        <v/>
      </c>
      <c r="AD163" s="148"/>
      <c r="AE163" s="148"/>
    </row>
    <row r="164" spans="1:31" ht="12.75" customHeight="1" x14ac:dyDescent="0.25">
      <c r="A164" s="1212" t="s">
        <v>22</v>
      </c>
      <c r="B164" s="158"/>
      <c r="C164" s="158"/>
      <c r="D164" s="158"/>
      <c r="E164" s="159">
        <f ca="1">SUM(E88:E163)</f>
        <v>97</v>
      </c>
      <c r="F164" s="160"/>
      <c r="G164" s="156">
        <f ca="1">SUM(G88:G163)</f>
        <v>2</v>
      </c>
      <c r="H164" s="156">
        <f ca="1">SUM(H88:H163)</f>
        <v>8</v>
      </c>
      <c r="I164" s="146"/>
      <c r="J164" s="1213">
        <f ca="1">SUM(J88:J163)</f>
        <v>4</v>
      </c>
      <c r="K164" s="1213">
        <f ca="1">SUM(K88:K163)</f>
        <v>0</v>
      </c>
      <c r="L164" s="156">
        <f ca="1">SUM(L88,L90,L92,L94,L96,L98,L100,L102,L104,L106,L108,L110,L112,L114,L116,L118,L120,L122,L124,L126,L128,L130,L132,L134,L136,L138,L140,L142,L144,L146, L148, L150, L152, L154, L156,L158,L160,L162)</f>
        <v>2</v>
      </c>
      <c r="M164" s="158"/>
      <c r="N164" s="160" t="s">
        <v>20</v>
      </c>
      <c r="O164" s="159">
        <f ca="1">IF(COUNT(O88:O163),AVERAGE(O88:O163),"")</f>
        <v>3.2321950905932315</v>
      </c>
      <c r="Q164" s="1212" t="s">
        <v>22</v>
      </c>
      <c r="R164" s="158"/>
      <c r="S164" s="158"/>
      <c r="T164" s="158"/>
      <c r="U164" s="159">
        <f ca="1">SUM(U88:U163)</f>
        <v>60</v>
      </c>
      <c r="V164" s="160"/>
      <c r="W164" s="156">
        <f ca="1">SUM(W88:W163)</f>
        <v>3</v>
      </c>
      <c r="X164" s="156">
        <f ca="1">SUM(X88:X163)</f>
        <v>8</v>
      </c>
      <c r="Y164" s="146"/>
      <c r="Z164" s="1213">
        <f ca="1">SUM(Z88:Z163)</f>
        <v>6</v>
      </c>
      <c r="AA164" s="1213">
        <f ca="1">SUM(AA88:AA163)</f>
        <v>0</v>
      </c>
      <c r="AB164" s="156">
        <f ca="1">SUM(AB88,AB90,AB92,AB94,AB96,AB98,AB100,AB102,AB104,AB106,AB108,AB110,AB112,AB114,AB116,AB118,AB120,AB122,AB124,AB126,AB128,AB130,AB132,AB134,AB136,AB138,AB140,AB142,AB144,AB146, AB148, AB150, AB152, AB154, AB156, AB158, AB160, AB162)</f>
        <v>6</v>
      </c>
      <c r="AC164" s="158"/>
      <c r="AD164" s="160" t="s">
        <v>20</v>
      </c>
      <c r="AE164" s="159">
        <f ca="1">IF(COUNT(AE88:AE163),AVERAGE(AE88:AE163),"")</f>
        <v>3.1796730841861591</v>
      </c>
    </row>
    <row r="165" spans="1:31" x14ac:dyDescent="0.3">
      <c r="A165" s="1212"/>
      <c r="B165" s="158"/>
      <c r="C165" s="158"/>
      <c r="D165" s="158"/>
      <c r="E165" s="159"/>
      <c r="F165" s="160"/>
      <c r="G165" s="156"/>
      <c r="H165" s="161"/>
      <c r="I165" s="146"/>
      <c r="J165" s="1213"/>
      <c r="K165" s="1213"/>
      <c r="L165" s="156">
        <f ca="1">SUM(L89,L91,L93,L95,L97,L99,L101,L103,L105,L107,L109,L111,L113,L115,L117,L119,L121,L123,L125,L127,L129,L131,L133,L135,L137,L139,L141,L143,L145,L147, L149, L151, L153, L155, L157,L159,L161,L163)</f>
        <v>1</v>
      </c>
      <c r="M165" s="158"/>
      <c r="N165" s="160"/>
      <c r="O165" s="159"/>
      <c r="Q165" s="1212"/>
      <c r="R165" s="158"/>
      <c r="S165" s="158"/>
      <c r="T165" s="158"/>
      <c r="U165" s="159"/>
      <c r="V165" s="160"/>
      <c r="W165" s="156"/>
      <c r="X165" s="161"/>
      <c r="Y165" s="146"/>
      <c r="Z165" s="1213"/>
      <c r="AA165" s="1213"/>
      <c r="AB165" s="156">
        <f ca="1">SUM(AB89,AB91,AB93,AB95,AB97,AB99,AB101,AB103,AB105,AB107,AB109,AB111,AB113,AB115,AB117,AB119,AB121,AB123,AB125,AB127,AB129,AB131,AB133,AB135,AB137,AB139,AB141,AB143,AB145,AB147, AB149, AB151, AB153, AB155, AB157, AB159, AB161, AB163)</f>
        <v>2</v>
      </c>
      <c r="AC165" s="158"/>
      <c r="AD165" s="160"/>
      <c r="AE165" s="159"/>
    </row>
    <row r="171" spans="1:31" x14ac:dyDescent="0.25">
      <c r="A171" s="90" t="s">
        <v>6</v>
      </c>
      <c r="B171" s="90" t="s">
        <v>105</v>
      </c>
      <c r="D171" s="90" t="s">
        <v>144</v>
      </c>
      <c r="E171" s="90" t="s">
        <v>23</v>
      </c>
      <c r="F171" s="90" t="s">
        <v>11</v>
      </c>
      <c r="G171" s="90" t="s">
        <v>12</v>
      </c>
      <c r="H171" s="90" t="s">
        <v>13</v>
      </c>
      <c r="I171" s="90" t="s">
        <v>14</v>
      </c>
      <c r="J171" s="90" t="s">
        <v>15</v>
      </c>
      <c r="K171" s="90" t="s">
        <v>16</v>
      </c>
      <c r="L171" s="90" t="s">
        <v>389</v>
      </c>
      <c r="M171" s="90" t="s">
        <v>388</v>
      </c>
      <c r="N171" s="90"/>
      <c r="O171" s="90"/>
      <c r="Q171" s="90" t="s">
        <v>8</v>
      </c>
      <c r="R171" s="90" t="s">
        <v>105</v>
      </c>
      <c r="T171" s="90" t="s">
        <v>144</v>
      </c>
      <c r="U171" s="90" t="s">
        <v>23</v>
      </c>
      <c r="V171" s="90" t="s">
        <v>11</v>
      </c>
      <c r="W171" s="90" t="s">
        <v>12</v>
      </c>
      <c r="X171" s="90" t="s">
        <v>13</v>
      </c>
      <c r="Y171" s="90" t="s">
        <v>14</v>
      </c>
      <c r="Z171" s="90" t="s">
        <v>15</v>
      </c>
      <c r="AA171" s="90" t="s">
        <v>16</v>
      </c>
      <c r="AB171" s="90" t="s">
        <v>389</v>
      </c>
      <c r="AC171" s="90" t="s">
        <v>388</v>
      </c>
    </row>
    <row r="172" spans="1:31" x14ac:dyDescent="0.25">
      <c r="A172" s="6">
        <v>1</v>
      </c>
      <c r="B172" s="91" t="str">
        <f>IF(IGRF!B14="","",IGRF!B14)</f>
        <v>101</v>
      </c>
      <c r="C172" s="20" t="s">
        <v>5</v>
      </c>
      <c r="D172" s="20" t="str">
        <f ca="1">IF(OR($E172="",$E172=0),"",SUMPRODUCT(--($C$3:$C$78=$B172),D$3:D$78))</f>
        <v/>
      </c>
      <c r="E172" s="20">
        <f ca="1">IF($B172="","",SUMPRODUCT(--(C$3:C$78=$B172)))</f>
        <v>0</v>
      </c>
      <c r="F172" s="20" t="str">
        <f ca="1">IF(OR($E172="",$E172=0),"",SUMIF($C$3:$C$62,$B172,F$3:F$62))</f>
        <v/>
      </c>
      <c r="G172" s="163" t="str">
        <f t="shared" ref="G172:M172" ca="1" si="56">IF(OR($E172="",$E172=0),"",SUMPRODUCT(--($C$3:$C$78=$B172),G$3:G$78))</f>
        <v/>
      </c>
      <c r="H172" s="163" t="str">
        <f t="shared" ca="1" si="56"/>
        <v/>
      </c>
      <c r="I172" s="147" t="str">
        <f t="shared" ca="1" si="56"/>
        <v/>
      </c>
      <c r="J172" s="163" t="str">
        <f t="shared" ca="1" si="56"/>
        <v/>
      </c>
      <c r="K172" s="163" t="str">
        <f t="shared" ca="1" si="56"/>
        <v/>
      </c>
      <c r="L172" s="163" t="str">
        <f t="shared" ca="1" si="56"/>
        <v/>
      </c>
      <c r="M172" s="20" t="str">
        <f t="shared" ca="1" si="56"/>
        <v/>
      </c>
      <c r="Q172" s="6">
        <v>1</v>
      </c>
      <c r="R172" s="6" t="str">
        <f>IF(IGRF!I14="","",IGRF!I14)</f>
        <v>12</v>
      </c>
      <c r="S172" s="20" t="s">
        <v>5</v>
      </c>
      <c r="T172" s="20">
        <f ca="1">IF(OR($U172="",$U172=0),"",SUMPRODUCT(--($S$3:$S$78=$R172),T$3:T$78))</f>
        <v>29</v>
      </c>
      <c r="U172" s="20">
        <f ca="1">IF($R172="","",SUMPRODUCT(--(S$3:S$78=$R172)))</f>
        <v>8</v>
      </c>
      <c r="V172" s="20">
        <f t="shared" ref="V172:AC172" ca="1" si="57">IF(OR($U172="",$U172=0),"",SUMPRODUCT(--($S$3:$S$78=$R172),V$3:V$78))</f>
        <v>17</v>
      </c>
      <c r="W172" s="163">
        <f t="shared" ca="1" si="57"/>
        <v>0</v>
      </c>
      <c r="X172" s="163">
        <f t="shared" ca="1" si="57"/>
        <v>5</v>
      </c>
      <c r="Y172" s="147">
        <f t="shared" ca="1" si="57"/>
        <v>20</v>
      </c>
      <c r="Z172" s="163">
        <f t="shared" ca="1" si="57"/>
        <v>5</v>
      </c>
      <c r="AA172" s="163">
        <f t="shared" ca="1" si="57"/>
        <v>0</v>
      </c>
      <c r="AB172" s="163">
        <f t="shared" ca="1" si="57"/>
        <v>0</v>
      </c>
      <c r="AC172" s="20">
        <f t="shared" ca="1" si="57"/>
        <v>11</v>
      </c>
    </row>
    <row r="173" spans="1:31" x14ac:dyDescent="0.25">
      <c r="A173" s="6"/>
      <c r="B173" s="91"/>
      <c r="C173" s="20" t="s">
        <v>21</v>
      </c>
      <c r="D173" s="20" t="str">
        <f ca="1">IF(OR($E173="",$E173=0),"",SUMPRODUCT(--($C$88:$C$163=$B172),D$88:D$163))</f>
        <v/>
      </c>
      <c r="E173" s="20">
        <f ca="1">IF($B172="","",SUMPRODUCT(--(C$88:C$163=$B172)))</f>
        <v>0</v>
      </c>
      <c r="F173" s="20" t="str">
        <f ca="1">IF(OR($E173="",$E173=0),"",SUMIF($C$88:$C$147,$B172,F$88:F$147))</f>
        <v/>
      </c>
      <c r="G173" s="163" t="str">
        <f t="shared" ref="G173:M173" ca="1" si="58">IF(OR($E173="",$E173=0),"",SUMPRODUCT(--($C$88:$C$163=$B172),G$88:G$163))</f>
        <v/>
      </c>
      <c r="H173" s="163" t="str">
        <f t="shared" ca="1" si="58"/>
        <v/>
      </c>
      <c r="I173" s="147" t="str">
        <f t="shared" ca="1" si="58"/>
        <v/>
      </c>
      <c r="J173" s="163" t="str">
        <f t="shared" ca="1" si="58"/>
        <v/>
      </c>
      <c r="K173" s="163" t="str">
        <f t="shared" ca="1" si="58"/>
        <v/>
      </c>
      <c r="L173" s="163" t="str">
        <f t="shared" ca="1" si="58"/>
        <v/>
      </c>
      <c r="M173" s="20" t="str">
        <f t="shared" ca="1" si="58"/>
        <v/>
      </c>
      <c r="Q173" s="6"/>
      <c r="R173" s="6"/>
      <c r="S173" s="20" t="s">
        <v>21</v>
      </c>
      <c r="T173" s="20">
        <f ca="1">IF(OR($U173="",$U173=0),"",SUMPRODUCT(--($S$88:$S$163=$R172),T$88:T$163))</f>
        <v>24</v>
      </c>
      <c r="U173" s="20">
        <f ca="1">IF($R172="","",SUMPRODUCT(--(S$88:S$163=$R172)))</f>
        <v>6</v>
      </c>
      <c r="V173" s="20">
        <f t="shared" ref="V173:AC173" ca="1" si="59">IF(OR($U173="",$U173=0),"",SUMPRODUCT(--($S$88:$S$163=$R172),V$88:V$163))</f>
        <v>-9</v>
      </c>
      <c r="W173" s="163">
        <f t="shared" ca="1" si="59"/>
        <v>3</v>
      </c>
      <c r="X173" s="163">
        <f t="shared" ca="1" si="59"/>
        <v>4</v>
      </c>
      <c r="Y173" s="147">
        <f t="shared" ca="1" si="59"/>
        <v>3</v>
      </c>
      <c r="Z173" s="163">
        <f t="shared" ca="1" si="59"/>
        <v>2</v>
      </c>
      <c r="AA173" s="163">
        <f t="shared" ca="1" si="59"/>
        <v>0</v>
      </c>
      <c r="AB173" s="163">
        <f t="shared" ca="1" si="59"/>
        <v>1</v>
      </c>
      <c r="AC173" s="20">
        <f t="shared" ca="1" si="59"/>
        <v>9</v>
      </c>
    </row>
    <row r="174" spans="1:31" x14ac:dyDescent="0.25">
      <c r="A174" s="6"/>
      <c r="B174" s="91"/>
      <c r="C174" s="162" t="s">
        <v>7</v>
      </c>
      <c r="D174" s="162">
        <f ca="1">IF($B172="","",SUM(D172:D173))</f>
        <v>0</v>
      </c>
      <c r="E174" s="162">
        <f ca="1">IF($B172="","",SUM(E172:E173))</f>
        <v>0</v>
      </c>
      <c r="F174" s="162">
        <f ca="1">IF($B172="","",SUM(F172:F173))</f>
        <v>0</v>
      </c>
      <c r="G174" s="151">
        <f t="shared" ref="G174:L174" ca="1" si="60">IF($B172="","",SUM(G172,G173))</f>
        <v>0</v>
      </c>
      <c r="H174" s="151">
        <f t="shared" ca="1" si="60"/>
        <v>0</v>
      </c>
      <c r="I174" s="154">
        <f t="shared" ca="1" si="60"/>
        <v>0</v>
      </c>
      <c r="J174" s="151">
        <f t="shared" ca="1" si="60"/>
        <v>0</v>
      </c>
      <c r="K174" s="151">
        <f t="shared" ca="1" si="60"/>
        <v>0</v>
      </c>
      <c r="L174" s="151">
        <f t="shared" ca="1" si="60"/>
        <v>0</v>
      </c>
      <c r="M174" s="162">
        <f ca="1">IF($B172="","",SUM(M172:M173))</f>
        <v>0</v>
      </c>
      <c r="Q174" s="6"/>
      <c r="R174" s="6"/>
      <c r="S174" s="162" t="s">
        <v>7</v>
      </c>
      <c r="T174" s="162">
        <f ca="1">IF($R172="","",SUM(T172:T173))</f>
        <v>53</v>
      </c>
      <c r="U174" s="162">
        <f t="shared" ref="U174:AC174" ca="1" si="61">IF($R172="","",SUM(U172,U173))</f>
        <v>14</v>
      </c>
      <c r="V174" s="162">
        <f t="shared" ca="1" si="61"/>
        <v>8</v>
      </c>
      <c r="W174" s="151">
        <f t="shared" ca="1" si="61"/>
        <v>3</v>
      </c>
      <c r="X174" s="151">
        <f t="shared" ca="1" si="61"/>
        <v>9</v>
      </c>
      <c r="Y174" s="154">
        <f t="shared" ca="1" si="61"/>
        <v>23</v>
      </c>
      <c r="Z174" s="151">
        <f t="shared" ca="1" si="61"/>
        <v>7</v>
      </c>
      <c r="AA174" s="151">
        <f t="shared" ca="1" si="61"/>
        <v>0</v>
      </c>
      <c r="AB174" s="151">
        <f t="shared" ca="1" si="61"/>
        <v>1</v>
      </c>
      <c r="AC174" s="162">
        <f t="shared" ca="1" si="61"/>
        <v>20</v>
      </c>
    </row>
    <row r="175" spans="1:31" x14ac:dyDescent="0.25">
      <c r="A175" s="6">
        <f>A172+1</f>
        <v>2</v>
      </c>
      <c r="B175" s="91" t="str">
        <f>IF(IGRF!B15="","",IGRF!B15)</f>
        <v>123</v>
      </c>
      <c r="C175" s="20" t="s">
        <v>5</v>
      </c>
      <c r="D175" s="20">
        <f ca="1">IF(OR($E175="",$E175=0),"",SUMPRODUCT(--($C$3:$C$78=$B175),D$3:D$78))</f>
        <v>31</v>
      </c>
      <c r="E175" s="20">
        <f ca="1">IF($B175="","",SUMPRODUCT(--(C$3:C$78=$B175)))</f>
        <v>6</v>
      </c>
      <c r="F175" s="20">
        <f ca="1">IF(OR($E175="",$E175=0),"",SUMIF($C$3:$C$62,$B175,F$3:F$62))</f>
        <v>29</v>
      </c>
      <c r="G175" s="163">
        <f t="shared" ref="G175:M175" ca="1" si="62">IF(OR($E175="",$E175=0),"",SUMPRODUCT(--($C$3:$C$78=$B175),G$3:G$78))</f>
        <v>0</v>
      </c>
      <c r="H175" s="163">
        <f t="shared" ca="1" si="62"/>
        <v>5</v>
      </c>
      <c r="I175" s="147">
        <f t="shared" ca="1" si="62"/>
        <v>31</v>
      </c>
      <c r="J175" s="163">
        <f t="shared" ca="1" si="62"/>
        <v>3</v>
      </c>
      <c r="K175" s="163">
        <f t="shared" ca="1" si="62"/>
        <v>0</v>
      </c>
      <c r="L175" s="163">
        <f t="shared" ca="1" si="62"/>
        <v>0</v>
      </c>
      <c r="M175" s="20">
        <f t="shared" ca="1" si="62"/>
        <v>11</v>
      </c>
      <c r="Q175" s="6">
        <f>Q172+1</f>
        <v>2</v>
      </c>
      <c r="R175" s="6" t="str">
        <f>IF(IGRF!I15="","",IGRF!I15)</f>
        <v>16</v>
      </c>
      <c r="S175" s="20" t="s">
        <v>5</v>
      </c>
      <c r="T175" s="20" t="str">
        <f ca="1">IF(OR($U175="",$U175=0),"",SUMPRODUCT(--($S$3:$S$78=$R175),T$3:T$78))</f>
        <v/>
      </c>
      <c r="U175" s="20">
        <f ca="1">IF($R175="","",SUMPRODUCT(--(S$3:S$78=$R175)))</f>
        <v>0</v>
      </c>
      <c r="V175" s="20" t="str">
        <f t="shared" ref="V175:AC175" ca="1" si="63">IF(OR($U175="",$U175=0),"",SUMPRODUCT(--($S$3:$S$78=$R175),V$3:V$78))</f>
        <v/>
      </c>
      <c r="W175" s="163" t="str">
        <f t="shared" ca="1" si="63"/>
        <v/>
      </c>
      <c r="X175" s="163" t="str">
        <f t="shared" ca="1" si="63"/>
        <v/>
      </c>
      <c r="Y175" s="147" t="str">
        <f t="shared" ca="1" si="63"/>
        <v/>
      </c>
      <c r="Z175" s="163" t="str">
        <f t="shared" ca="1" si="63"/>
        <v/>
      </c>
      <c r="AA175" s="163" t="str">
        <f t="shared" ca="1" si="63"/>
        <v/>
      </c>
      <c r="AB175" s="163" t="str">
        <f t="shared" ca="1" si="63"/>
        <v/>
      </c>
      <c r="AC175" s="20" t="str">
        <f t="shared" ca="1" si="63"/>
        <v/>
      </c>
    </row>
    <row r="176" spans="1:31" x14ac:dyDescent="0.25">
      <c r="A176" s="6"/>
      <c r="B176" s="91"/>
      <c r="C176" s="20" t="s">
        <v>21</v>
      </c>
      <c r="D176" s="20">
        <f ca="1">IF(OR($E176="",$E176=0),"",SUMPRODUCT(--($C$88:$C$163=$B175),D$88:D$163))</f>
        <v>10</v>
      </c>
      <c r="E176" s="20">
        <f ca="1">IF($B175="","",SUMPRODUCT(--(C$88:C$163=$B175)))</f>
        <v>5</v>
      </c>
      <c r="F176" s="20">
        <f ca="1">IF(OR($E176="",$E176=0),"",SUMIF($C$88:$C$147,$B175,F$88:F$147))</f>
        <v>-7</v>
      </c>
      <c r="G176" s="163">
        <f t="shared" ref="G176:M176" ca="1" si="64">IF(OR($E176="",$E176=0),"",SUMPRODUCT(--($C$88:$C$163=$B175),G$88:G$163))</f>
        <v>0</v>
      </c>
      <c r="H176" s="163">
        <f t="shared" ca="1" si="64"/>
        <v>2</v>
      </c>
      <c r="I176" s="147">
        <f t="shared" ca="1" si="64"/>
        <v>7</v>
      </c>
      <c r="J176" s="163">
        <f t="shared" ca="1" si="64"/>
        <v>2</v>
      </c>
      <c r="K176" s="163">
        <f t="shared" ca="1" si="64"/>
        <v>0</v>
      </c>
      <c r="L176" s="163">
        <f t="shared" ca="1" si="64"/>
        <v>1</v>
      </c>
      <c r="M176" s="20">
        <f t="shared" ca="1" si="64"/>
        <v>5</v>
      </c>
      <c r="Q176" s="6"/>
      <c r="R176" s="6"/>
      <c r="S176" s="20" t="s">
        <v>21</v>
      </c>
      <c r="T176" s="20" t="str">
        <f ca="1">IF(OR($U176="",$U176=0),"",SUMPRODUCT(--($S$88:$S$163=$R175),T$88:T$163))</f>
        <v/>
      </c>
      <c r="U176" s="20">
        <f ca="1">IF($R175="","",SUMPRODUCT(--(S$88:S$163=$R175)))</f>
        <v>0</v>
      </c>
      <c r="V176" s="20" t="str">
        <f t="shared" ref="V176:AC176" ca="1" si="65">IF(OR($U176="",$U176=0),"",SUMPRODUCT(--($S$88:$S$163=$R175),V$88:V$163))</f>
        <v/>
      </c>
      <c r="W176" s="163" t="str">
        <f t="shared" ca="1" si="65"/>
        <v/>
      </c>
      <c r="X176" s="163" t="str">
        <f t="shared" ca="1" si="65"/>
        <v/>
      </c>
      <c r="Y176" s="147" t="str">
        <f t="shared" ca="1" si="65"/>
        <v/>
      </c>
      <c r="Z176" s="163" t="str">
        <f t="shared" ca="1" si="65"/>
        <v/>
      </c>
      <c r="AA176" s="163" t="str">
        <f t="shared" ca="1" si="65"/>
        <v/>
      </c>
      <c r="AB176" s="163" t="str">
        <f t="shared" ca="1" si="65"/>
        <v/>
      </c>
      <c r="AC176" s="20" t="str">
        <f t="shared" ca="1" si="65"/>
        <v/>
      </c>
    </row>
    <row r="177" spans="1:29" x14ac:dyDescent="0.25">
      <c r="A177" s="6"/>
      <c r="B177" s="91"/>
      <c r="C177" s="162" t="s">
        <v>7</v>
      </c>
      <c r="D177" s="162">
        <f ca="1">IF($B175="","",SUM(D175:D176))</f>
        <v>41</v>
      </c>
      <c r="E177" s="162">
        <f ca="1">IF($B175="","",SUM(E175:E176))</f>
        <v>11</v>
      </c>
      <c r="F177" s="162">
        <f ca="1">IF($B175="","",SUM(F175:F176))</f>
        <v>22</v>
      </c>
      <c r="G177" s="151">
        <f t="shared" ref="G177:L177" ca="1" si="66">IF($B175="","",SUM(G175,G176))</f>
        <v>0</v>
      </c>
      <c r="H177" s="151">
        <f t="shared" ca="1" si="66"/>
        <v>7</v>
      </c>
      <c r="I177" s="154">
        <f t="shared" ca="1" si="66"/>
        <v>38</v>
      </c>
      <c r="J177" s="151">
        <f t="shared" ca="1" si="66"/>
        <v>5</v>
      </c>
      <c r="K177" s="151">
        <f t="shared" ca="1" si="66"/>
        <v>0</v>
      </c>
      <c r="L177" s="151">
        <f t="shared" ca="1" si="66"/>
        <v>1</v>
      </c>
      <c r="M177" s="162">
        <f ca="1">IF($B175="","",SUM(M175:M176))</f>
        <v>16</v>
      </c>
      <c r="Q177" s="6"/>
      <c r="R177" s="6"/>
      <c r="S177" s="162" t="s">
        <v>7</v>
      </c>
      <c r="T177" s="162">
        <f ca="1">IF($R175="","",SUM(T175:T176))</f>
        <v>0</v>
      </c>
      <c r="U177" s="162">
        <f t="shared" ref="U177:AC177" ca="1" si="67">IF($R175="","",SUM(U175,U176))</f>
        <v>0</v>
      </c>
      <c r="V177" s="162">
        <f t="shared" ca="1" si="67"/>
        <v>0</v>
      </c>
      <c r="W177" s="151">
        <f t="shared" ca="1" si="67"/>
        <v>0</v>
      </c>
      <c r="X177" s="151">
        <f t="shared" ca="1" si="67"/>
        <v>0</v>
      </c>
      <c r="Y177" s="154">
        <f t="shared" ca="1" si="67"/>
        <v>0</v>
      </c>
      <c r="Z177" s="151">
        <f t="shared" ca="1" si="67"/>
        <v>0</v>
      </c>
      <c r="AA177" s="151">
        <f t="shared" ca="1" si="67"/>
        <v>0</v>
      </c>
      <c r="AB177" s="151">
        <f t="shared" ca="1" si="67"/>
        <v>0</v>
      </c>
      <c r="AC177" s="162">
        <f t="shared" ca="1" si="67"/>
        <v>0</v>
      </c>
    </row>
    <row r="178" spans="1:29" x14ac:dyDescent="0.25">
      <c r="A178" s="6">
        <f>A175+1</f>
        <v>3</v>
      </c>
      <c r="B178" s="91" t="str">
        <f>IF(IGRF!B16="","",IGRF!B16)</f>
        <v>1760</v>
      </c>
      <c r="C178" s="20" t="s">
        <v>5</v>
      </c>
      <c r="D178" s="20">
        <f ca="1">IF(OR($E178="",$E178=0),"",SUMPRODUCT(--($C$3:$C$78=$B178),D$3:D$78))</f>
        <v>0</v>
      </c>
      <c r="E178" s="20">
        <f ca="1">IF($B178="","",SUMPRODUCT(--(C$3:C$78=$B178)))</f>
        <v>1</v>
      </c>
      <c r="F178" s="20">
        <f ca="1">IF(OR($E178="",$E178=0),"",SUMIF($C$3:$C$62,$B178,F$3:F$62))</f>
        <v>0</v>
      </c>
      <c r="G178" s="163">
        <f t="shared" ref="G178:M178" ca="1" si="68">IF(OR($E178="",$E178=0),"",SUMPRODUCT(--($C$3:$C$78=$B178),G$3:G$78))</f>
        <v>0</v>
      </c>
      <c r="H178" s="163">
        <f t="shared" ca="1" si="68"/>
        <v>0</v>
      </c>
      <c r="I178" s="147">
        <f t="shared" ca="1" si="68"/>
        <v>0</v>
      </c>
      <c r="J178" s="163">
        <f t="shared" ca="1" si="68"/>
        <v>0</v>
      </c>
      <c r="K178" s="163">
        <f t="shared" ca="1" si="68"/>
        <v>0</v>
      </c>
      <c r="L178" s="163">
        <f t="shared" ca="1" si="68"/>
        <v>0</v>
      </c>
      <c r="M178" s="20">
        <f t="shared" ca="1" si="68"/>
        <v>1</v>
      </c>
      <c r="Q178" s="6">
        <f>Q175+1</f>
        <v>3</v>
      </c>
      <c r="R178" s="6" t="str">
        <f>IF(IGRF!I16="","",IGRF!I16)</f>
        <v>17</v>
      </c>
      <c r="S178" s="20" t="s">
        <v>5</v>
      </c>
      <c r="T178" s="20" t="str">
        <f ca="1">IF(OR($U178="",$U178=0),"",SUMPRODUCT(--($S$3:$S$78=$R178),T$3:T$78))</f>
        <v/>
      </c>
      <c r="U178" s="20">
        <f ca="1">IF($R178="","",SUMPRODUCT(--(S$3:S$78=$R178)))</f>
        <v>0</v>
      </c>
      <c r="V178" s="20" t="str">
        <f t="shared" ref="V178:AC178" ca="1" si="69">IF(OR($U178="",$U178=0),"",SUMPRODUCT(--($S$3:$S$78=$R178),V$3:V$78))</f>
        <v/>
      </c>
      <c r="W178" s="163" t="str">
        <f t="shared" ca="1" si="69"/>
        <v/>
      </c>
      <c r="X178" s="163" t="str">
        <f t="shared" ca="1" si="69"/>
        <v/>
      </c>
      <c r="Y178" s="147" t="str">
        <f t="shared" ca="1" si="69"/>
        <v/>
      </c>
      <c r="Z178" s="163" t="str">
        <f t="shared" ca="1" si="69"/>
        <v/>
      </c>
      <c r="AA178" s="163" t="str">
        <f t="shared" ca="1" si="69"/>
        <v/>
      </c>
      <c r="AB178" s="163" t="str">
        <f t="shared" ca="1" si="69"/>
        <v/>
      </c>
      <c r="AC178" s="20" t="str">
        <f t="shared" ca="1" si="69"/>
        <v/>
      </c>
    </row>
    <row r="179" spans="1:29" x14ac:dyDescent="0.25">
      <c r="A179" s="6"/>
      <c r="B179" s="91"/>
      <c r="C179" s="20" t="s">
        <v>21</v>
      </c>
      <c r="D179" s="20">
        <f ca="1">IF(OR($E179="",$E179=0),"",SUMPRODUCT(--($C$88:$C$163=$B178),D$88:D$163))</f>
        <v>0</v>
      </c>
      <c r="E179" s="20">
        <f ca="1">IF($B178="","",SUMPRODUCT(--(C$88:C$163=$B178)))</f>
        <v>1</v>
      </c>
      <c r="F179" s="20">
        <f ca="1">IF(OR($E179="",$E179=0),"",SUMIF($C$88:$C$147,$B178,F$88:F$147))</f>
        <v>0</v>
      </c>
      <c r="G179" s="163">
        <f t="shared" ref="G179:M179" ca="1" si="70">IF(OR($E179="",$E179=0),"",SUMPRODUCT(--($C$88:$C$163=$B178),G$88:G$163))</f>
        <v>0</v>
      </c>
      <c r="H179" s="163">
        <f t="shared" ca="1" si="70"/>
        <v>0</v>
      </c>
      <c r="I179" s="147">
        <f t="shared" ca="1" si="70"/>
        <v>0</v>
      </c>
      <c r="J179" s="163">
        <f t="shared" ca="1" si="70"/>
        <v>0</v>
      </c>
      <c r="K179" s="163">
        <f t="shared" ca="1" si="70"/>
        <v>0</v>
      </c>
      <c r="L179" s="163">
        <f t="shared" ca="1" si="70"/>
        <v>0</v>
      </c>
      <c r="M179" s="20">
        <f t="shared" ca="1" si="70"/>
        <v>1</v>
      </c>
      <c r="Q179" s="6"/>
      <c r="R179" s="6"/>
      <c r="S179" s="20" t="s">
        <v>21</v>
      </c>
      <c r="T179" s="20" t="str">
        <f ca="1">IF(OR($U179="",$U179=0),"",SUMPRODUCT(--($S$88:$S$163=$R178),T$88:T$163))</f>
        <v/>
      </c>
      <c r="U179" s="20">
        <f ca="1">IF($R178="","",SUMPRODUCT(--(S$88:S$163=$R178)))</f>
        <v>0</v>
      </c>
      <c r="V179" s="20" t="str">
        <f t="shared" ref="V179:AC179" ca="1" si="71">IF(OR($U179="",$U179=0),"",SUMPRODUCT(--($S$88:$S$163=$R178),V$88:V$163))</f>
        <v/>
      </c>
      <c r="W179" s="163" t="str">
        <f t="shared" ca="1" si="71"/>
        <v/>
      </c>
      <c r="X179" s="163" t="str">
        <f t="shared" ca="1" si="71"/>
        <v/>
      </c>
      <c r="Y179" s="147" t="str">
        <f t="shared" ca="1" si="71"/>
        <v/>
      </c>
      <c r="Z179" s="163" t="str">
        <f t="shared" ca="1" si="71"/>
        <v/>
      </c>
      <c r="AA179" s="163" t="str">
        <f t="shared" ca="1" si="71"/>
        <v/>
      </c>
      <c r="AB179" s="163" t="str">
        <f t="shared" ca="1" si="71"/>
        <v/>
      </c>
      <c r="AC179" s="20" t="str">
        <f t="shared" ca="1" si="71"/>
        <v/>
      </c>
    </row>
    <row r="180" spans="1:29" x14ac:dyDescent="0.25">
      <c r="A180" s="6"/>
      <c r="B180" s="91"/>
      <c r="C180" s="162" t="s">
        <v>7</v>
      </c>
      <c r="D180" s="162">
        <f ca="1">IF($B178="","",SUM(D178:D179))</f>
        <v>0</v>
      </c>
      <c r="E180" s="162">
        <f ca="1">IF($B178="","",SUM(E178:E179))</f>
        <v>2</v>
      </c>
      <c r="F180" s="162">
        <f ca="1">IF($B178="","",SUM(F178:F179))</f>
        <v>0</v>
      </c>
      <c r="G180" s="151">
        <f t="shared" ref="G180:L180" ca="1" si="72">IF($B178="","",SUM(G178,G179))</f>
        <v>0</v>
      </c>
      <c r="H180" s="151">
        <f t="shared" ca="1" si="72"/>
        <v>0</v>
      </c>
      <c r="I180" s="154">
        <f t="shared" ca="1" si="72"/>
        <v>0</v>
      </c>
      <c r="J180" s="151">
        <f t="shared" ca="1" si="72"/>
        <v>0</v>
      </c>
      <c r="K180" s="151">
        <f t="shared" ca="1" si="72"/>
        <v>0</v>
      </c>
      <c r="L180" s="151">
        <f t="shared" ca="1" si="72"/>
        <v>0</v>
      </c>
      <c r="M180" s="162">
        <f ca="1">IF($B178="","",SUM(M178:M179))</f>
        <v>2</v>
      </c>
      <c r="Q180" s="6"/>
      <c r="R180" s="6"/>
      <c r="S180" s="162" t="s">
        <v>7</v>
      </c>
      <c r="T180" s="162">
        <f ca="1">IF($R178="","",SUM(T178:T179))</f>
        <v>0</v>
      </c>
      <c r="U180" s="162">
        <f t="shared" ref="U180:AC180" ca="1" si="73">IF($R178="","",SUM(U178,U179))</f>
        <v>0</v>
      </c>
      <c r="V180" s="162">
        <f t="shared" ca="1" si="73"/>
        <v>0</v>
      </c>
      <c r="W180" s="151">
        <f t="shared" ca="1" si="73"/>
        <v>0</v>
      </c>
      <c r="X180" s="151">
        <f t="shared" ca="1" si="73"/>
        <v>0</v>
      </c>
      <c r="Y180" s="154">
        <f t="shared" ca="1" si="73"/>
        <v>0</v>
      </c>
      <c r="Z180" s="151">
        <f t="shared" ca="1" si="73"/>
        <v>0</v>
      </c>
      <c r="AA180" s="151">
        <f t="shared" ca="1" si="73"/>
        <v>0</v>
      </c>
      <c r="AB180" s="151">
        <f t="shared" ca="1" si="73"/>
        <v>0</v>
      </c>
      <c r="AC180" s="162">
        <f t="shared" ca="1" si="73"/>
        <v>0</v>
      </c>
    </row>
    <row r="181" spans="1:29" x14ac:dyDescent="0.25">
      <c r="A181" s="6">
        <f>A178+1</f>
        <v>4</v>
      </c>
      <c r="B181" s="91" t="str">
        <f>IF(IGRF!B17="","",IGRF!B17)</f>
        <v>202</v>
      </c>
      <c r="C181" s="20" t="s">
        <v>5</v>
      </c>
      <c r="D181" s="20">
        <f ca="1">IF(OR($E181="",$E181=0),"",SUMPRODUCT(--($C$3:$C$78=$B181),D$3:D$78))</f>
        <v>24</v>
      </c>
      <c r="E181" s="20">
        <f ca="1">IF($B181="","",SUMPRODUCT(--(C$3:C$78=$B181)))</f>
        <v>4</v>
      </c>
      <c r="F181" s="20">
        <f ca="1">IF(OR($E181="",$E181=0),"",SUMIF($C$3:$C$62,$B181,F$3:F$62))</f>
        <v>17</v>
      </c>
      <c r="G181" s="163">
        <f t="shared" ref="G181:M181" ca="1" si="74">IF(OR($E181="",$E181=0),"",SUMPRODUCT(--($C$3:$C$78=$B181),G$3:G$78))</f>
        <v>1</v>
      </c>
      <c r="H181" s="163">
        <f t="shared" ca="1" si="74"/>
        <v>4</v>
      </c>
      <c r="I181" s="147">
        <f t="shared" ca="1" si="74"/>
        <v>17</v>
      </c>
      <c r="J181" s="163">
        <f t="shared" ca="1" si="74"/>
        <v>1</v>
      </c>
      <c r="K181" s="163">
        <f t="shared" ca="1" si="74"/>
        <v>0</v>
      </c>
      <c r="L181" s="163">
        <f t="shared" ca="1" si="74"/>
        <v>0</v>
      </c>
      <c r="M181" s="20">
        <f t="shared" ca="1" si="74"/>
        <v>9</v>
      </c>
      <c r="Q181" s="6">
        <f>Q178+1</f>
        <v>4</v>
      </c>
      <c r="R181" s="6" t="str">
        <f>IF(IGRF!I17="","",IGRF!I17)</f>
        <v>2</v>
      </c>
      <c r="S181" s="20" t="s">
        <v>5</v>
      </c>
      <c r="T181" s="20" t="str">
        <f ca="1">IF(OR($U181="",$U181=0),"",SUMPRODUCT(--($S$3:$S$78=$R181),T$3:T$78))</f>
        <v/>
      </c>
      <c r="U181" s="20">
        <f ca="1">IF($R181="","",SUMPRODUCT(--(S$3:S$78=$R181)))</f>
        <v>0</v>
      </c>
      <c r="V181" s="20" t="str">
        <f t="shared" ref="V181:AC181" ca="1" si="75">IF(OR($U181="",$U181=0),"",SUMPRODUCT(--($S$3:$S$78=$R181),V$3:V$78))</f>
        <v/>
      </c>
      <c r="W181" s="163" t="str">
        <f t="shared" ca="1" si="75"/>
        <v/>
      </c>
      <c r="X181" s="163" t="str">
        <f t="shared" ca="1" si="75"/>
        <v/>
      </c>
      <c r="Y181" s="147" t="str">
        <f t="shared" ca="1" si="75"/>
        <v/>
      </c>
      <c r="Z181" s="163" t="str">
        <f t="shared" ca="1" si="75"/>
        <v/>
      </c>
      <c r="AA181" s="163" t="str">
        <f t="shared" ca="1" si="75"/>
        <v/>
      </c>
      <c r="AB181" s="163" t="str">
        <f t="shared" ca="1" si="75"/>
        <v/>
      </c>
      <c r="AC181" s="20" t="str">
        <f t="shared" ca="1" si="75"/>
        <v/>
      </c>
    </row>
    <row r="182" spans="1:29" x14ac:dyDescent="0.25">
      <c r="A182" s="6"/>
      <c r="B182" s="91"/>
      <c r="C182" s="20" t="s">
        <v>21</v>
      </c>
      <c r="D182" s="20">
        <f ca="1">IF(OR($E182="",$E182=0),"",SUMPRODUCT(--($C$88:$C$163=$B181),D$88:D$163))</f>
        <v>34</v>
      </c>
      <c r="E182" s="20">
        <f ca="1">IF($B181="","",SUMPRODUCT(--(C$88:C$163=$B181)))</f>
        <v>4</v>
      </c>
      <c r="F182" s="20">
        <f ca="1">IF(OR($E182="",$E182=0),"",SUMIF($C$88:$C$147,$B181,F$88:F$147))</f>
        <v>22</v>
      </c>
      <c r="G182" s="163">
        <f t="shared" ref="G182:M182" ca="1" si="76">IF(OR($E182="",$E182=0),"",SUMPRODUCT(--($C$88:$C$163=$B181),G$88:G$163))</f>
        <v>0</v>
      </c>
      <c r="H182" s="163">
        <f t="shared" ca="1" si="76"/>
        <v>3</v>
      </c>
      <c r="I182" s="147">
        <f t="shared" ca="1" si="76"/>
        <v>26</v>
      </c>
      <c r="J182" s="163">
        <f t="shared" ca="1" si="76"/>
        <v>1</v>
      </c>
      <c r="K182" s="163">
        <f t="shared" ca="1" si="76"/>
        <v>0</v>
      </c>
      <c r="L182" s="163">
        <f t="shared" ca="1" si="76"/>
        <v>0</v>
      </c>
      <c r="M182" s="20">
        <f t="shared" ca="1" si="76"/>
        <v>11</v>
      </c>
      <c r="Q182" s="6"/>
      <c r="R182" s="6"/>
      <c r="S182" s="20" t="s">
        <v>21</v>
      </c>
      <c r="T182" s="20" t="str">
        <f ca="1">IF(OR($U182="",$U182=0),"",SUMPRODUCT(--($S$88:$S$163=$R181),T$88:T$163))</f>
        <v/>
      </c>
      <c r="U182" s="20">
        <f ca="1">IF($R181="","",SUMPRODUCT(--(S$88:S$163=$R181)))</f>
        <v>0</v>
      </c>
      <c r="V182" s="20" t="str">
        <f t="shared" ref="V182:AC182" ca="1" si="77">IF(OR($U182="",$U182=0),"",SUMPRODUCT(--($S$88:$S$163=$R181),V$88:V$163))</f>
        <v/>
      </c>
      <c r="W182" s="163" t="str">
        <f t="shared" ca="1" si="77"/>
        <v/>
      </c>
      <c r="X182" s="163" t="str">
        <f t="shared" ca="1" si="77"/>
        <v/>
      </c>
      <c r="Y182" s="147" t="str">
        <f t="shared" ca="1" si="77"/>
        <v/>
      </c>
      <c r="Z182" s="163" t="str">
        <f t="shared" ca="1" si="77"/>
        <v/>
      </c>
      <c r="AA182" s="163" t="str">
        <f t="shared" ca="1" si="77"/>
        <v/>
      </c>
      <c r="AB182" s="163" t="str">
        <f t="shared" ca="1" si="77"/>
        <v/>
      </c>
      <c r="AC182" s="20" t="str">
        <f t="shared" ca="1" si="77"/>
        <v/>
      </c>
    </row>
    <row r="183" spans="1:29" x14ac:dyDescent="0.25">
      <c r="A183" s="6"/>
      <c r="B183" s="91"/>
      <c r="C183" s="162" t="s">
        <v>7</v>
      </c>
      <c r="D183" s="162">
        <f ca="1">IF($B181="","",SUM(D181:D182))</f>
        <v>58</v>
      </c>
      <c r="E183" s="162">
        <f ca="1">IF($B181="","",SUM(E181:E182))</f>
        <v>8</v>
      </c>
      <c r="F183" s="162">
        <f ca="1">IF($B181="","",SUM(F181:F182))</f>
        <v>39</v>
      </c>
      <c r="G183" s="151">
        <f t="shared" ref="G183:L183" ca="1" si="78">IF($B181="","",SUM(G181,G182))</f>
        <v>1</v>
      </c>
      <c r="H183" s="151">
        <f t="shared" ca="1" si="78"/>
        <v>7</v>
      </c>
      <c r="I183" s="154">
        <f t="shared" ca="1" si="78"/>
        <v>43</v>
      </c>
      <c r="J183" s="151">
        <f t="shared" ca="1" si="78"/>
        <v>2</v>
      </c>
      <c r="K183" s="151">
        <f t="shared" ca="1" si="78"/>
        <v>0</v>
      </c>
      <c r="L183" s="151">
        <f t="shared" ca="1" si="78"/>
        <v>0</v>
      </c>
      <c r="M183" s="162">
        <f ca="1">IF($B181="","",SUM(M181:M182))</f>
        <v>20</v>
      </c>
      <c r="Q183" s="6"/>
      <c r="R183" s="6"/>
      <c r="S183" s="162" t="s">
        <v>7</v>
      </c>
      <c r="T183" s="162">
        <f ca="1">IF($R181="","",SUM(T181:T182))</f>
        <v>0</v>
      </c>
      <c r="U183" s="162">
        <f t="shared" ref="U183:AC183" ca="1" si="79">IF($R181="","",SUM(U181,U182))</f>
        <v>0</v>
      </c>
      <c r="V183" s="162">
        <f t="shared" ca="1" si="79"/>
        <v>0</v>
      </c>
      <c r="W183" s="151">
        <f t="shared" ca="1" si="79"/>
        <v>0</v>
      </c>
      <c r="X183" s="151">
        <f t="shared" ca="1" si="79"/>
        <v>0</v>
      </c>
      <c r="Y183" s="154">
        <f t="shared" ca="1" si="79"/>
        <v>0</v>
      </c>
      <c r="Z183" s="151">
        <f t="shared" ca="1" si="79"/>
        <v>0</v>
      </c>
      <c r="AA183" s="151">
        <f t="shared" ca="1" si="79"/>
        <v>0</v>
      </c>
      <c r="AB183" s="151">
        <f t="shared" ca="1" si="79"/>
        <v>0</v>
      </c>
      <c r="AC183" s="162">
        <f t="shared" ca="1" si="79"/>
        <v>0</v>
      </c>
    </row>
    <row r="184" spans="1:29" x14ac:dyDescent="0.25">
      <c r="A184" s="6">
        <f>A181+1</f>
        <v>5</v>
      </c>
      <c r="B184" s="91" t="str">
        <f>IF(IGRF!B18="","",IGRF!B18)</f>
        <v>22</v>
      </c>
      <c r="C184" s="20" t="s">
        <v>5</v>
      </c>
      <c r="D184" s="20">
        <f ca="1">IF(OR($E184="",$E184=0),"",SUMPRODUCT(--($C$3:$C$78=$B184),D$3:D$78))</f>
        <v>0</v>
      </c>
      <c r="E184" s="20">
        <f ca="1">IF($B184="","",SUMPRODUCT(--(C$3:C$78=$B184)))</f>
        <v>1</v>
      </c>
      <c r="F184" s="20">
        <f ca="1">IF(OR($E184="",$E184=0),"",SUMIF($C$3:$C$62,$B184,F$3:F$62))</f>
        <v>-4</v>
      </c>
      <c r="G184" s="163">
        <f t="shared" ref="G184:M184" ca="1" si="80">IF(OR($E184="",$E184=0),"",SUMPRODUCT(--($C$3:$C$78=$B184),G$3:G$78))</f>
        <v>0</v>
      </c>
      <c r="H184" s="163">
        <f t="shared" ca="1" si="80"/>
        <v>0</v>
      </c>
      <c r="I184" s="147">
        <f t="shared" ca="1" si="80"/>
        <v>0</v>
      </c>
      <c r="J184" s="163">
        <f t="shared" ca="1" si="80"/>
        <v>0</v>
      </c>
      <c r="K184" s="163">
        <f t="shared" ca="1" si="80"/>
        <v>0</v>
      </c>
      <c r="L184" s="163">
        <f t="shared" ca="1" si="80"/>
        <v>1</v>
      </c>
      <c r="M184" s="20">
        <f t="shared" ca="1" si="80"/>
        <v>0</v>
      </c>
      <c r="Q184" s="6">
        <f>Q181+1</f>
        <v>5</v>
      </c>
      <c r="R184" s="6" t="str">
        <f>IF(IGRF!I18="","",IGRF!I18)</f>
        <v>219</v>
      </c>
      <c r="S184" s="20" t="s">
        <v>5</v>
      </c>
      <c r="T184" s="20">
        <f ca="1">IF(OR($U184="",$U184=0),"",SUMPRODUCT(--($S$3:$S$78=$R184),T$3:T$78))</f>
        <v>4</v>
      </c>
      <c r="U184" s="20">
        <f ca="1">IF($R184="","",SUMPRODUCT(--(S$3:S$78=$R184)))</f>
        <v>3</v>
      </c>
      <c r="V184" s="20">
        <f t="shared" ref="V184:AC184" ca="1" si="81">IF(OR($U184="",$U184=0),"",SUMPRODUCT(--($S$3:$S$78=$R184),V$3:V$78))</f>
        <v>0</v>
      </c>
      <c r="W184" s="163">
        <f t="shared" ca="1" si="81"/>
        <v>0</v>
      </c>
      <c r="X184" s="163">
        <f t="shared" ca="1" si="81"/>
        <v>0</v>
      </c>
      <c r="Y184" s="147">
        <f t="shared" ca="1" si="81"/>
        <v>0</v>
      </c>
      <c r="Z184" s="163">
        <f t="shared" ca="1" si="81"/>
        <v>0</v>
      </c>
      <c r="AA184" s="163">
        <f t="shared" ca="1" si="81"/>
        <v>0</v>
      </c>
      <c r="AB184" s="163">
        <f t="shared" ca="1" si="81"/>
        <v>1</v>
      </c>
      <c r="AC184" s="20">
        <f t="shared" ca="1" si="81"/>
        <v>3</v>
      </c>
    </row>
    <row r="185" spans="1:29" x14ac:dyDescent="0.25">
      <c r="A185" s="6"/>
      <c r="B185" s="91"/>
      <c r="C185" s="20" t="s">
        <v>21</v>
      </c>
      <c r="D185" s="20" t="str">
        <f ca="1">IF(OR($E185="",$E185=0),"",SUMPRODUCT(--($C$88:$C$163=$B184),D$88:D$163))</f>
        <v/>
      </c>
      <c r="E185" s="20">
        <f ca="1">IF($B184="","",SUMPRODUCT(--(C$88:C$163=$B184)))</f>
        <v>0</v>
      </c>
      <c r="F185" s="20" t="str">
        <f ca="1">IF(OR($E185="",$E185=0),"",SUMIF($C$88:$C$147,$B184,F$88:F$147))</f>
        <v/>
      </c>
      <c r="G185" s="163" t="str">
        <f t="shared" ref="G185:M185" ca="1" si="82">IF(OR($E185="",$E185=0),"",SUMPRODUCT(--($C$88:$C$163=$B184),G$88:G$163))</f>
        <v/>
      </c>
      <c r="H185" s="163" t="str">
        <f t="shared" ca="1" si="82"/>
        <v/>
      </c>
      <c r="I185" s="147" t="str">
        <f t="shared" ca="1" si="82"/>
        <v/>
      </c>
      <c r="J185" s="163" t="str">
        <f t="shared" ca="1" si="82"/>
        <v/>
      </c>
      <c r="K185" s="163" t="str">
        <f t="shared" ca="1" si="82"/>
        <v/>
      </c>
      <c r="L185" s="163" t="str">
        <f t="shared" ca="1" si="82"/>
        <v/>
      </c>
      <c r="M185" s="20" t="str">
        <f t="shared" ca="1" si="82"/>
        <v/>
      </c>
      <c r="Q185" s="6"/>
      <c r="R185" s="6"/>
      <c r="S185" s="20" t="s">
        <v>21</v>
      </c>
      <c r="T185" s="20">
        <f ca="1">IF(OR($U185="",$U185=0),"",SUMPRODUCT(--($S$88:$S$163=$R184),T$88:T$163))</f>
        <v>3</v>
      </c>
      <c r="U185" s="20">
        <f ca="1">IF($R184="","",SUMPRODUCT(--(S$88:S$163=$R184)))</f>
        <v>2</v>
      </c>
      <c r="V185" s="20">
        <f t="shared" ref="V185:AC185" ca="1" si="83">IF(OR($U185="",$U185=0),"",SUMPRODUCT(--($S$88:$S$163=$R184),V$88:V$163))</f>
        <v>0</v>
      </c>
      <c r="W185" s="163">
        <f t="shared" ca="1" si="83"/>
        <v>0</v>
      </c>
      <c r="X185" s="163">
        <f t="shared" ca="1" si="83"/>
        <v>0</v>
      </c>
      <c r="Y185" s="147">
        <f t="shared" ca="1" si="83"/>
        <v>0</v>
      </c>
      <c r="Z185" s="163">
        <f t="shared" ca="1" si="83"/>
        <v>0</v>
      </c>
      <c r="AA185" s="163">
        <f t="shared" ca="1" si="83"/>
        <v>0</v>
      </c>
      <c r="AB185" s="163">
        <f t="shared" ca="1" si="83"/>
        <v>1</v>
      </c>
      <c r="AC185" s="20">
        <f t="shared" ca="1" si="83"/>
        <v>1</v>
      </c>
    </row>
    <row r="186" spans="1:29" x14ac:dyDescent="0.25">
      <c r="A186" s="6"/>
      <c r="B186" s="91"/>
      <c r="C186" s="162" t="s">
        <v>7</v>
      </c>
      <c r="D186" s="162">
        <f ca="1">IF($B184="","",SUM(D184:D185))</f>
        <v>0</v>
      </c>
      <c r="E186" s="162">
        <f ca="1">IF($B184="","",SUM(E184:E185))</f>
        <v>1</v>
      </c>
      <c r="F186" s="162">
        <f ca="1">IF($B184="","",SUM(F184:F185))</f>
        <v>-4</v>
      </c>
      <c r="G186" s="151">
        <f t="shared" ref="G186:L186" ca="1" si="84">IF($B184="","",SUM(G184,G185))</f>
        <v>0</v>
      </c>
      <c r="H186" s="151">
        <f t="shared" ca="1" si="84"/>
        <v>0</v>
      </c>
      <c r="I186" s="154">
        <f t="shared" ca="1" si="84"/>
        <v>0</v>
      </c>
      <c r="J186" s="151">
        <f t="shared" ca="1" si="84"/>
        <v>0</v>
      </c>
      <c r="K186" s="151">
        <f t="shared" ca="1" si="84"/>
        <v>0</v>
      </c>
      <c r="L186" s="151">
        <f t="shared" ca="1" si="84"/>
        <v>1</v>
      </c>
      <c r="M186" s="162">
        <f ca="1">IF($B184="","",SUM(M184:M185))</f>
        <v>0</v>
      </c>
      <c r="Q186" s="6"/>
      <c r="R186" s="6"/>
      <c r="S186" s="162" t="s">
        <v>7</v>
      </c>
      <c r="T186" s="162">
        <f ca="1">IF($R184="","",SUM(T184:T185))</f>
        <v>7</v>
      </c>
      <c r="U186" s="162">
        <f t="shared" ref="U186:AC186" ca="1" si="85">IF($R184="","",SUM(U184,U185))</f>
        <v>5</v>
      </c>
      <c r="V186" s="162">
        <f t="shared" ca="1" si="85"/>
        <v>0</v>
      </c>
      <c r="W186" s="151">
        <f t="shared" ca="1" si="85"/>
        <v>0</v>
      </c>
      <c r="X186" s="151">
        <f t="shared" ca="1" si="85"/>
        <v>0</v>
      </c>
      <c r="Y186" s="154">
        <f t="shared" ca="1" si="85"/>
        <v>0</v>
      </c>
      <c r="Z186" s="151">
        <f t="shared" ca="1" si="85"/>
        <v>0</v>
      </c>
      <c r="AA186" s="151">
        <f t="shared" ca="1" si="85"/>
        <v>0</v>
      </c>
      <c r="AB186" s="151">
        <f t="shared" ca="1" si="85"/>
        <v>2</v>
      </c>
      <c r="AC186" s="162">
        <f t="shared" ca="1" si="85"/>
        <v>4</v>
      </c>
    </row>
    <row r="187" spans="1:29" x14ac:dyDescent="0.25">
      <c r="A187" s="6">
        <f>A184+1</f>
        <v>6</v>
      </c>
      <c r="B187" s="91" t="str">
        <f>IF(IGRF!B19="","",IGRF!B19)</f>
        <v>221*</v>
      </c>
      <c r="C187" s="20" t="s">
        <v>5</v>
      </c>
      <c r="D187" s="20" t="str">
        <f ca="1">IF(OR($E187="",$E187=0),"",SUMPRODUCT(--($C$3:$C$78=$B187),D$3:D$78))</f>
        <v/>
      </c>
      <c r="E187" s="20">
        <f ca="1">IF($B187="","",SUMPRODUCT(--(C$3:C$78=$B187)))</f>
        <v>0</v>
      </c>
      <c r="F187" s="20" t="str">
        <f ca="1">IF(OR($E187="",$E187=0),"",SUMIF($C$3:$C$62,$B187,F$3:F$62))</f>
        <v/>
      </c>
      <c r="G187" s="163" t="str">
        <f t="shared" ref="G187:M187" ca="1" si="86">IF(OR($E187="",$E187=0),"",SUMPRODUCT(--($C$3:$C$78=$B187),G$3:G$78))</f>
        <v/>
      </c>
      <c r="H187" s="163" t="str">
        <f t="shared" ca="1" si="86"/>
        <v/>
      </c>
      <c r="I187" s="147" t="str">
        <f t="shared" ca="1" si="86"/>
        <v/>
      </c>
      <c r="J187" s="163" t="str">
        <f t="shared" ca="1" si="86"/>
        <v/>
      </c>
      <c r="K187" s="163" t="str">
        <f t="shared" ca="1" si="86"/>
        <v/>
      </c>
      <c r="L187" s="163" t="str">
        <f t="shared" ca="1" si="86"/>
        <v/>
      </c>
      <c r="M187" s="20" t="str">
        <f t="shared" ca="1" si="86"/>
        <v/>
      </c>
      <c r="Q187" s="6">
        <f>Q184+1</f>
        <v>6</v>
      </c>
      <c r="R187" s="6" t="str">
        <f>IF(IGRF!I19="","",IGRF!I19)</f>
        <v>22</v>
      </c>
      <c r="S187" s="20" t="s">
        <v>5</v>
      </c>
      <c r="T187" s="20" t="str">
        <f ca="1">IF(OR($U187="",$U187=0),"",SUMPRODUCT(--($S$3:$S$78=$R187),T$3:T$78))</f>
        <v/>
      </c>
      <c r="U187" s="20">
        <f ca="1">IF($R187="","",SUMPRODUCT(--(S$3:S$78=$R187)))</f>
        <v>0</v>
      </c>
      <c r="V187" s="20" t="str">
        <f t="shared" ref="V187:AC187" ca="1" si="87">IF(OR($U187="",$U187=0),"",SUMPRODUCT(--($S$3:$S$78=$R187),V$3:V$78))</f>
        <v/>
      </c>
      <c r="W187" s="163" t="str">
        <f t="shared" ca="1" si="87"/>
        <v/>
      </c>
      <c r="X187" s="163" t="str">
        <f t="shared" ca="1" si="87"/>
        <v/>
      </c>
      <c r="Y187" s="147" t="str">
        <f t="shared" ca="1" si="87"/>
        <v/>
      </c>
      <c r="Z187" s="163" t="str">
        <f t="shared" ca="1" si="87"/>
        <v/>
      </c>
      <c r="AA187" s="163" t="str">
        <f t="shared" ca="1" si="87"/>
        <v/>
      </c>
      <c r="AB187" s="163" t="str">
        <f t="shared" ca="1" si="87"/>
        <v/>
      </c>
      <c r="AC187" s="20" t="str">
        <f t="shared" ca="1" si="87"/>
        <v/>
      </c>
    </row>
    <row r="188" spans="1:29" x14ac:dyDescent="0.25">
      <c r="A188" s="6"/>
      <c r="B188" s="91"/>
      <c r="C188" s="20" t="s">
        <v>21</v>
      </c>
      <c r="D188" s="20" t="str">
        <f ca="1">IF(OR($E188="",$E188=0),"",SUMPRODUCT(--($C$88:$C$163=$B187),D$88:D$163))</f>
        <v/>
      </c>
      <c r="E188" s="20">
        <f ca="1">IF($B187="","",SUMPRODUCT(--(C$88:C$163=$B187)))</f>
        <v>0</v>
      </c>
      <c r="F188" s="20" t="str">
        <f ca="1">IF(OR($E188="",$E188=0),"",SUMIF($C$88:$C$147,$B187,F$88:F$147))</f>
        <v/>
      </c>
      <c r="G188" s="163" t="str">
        <f t="shared" ref="G188:M188" ca="1" si="88">IF(OR($E188="",$E188=0),"",SUMPRODUCT(--($C$88:$C$163=$B187),G$88:G$163))</f>
        <v/>
      </c>
      <c r="H188" s="163" t="str">
        <f t="shared" ca="1" si="88"/>
        <v/>
      </c>
      <c r="I188" s="147" t="str">
        <f t="shared" ca="1" si="88"/>
        <v/>
      </c>
      <c r="J188" s="163" t="str">
        <f t="shared" ca="1" si="88"/>
        <v/>
      </c>
      <c r="K188" s="163" t="str">
        <f t="shared" ca="1" si="88"/>
        <v/>
      </c>
      <c r="L188" s="163" t="str">
        <f t="shared" ca="1" si="88"/>
        <v/>
      </c>
      <c r="M188" s="20" t="str">
        <f t="shared" ca="1" si="88"/>
        <v/>
      </c>
      <c r="Q188" s="6"/>
      <c r="R188" s="6"/>
      <c r="S188" s="20" t="s">
        <v>21</v>
      </c>
      <c r="T188" s="20">
        <f ca="1">IF(OR($U188="",$U188=0),"",SUMPRODUCT(--($S$88:$S$163=$R187),T$88:T$163))</f>
        <v>0</v>
      </c>
      <c r="U188" s="20">
        <f ca="1">IF($R187="","",SUMPRODUCT(--(S$88:S$163=$R187)))</f>
        <v>1</v>
      </c>
      <c r="V188" s="20">
        <f t="shared" ref="V188:AC188" ca="1" si="89">IF(OR($U188="",$U188=0),"",SUMPRODUCT(--($S$88:$S$163=$R187),V$88:V$163))</f>
        <v>0</v>
      </c>
      <c r="W188" s="163">
        <f t="shared" ca="1" si="89"/>
        <v>0</v>
      </c>
      <c r="X188" s="163">
        <f t="shared" ca="1" si="89"/>
        <v>0</v>
      </c>
      <c r="Y188" s="147">
        <f t="shared" ca="1" si="89"/>
        <v>0</v>
      </c>
      <c r="Z188" s="163">
        <f t="shared" ca="1" si="89"/>
        <v>0</v>
      </c>
      <c r="AA188" s="163">
        <f t="shared" ca="1" si="89"/>
        <v>0</v>
      </c>
      <c r="AB188" s="163">
        <f t="shared" ca="1" si="89"/>
        <v>1</v>
      </c>
      <c r="AC188" s="20">
        <f t="shared" ca="1" si="89"/>
        <v>0</v>
      </c>
    </row>
    <row r="189" spans="1:29" x14ac:dyDescent="0.25">
      <c r="A189" s="6"/>
      <c r="B189" s="91"/>
      <c r="C189" s="162" t="s">
        <v>7</v>
      </c>
      <c r="D189" s="162">
        <f ca="1">IF($B187="","",SUM(D187:D188))</f>
        <v>0</v>
      </c>
      <c r="E189" s="162">
        <f ca="1">IF($B187="","",SUM(E187:E188))</f>
        <v>0</v>
      </c>
      <c r="F189" s="162">
        <f ca="1">IF($B187="","",SUM(F187:F188))</f>
        <v>0</v>
      </c>
      <c r="G189" s="151">
        <f t="shared" ref="G189:L189" ca="1" si="90">IF($B187="","",SUM(G187,G188))</f>
        <v>0</v>
      </c>
      <c r="H189" s="151">
        <f t="shared" ca="1" si="90"/>
        <v>0</v>
      </c>
      <c r="I189" s="154">
        <f t="shared" ca="1" si="90"/>
        <v>0</v>
      </c>
      <c r="J189" s="151">
        <f t="shared" ca="1" si="90"/>
        <v>0</v>
      </c>
      <c r="K189" s="151">
        <f t="shared" ca="1" si="90"/>
        <v>0</v>
      </c>
      <c r="L189" s="151">
        <f t="shared" ca="1" si="90"/>
        <v>0</v>
      </c>
      <c r="M189" s="162">
        <f ca="1">IF($B187="","",SUM(M187:M188))</f>
        <v>0</v>
      </c>
      <c r="Q189" s="6"/>
      <c r="R189" s="6"/>
      <c r="S189" s="162" t="s">
        <v>7</v>
      </c>
      <c r="T189" s="162">
        <f ca="1">IF($R187="","",SUM(T187:T188))</f>
        <v>0</v>
      </c>
      <c r="U189" s="162">
        <f t="shared" ref="U189:AC189" ca="1" si="91">IF($R187="","",SUM(U187,U188))</f>
        <v>1</v>
      </c>
      <c r="V189" s="162">
        <f t="shared" ca="1" si="91"/>
        <v>0</v>
      </c>
      <c r="W189" s="151">
        <f t="shared" ca="1" si="91"/>
        <v>0</v>
      </c>
      <c r="X189" s="151">
        <f t="shared" ca="1" si="91"/>
        <v>0</v>
      </c>
      <c r="Y189" s="154">
        <f t="shared" ca="1" si="91"/>
        <v>0</v>
      </c>
      <c r="Z189" s="151">
        <f t="shared" ca="1" si="91"/>
        <v>0</v>
      </c>
      <c r="AA189" s="151">
        <f t="shared" ca="1" si="91"/>
        <v>0</v>
      </c>
      <c r="AB189" s="151">
        <f t="shared" ca="1" si="91"/>
        <v>1</v>
      </c>
      <c r="AC189" s="162">
        <f t="shared" ca="1" si="91"/>
        <v>0</v>
      </c>
    </row>
    <row r="190" spans="1:29" x14ac:dyDescent="0.25">
      <c r="A190" s="6">
        <f>A187+1</f>
        <v>7</v>
      </c>
      <c r="B190" s="91" t="str">
        <f>IF(IGRF!B20="","",IGRF!B20)</f>
        <v>229</v>
      </c>
      <c r="C190" s="20" t="s">
        <v>5</v>
      </c>
      <c r="D190" s="20" t="str">
        <f ca="1">IF(OR($E190="",$E190=0),"",SUMPRODUCT(--($C$3:$C$78=$B190),D$3:D$78))</f>
        <v/>
      </c>
      <c r="E190" s="20">
        <f ca="1">IF($B190="","",SUMPRODUCT(--(C$3:C$78=$B190)))</f>
        <v>0</v>
      </c>
      <c r="F190" s="20" t="str">
        <f ca="1">IF(OR($E190="",$E190=0),"",SUMIF($C$3:$C$62,$B190,F$3:F$62))</f>
        <v/>
      </c>
      <c r="G190" s="163" t="str">
        <f t="shared" ref="G190:M190" ca="1" si="92">IF(OR($E190="",$E190=0),"",SUMPRODUCT(--($C$3:$C$78=$B190),G$3:G$78))</f>
        <v/>
      </c>
      <c r="H190" s="163" t="str">
        <f t="shared" ca="1" si="92"/>
        <v/>
      </c>
      <c r="I190" s="147" t="str">
        <f t="shared" ca="1" si="92"/>
        <v/>
      </c>
      <c r="J190" s="163" t="str">
        <f t="shared" ca="1" si="92"/>
        <v/>
      </c>
      <c r="K190" s="163" t="str">
        <f t="shared" ca="1" si="92"/>
        <v/>
      </c>
      <c r="L190" s="163" t="str">
        <f t="shared" ca="1" si="92"/>
        <v/>
      </c>
      <c r="M190" s="20" t="str">
        <f t="shared" ca="1" si="92"/>
        <v/>
      </c>
      <c r="Q190" s="6">
        <f>Q187+1</f>
        <v>7</v>
      </c>
      <c r="R190" s="6" t="str">
        <f>IF(IGRF!I20="","",IGRF!I20)</f>
        <v>223</v>
      </c>
      <c r="S190" s="20" t="s">
        <v>5</v>
      </c>
      <c r="T190" s="20">
        <f ca="1">IF(OR($U190="",$U190=0),"",SUMPRODUCT(--($S$3:$S$78=$R190),T$3:T$78))</f>
        <v>0</v>
      </c>
      <c r="U190" s="20">
        <f ca="1">IF($R190="","",SUMPRODUCT(--(S$3:S$78=$R190)))</f>
        <v>1</v>
      </c>
      <c r="V190" s="20">
        <f t="shared" ref="V190:AC190" ca="1" si="93">IF(OR($U190="",$U190=0),"",SUMPRODUCT(--($S$3:$S$78=$R190),V$3:V$78))</f>
        <v>-4</v>
      </c>
      <c r="W190" s="163">
        <f t="shared" ca="1" si="93"/>
        <v>0</v>
      </c>
      <c r="X190" s="163">
        <f t="shared" ca="1" si="93"/>
        <v>0</v>
      </c>
      <c r="Y190" s="147">
        <f t="shared" ca="1" si="93"/>
        <v>0</v>
      </c>
      <c r="Z190" s="163">
        <f t="shared" ca="1" si="93"/>
        <v>0</v>
      </c>
      <c r="AA190" s="163">
        <f t="shared" ca="1" si="93"/>
        <v>0</v>
      </c>
      <c r="AB190" s="163">
        <f t="shared" ca="1" si="93"/>
        <v>1</v>
      </c>
      <c r="AC190" s="20">
        <f t="shared" ca="1" si="93"/>
        <v>0</v>
      </c>
    </row>
    <row r="191" spans="1:29" x14ac:dyDescent="0.25">
      <c r="A191" s="6"/>
      <c r="B191" s="91"/>
      <c r="C191" s="20" t="s">
        <v>21</v>
      </c>
      <c r="D191" s="20" t="str">
        <f ca="1">IF(OR($E191="",$E191=0),"",SUMPRODUCT(--($C$88:$C$163=$B190),D$88:D$163))</f>
        <v/>
      </c>
      <c r="E191" s="20">
        <f ca="1">IF($B190="","",SUMPRODUCT(--(C$88:C$163=$B190)))</f>
        <v>0</v>
      </c>
      <c r="F191" s="20" t="str">
        <f ca="1">IF(OR($E191="",$E191=0),"",SUMIF($C$88:$C$147,$B190,F$88:F$147))</f>
        <v/>
      </c>
      <c r="G191" s="163" t="str">
        <f t="shared" ref="G191:M191" ca="1" si="94">IF(OR($E191="",$E191=0),"",SUMPRODUCT(--($C$88:$C$163=$B190),G$88:G$163))</f>
        <v/>
      </c>
      <c r="H191" s="163" t="str">
        <f t="shared" ca="1" si="94"/>
        <v/>
      </c>
      <c r="I191" s="147" t="str">
        <f t="shared" ca="1" si="94"/>
        <v/>
      </c>
      <c r="J191" s="163" t="str">
        <f t="shared" ca="1" si="94"/>
        <v/>
      </c>
      <c r="K191" s="163" t="str">
        <f t="shared" ca="1" si="94"/>
        <v/>
      </c>
      <c r="L191" s="163" t="str">
        <f t="shared" ca="1" si="94"/>
        <v/>
      </c>
      <c r="M191" s="20" t="str">
        <f t="shared" ca="1" si="94"/>
        <v/>
      </c>
      <c r="Q191" s="6"/>
      <c r="R191" s="6"/>
      <c r="S191" s="20" t="s">
        <v>21</v>
      </c>
      <c r="T191" s="20">
        <f ca="1">IF(OR($U191="",$U191=0),"",SUMPRODUCT(--($S$88:$S$163=$R190),T$88:T$163))</f>
        <v>10</v>
      </c>
      <c r="U191" s="20">
        <f ca="1">IF($R190="","",SUMPRODUCT(--(S$88:S$163=$R190)))</f>
        <v>2</v>
      </c>
      <c r="V191" s="20">
        <f t="shared" ref="V191:AC191" ca="1" si="95">IF(OR($U191="",$U191=0),"",SUMPRODUCT(--($S$88:$S$163=$R190),V$88:V$163))</f>
        <v>10</v>
      </c>
      <c r="W191" s="163">
        <f t="shared" ca="1" si="95"/>
        <v>0</v>
      </c>
      <c r="X191" s="163">
        <f t="shared" ca="1" si="95"/>
        <v>2</v>
      </c>
      <c r="Y191" s="147">
        <f t="shared" ca="1" si="95"/>
        <v>10</v>
      </c>
      <c r="Z191" s="163">
        <f t="shared" ca="1" si="95"/>
        <v>2</v>
      </c>
      <c r="AA191" s="163">
        <f t="shared" ca="1" si="95"/>
        <v>0</v>
      </c>
      <c r="AB191" s="163">
        <f t="shared" ca="1" si="95"/>
        <v>0</v>
      </c>
      <c r="AC191" s="20">
        <f t="shared" ca="1" si="95"/>
        <v>3</v>
      </c>
    </row>
    <row r="192" spans="1:29" x14ac:dyDescent="0.25">
      <c r="A192" s="6"/>
      <c r="B192" s="91"/>
      <c r="C192" s="162" t="s">
        <v>7</v>
      </c>
      <c r="D192" s="162">
        <f ca="1">IF($B190="","",SUM(D190:D191))</f>
        <v>0</v>
      </c>
      <c r="E192" s="162">
        <f ca="1">IF($B190="","",SUM(E190:E191))</f>
        <v>0</v>
      </c>
      <c r="F192" s="162">
        <f ca="1">IF($B190="","",SUM(F190:F191))</f>
        <v>0</v>
      </c>
      <c r="G192" s="151">
        <f t="shared" ref="G192:L192" ca="1" si="96">IF($B190="","",SUM(G190,G191))</f>
        <v>0</v>
      </c>
      <c r="H192" s="151">
        <f t="shared" ca="1" si="96"/>
        <v>0</v>
      </c>
      <c r="I192" s="154">
        <f t="shared" ca="1" si="96"/>
        <v>0</v>
      </c>
      <c r="J192" s="151">
        <f t="shared" ca="1" si="96"/>
        <v>0</v>
      </c>
      <c r="K192" s="151">
        <f t="shared" ca="1" si="96"/>
        <v>0</v>
      </c>
      <c r="L192" s="151">
        <f t="shared" ca="1" si="96"/>
        <v>0</v>
      </c>
      <c r="M192" s="162">
        <f ca="1">IF($B190="","",SUM(M190:M191))</f>
        <v>0</v>
      </c>
      <c r="Q192" s="6"/>
      <c r="R192" s="6"/>
      <c r="S192" s="162" t="s">
        <v>7</v>
      </c>
      <c r="T192" s="162">
        <f ca="1">IF($R190="","",SUM(T190:T191))</f>
        <v>10</v>
      </c>
      <c r="U192" s="162">
        <f t="shared" ref="U192:AC192" ca="1" si="97">IF($R190="","",SUM(U190,U191))</f>
        <v>3</v>
      </c>
      <c r="V192" s="162">
        <f t="shared" ca="1" si="97"/>
        <v>6</v>
      </c>
      <c r="W192" s="151">
        <f t="shared" ca="1" si="97"/>
        <v>0</v>
      </c>
      <c r="X192" s="151">
        <f t="shared" ca="1" si="97"/>
        <v>2</v>
      </c>
      <c r="Y192" s="154">
        <f t="shared" ca="1" si="97"/>
        <v>10</v>
      </c>
      <c r="Z192" s="151">
        <f t="shared" ca="1" si="97"/>
        <v>2</v>
      </c>
      <c r="AA192" s="151">
        <f t="shared" ca="1" si="97"/>
        <v>0</v>
      </c>
      <c r="AB192" s="151">
        <f t="shared" ca="1" si="97"/>
        <v>1</v>
      </c>
      <c r="AC192" s="162">
        <f t="shared" ca="1" si="97"/>
        <v>3</v>
      </c>
    </row>
    <row r="193" spans="1:29" x14ac:dyDescent="0.25">
      <c r="A193" s="6">
        <f>A190+1</f>
        <v>8</v>
      </c>
      <c r="B193" s="91" t="str">
        <f>IF(IGRF!B21="","",IGRF!B21)</f>
        <v>237</v>
      </c>
      <c r="C193" s="20" t="s">
        <v>5</v>
      </c>
      <c r="D193" s="20" t="str">
        <f ca="1">IF(OR($E193="",$E193=0),"",SUMPRODUCT(--($C$3:$C$78=$B193),D$3:D$78))</f>
        <v/>
      </c>
      <c r="E193" s="20">
        <f ca="1">IF($B193="","",SUMPRODUCT(--(C$3:C$78=$B193)))</f>
        <v>0</v>
      </c>
      <c r="F193" s="20" t="str">
        <f ca="1">IF(OR($E193="",$E193=0),"",SUMIF($C$3:$C$62,$B193,F$3:F$62))</f>
        <v/>
      </c>
      <c r="G193" s="163" t="str">
        <f t="shared" ref="G193:M193" ca="1" si="98">IF(OR($E193="",$E193=0),"",SUMPRODUCT(--($C$3:$C$78=$B193),G$3:G$78))</f>
        <v/>
      </c>
      <c r="H193" s="163" t="str">
        <f t="shared" ca="1" si="98"/>
        <v/>
      </c>
      <c r="I193" s="147" t="str">
        <f t="shared" ca="1" si="98"/>
        <v/>
      </c>
      <c r="J193" s="163" t="str">
        <f t="shared" ca="1" si="98"/>
        <v/>
      </c>
      <c r="K193" s="163" t="str">
        <f t="shared" ca="1" si="98"/>
        <v/>
      </c>
      <c r="L193" s="163" t="str">
        <f t="shared" ca="1" si="98"/>
        <v/>
      </c>
      <c r="M193" s="20" t="str">
        <f t="shared" ca="1" si="98"/>
        <v/>
      </c>
      <c r="Q193" s="6">
        <f>Q190+1</f>
        <v>8</v>
      </c>
      <c r="R193" s="6" t="str">
        <f>IF(IGRF!I21="","",IGRF!I21)</f>
        <v>23</v>
      </c>
      <c r="S193" s="20" t="s">
        <v>5</v>
      </c>
      <c r="T193" s="20">
        <f ca="1">IF(OR($U193="",$U193=0),"",SUMPRODUCT(--($S$3:$S$78=$R193),T$3:T$78))</f>
        <v>9</v>
      </c>
      <c r="U193" s="20">
        <f ca="1">IF($R193="","",SUMPRODUCT(--(S$3:S$78=$R193)))</f>
        <v>6</v>
      </c>
      <c r="V193" s="20">
        <f t="shared" ref="V193:AC193" ca="1" si="99">IF(OR($U193="",$U193=0),"",SUMPRODUCT(--($S$3:$S$78=$R193),V$3:V$78))</f>
        <v>-11</v>
      </c>
      <c r="W193" s="163">
        <f t="shared" ca="1" si="99"/>
        <v>0</v>
      </c>
      <c r="X193" s="163">
        <f t="shared" ca="1" si="99"/>
        <v>2</v>
      </c>
      <c r="Y193" s="147">
        <f t="shared" ca="1" si="99"/>
        <v>6</v>
      </c>
      <c r="Z193" s="163">
        <f t="shared" ca="1" si="99"/>
        <v>2</v>
      </c>
      <c r="AA193" s="163">
        <f t="shared" ca="1" si="99"/>
        <v>0</v>
      </c>
      <c r="AB193" s="163">
        <f t="shared" ca="1" si="99"/>
        <v>3</v>
      </c>
      <c r="AC193" s="20">
        <f t="shared" ca="1" si="99"/>
        <v>3</v>
      </c>
    </row>
    <row r="194" spans="1:29" x14ac:dyDescent="0.25">
      <c r="A194" s="6"/>
      <c r="B194" s="91"/>
      <c r="C194" s="20" t="s">
        <v>21</v>
      </c>
      <c r="D194" s="20" t="str">
        <f ca="1">IF(OR($E194="",$E194=0),"",SUMPRODUCT(--($C$88:$C$163=$B193),D$88:D$163))</f>
        <v/>
      </c>
      <c r="E194" s="20">
        <f ca="1">IF($B193="","",SUMPRODUCT(--(C$88:C$163=$B193)))</f>
        <v>0</v>
      </c>
      <c r="F194" s="20" t="str">
        <f ca="1">IF(OR($E194="",$E194=0),"",SUMIF($C$88:$C$147,$B193,F$88:F$147))</f>
        <v/>
      </c>
      <c r="G194" s="163" t="str">
        <f t="shared" ref="G194:M194" ca="1" si="100">IF(OR($E194="",$E194=0),"",SUMPRODUCT(--($C$88:$C$163=$B193),G$88:G$163))</f>
        <v/>
      </c>
      <c r="H194" s="163" t="str">
        <f t="shared" ca="1" si="100"/>
        <v/>
      </c>
      <c r="I194" s="147" t="str">
        <f t="shared" ca="1" si="100"/>
        <v/>
      </c>
      <c r="J194" s="163" t="str">
        <f t="shared" ca="1" si="100"/>
        <v/>
      </c>
      <c r="K194" s="163" t="str">
        <f t="shared" ca="1" si="100"/>
        <v/>
      </c>
      <c r="L194" s="163" t="str">
        <f t="shared" ca="1" si="100"/>
        <v/>
      </c>
      <c r="M194" s="20" t="str">
        <f t="shared" ca="1" si="100"/>
        <v/>
      </c>
      <c r="Q194" s="6"/>
      <c r="R194" s="6"/>
      <c r="S194" s="20" t="s">
        <v>21</v>
      </c>
      <c r="T194" s="20">
        <f ca="1">IF(OR($U194="",$U194=0),"",SUMPRODUCT(--($S$88:$S$163=$R193),T$88:T$163))</f>
        <v>7</v>
      </c>
      <c r="U194" s="20">
        <f ca="1">IF($R193="","",SUMPRODUCT(--(S$88:S$163=$R193)))</f>
        <v>4</v>
      </c>
      <c r="V194" s="20">
        <f t="shared" ref="V194:AC194" ca="1" si="101">IF(OR($U194="",$U194=0),"",SUMPRODUCT(--($S$88:$S$163=$R193),V$88:V$163))</f>
        <v>-12</v>
      </c>
      <c r="W194" s="163">
        <f t="shared" ca="1" si="101"/>
        <v>0</v>
      </c>
      <c r="X194" s="163">
        <f t="shared" ca="1" si="101"/>
        <v>1</v>
      </c>
      <c r="Y194" s="147">
        <f t="shared" ca="1" si="101"/>
        <v>7</v>
      </c>
      <c r="Z194" s="163">
        <f t="shared" ca="1" si="101"/>
        <v>1</v>
      </c>
      <c r="AA194" s="163">
        <f t="shared" ca="1" si="101"/>
        <v>0</v>
      </c>
      <c r="AB194" s="163">
        <f t="shared" ca="1" si="101"/>
        <v>3</v>
      </c>
      <c r="AC194" s="20">
        <f t="shared" ca="1" si="101"/>
        <v>2</v>
      </c>
    </row>
    <row r="195" spans="1:29" x14ac:dyDescent="0.25">
      <c r="A195" s="6"/>
      <c r="B195" s="91"/>
      <c r="C195" s="162" t="s">
        <v>7</v>
      </c>
      <c r="D195" s="162">
        <f ca="1">IF($B193="","",SUM(D193:D194))</f>
        <v>0</v>
      </c>
      <c r="E195" s="162">
        <f ca="1">IF($B193="","",SUM(E193:E194))</f>
        <v>0</v>
      </c>
      <c r="F195" s="162">
        <f ca="1">IF($B193="","",SUM(F193:F194))</f>
        <v>0</v>
      </c>
      <c r="G195" s="151">
        <f t="shared" ref="G195:L195" ca="1" si="102">IF($B193="","",SUM(G193,G194))</f>
        <v>0</v>
      </c>
      <c r="H195" s="151">
        <f t="shared" ca="1" si="102"/>
        <v>0</v>
      </c>
      <c r="I195" s="154">
        <f t="shared" ca="1" si="102"/>
        <v>0</v>
      </c>
      <c r="J195" s="151">
        <f t="shared" ca="1" si="102"/>
        <v>0</v>
      </c>
      <c r="K195" s="151">
        <f t="shared" ca="1" si="102"/>
        <v>0</v>
      </c>
      <c r="L195" s="151">
        <f t="shared" ca="1" si="102"/>
        <v>0</v>
      </c>
      <c r="M195" s="162">
        <f ca="1">IF($B193="","",SUM(M193:M194))</f>
        <v>0</v>
      </c>
      <c r="Q195" s="6"/>
      <c r="R195" s="6"/>
      <c r="S195" s="162" t="s">
        <v>7</v>
      </c>
      <c r="T195" s="162">
        <f ca="1">IF($R193="","",SUM(T193:T194))</f>
        <v>16</v>
      </c>
      <c r="U195" s="162">
        <f t="shared" ref="U195:AC195" ca="1" si="103">IF($R193="","",SUM(U193,U194))</f>
        <v>10</v>
      </c>
      <c r="V195" s="162">
        <f t="shared" ca="1" si="103"/>
        <v>-23</v>
      </c>
      <c r="W195" s="151">
        <f t="shared" ca="1" si="103"/>
        <v>0</v>
      </c>
      <c r="X195" s="151">
        <f t="shared" ca="1" si="103"/>
        <v>3</v>
      </c>
      <c r="Y195" s="154">
        <f t="shared" ca="1" si="103"/>
        <v>13</v>
      </c>
      <c r="Z195" s="151">
        <f t="shared" ca="1" si="103"/>
        <v>3</v>
      </c>
      <c r="AA195" s="151">
        <f t="shared" ca="1" si="103"/>
        <v>0</v>
      </c>
      <c r="AB195" s="151">
        <f t="shared" ca="1" si="103"/>
        <v>6</v>
      </c>
      <c r="AC195" s="162">
        <f t="shared" ca="1" si="103"/>
        <v>5</v>
      </c>
    </row>
    <row r="196" spans="1:29" x14ac:dyDescent="0.25">
      <c r="A196" s="6">
        <f>A193+1</f>
        <v>9</v>
      </c>
      <c r="B196" s="91" t="str">
        <f>IF(IGRF!B22="","",IGRF!B22)</f>
        <v>282*</v>
      </c>
      <c r="C196" s="20" t="s">
        <v>5</v>
      </c>
      <c r="D196" s="20" t="str">
        <f ca="1">IF(OR($E196="",$E196=0),"",SUMPRODUCT(--($C$3:$C$78=$B196),D$3:D$78))</f>
        <v/>
      </c>
      <c r="E196" s="20">
        <f ca="1">IF($B196="","",SUMPRODUCT(--(C$3:C$78=$B196)))</f>
        <v>0</v>
      </c>
      <c r="F196" s="20" t="str">
        <f ca="1">IF(OR($E196="",$E196=0),"",SUMIF($C$3:$C$62,$B196,F$3:F$62))</f>
        <v/>
      </c>
      <c r="G196" s="163" t="str">
        <f t="shared" ref="G196:M196" ca="1" si="104">IF(OR($E196="",$E196=0),"",SUMPRODUCT(--($C$3:$C$78=$B196),G$3:G$78))</f>
        <v/>
      </c>
      <c r="H196" s="163" t="str">
        <f t="shared" ca="1" si="104"/>
        <v/>
      </c>
      <c r="I196" s="147" t="str">
        <f t="shared" ca="1" si="104"/>
        <v/>
      </c>
      <c r="J196" s="163" t="str">
        <f t="shared" ca="1" si="104"/>
        <v/>
      </c>
      <c r="K196" s="163" t="str">
        <f t="shared" ca="1" si="104"/>
        <v/>
      </c>
      <c r="L196" s="163" t="str">
        <f t="shared" ca="1" si="104"/>
        <v/>
      </c>
      <c r="M196" s="20" t="str">
        <f t="shared" ca="1" si="104"/>
        <v/>
      </c>
      <c r="Q196" s="6">
        <f>Q193+1</f>
        <v>9</v>
      </c>
      <c r="R196" s="6" t="str">
        <f>IF(IGRF!I22="","",IGRF!I22)</f>
        <v>25</v>
      </c>
      <c r="S196" s="20" t="s">
        <v>5</v>
      </c>
      <c r="T196" s="20">
        <f ca="1">IF(OR($U196="",$U196=0),"",SUMPRODUCT(--($S$3:$S$78=$R196),T$3:T$78))</f>
        <v>0</v>
      </c>
      <c r="U196" s="20">
        <f ca="1">IF($R196="","",SUMPRODUCT(--(S$3:S$78=$R196)))</f>
        <v>1</v>
      </c>
      <c r="V196" s="20">
        <f t="shared" ref="V196:AC196" ca="1" si="105">IF(OR($U196="",$U196=0),"",SUMPRODUCT(--($S$3:$S$78=$R196),V$3:V$78))</f>
        <v>0</v>
      </c>
      <c r="W196" s="163">
        <f t="shared" ca="1" si="105"/>
        <v>0</v>
      </c>
      <c r="X196" s="163">
        <f t="shared" ca="1" si="105"/>
        <v>0</v>
      </c>
      <c r="Y196" s="147">
        <f t="shared" ca="1" si="105"/>
        <v>0</v>
      </c>
      <c r="Z196" s="163">
        <f t="shared" ca="1" si="105"/>
        <v>0</v>
      </c>
      <c r="AA196" s="163">
        <f t="shared" ca="1" si="105"/>
        <v>0</v>
      </c>
      <c r="AB196" s="163">
        <f t="shared" ca="1" si="105"/>
        <v>0</v>
      </c>
      <c r="AC196" s="20">
        <f t="shared" ca="1" si="105"/>
        <v>1</v>
      </c>
    </row>
    <row r="197" spans="1:29" x14ac:dyDescent="0.25">
      <c r="A197" s="6"/>
      <c r="B197" s="91"/>
      <c r="C197" s="20" t="s">
        <v>21</v>
      </c>
      <c r="D197" s="20" t="str">
        <f ca="1">IF(OR($E197="",$E197=0),"",SUMPRODUCT(--($C$88:$C$163=$B196),D$88:D$163))</f>
        <v/>
      </c>
      <c r="E197" s="20">
        <f ca="1">IF($B196="","",SUMPRODUCT(--(C$88:C$163=$B196)))</f>
        <v>0</v>
      </c>
      <c r="F197" s="20" t="str">
        <f ca="1">IF(OR($E197="",$E197=0),"",SUMIF($C$88:$C$147,$B196,F$88:F$147))</f>
        <v/>
      </c>
      <c r="G197" s="163" t="str">
        <f t="shared" ref="G197:M197" ca="1" si="106">IF(OR($E197="",$E197=0),"",SUMPRODUCT(--($C$88:$C$163=$B196),G$88:G$163))</f>
        <v/>
      </c>
      <c r="H197" s="163" t="str">
        <f t="shared" ca="1" si="106"/>
        <v/>
      </c>
      <c r="I197" s="147" t="str">
        <f t="shared" ca="1" si="106"/>
        <v/>
      </c>
      <c r="J197" s="163" t="str">
        <f t="shared" ca="1" si="106"/>
        <v/>
      </c>
      <c r="K197" s="163" t="str">
        <f t="shared" ca="1" si="106"/>
        <v/>
      </c>
      <c r="L197" s="163" t="str">
        <f t="shared" ca="1" si="106"/>
        <v/>
      </c>
      <c r="M197" s="20" t="str">
        <f t="shared" ca="1" si="106"/>
        <v/>
      </c>
      <c r="Q197" s="6"/>
      <c r="R197" s="6"/>
      <c r="S197" s="20" t="s">
        <v>21</v>
      </c>
      <c r="T197" s="20" t="str">
        <f ca="1">IF(OR($U197="",$U197=0),"",SUMPRODUCT(--($S$88:$S$163=$R196),T$88:T$163))</f>
        <v/>
      </c>
      <c r="U197" s="20">
        <f ca="1">IF($R196="","",SUMPRODUCT(--(S$88:S$163=$R196)))</f>
        <v>0</v>
      </c>
      <c r="V197" s="20" t="str">
        <f t="shared" ref="V197:AC197" ca="1" si="107">IF(OR($U197="",$U197=0),"",SUMPRODUCT(--($S$88:$S$163=$R196),V$88:V$163))</f>
        <v/>
      </c>
      <c r="W197" s="163" t="str">
        <f t="shared" ca="1" si="107"/>
        <v/>
      </c>
      <c r="X197" s="163" t="str">
        <f t="shared" ca="1" si="107"/>
        <v/>
      </c>
      <c r="Y197" s="147" t="str">
        <f t="shared" ca="1" si="107"/>
        <v/>
      </c>
      <c r="Z197" s="163" t="str">
        <f t="shared" ca="1" si="107"/>
        <v/>
      </c>
      <c r="AA197" s="163" t="str">
        <f t="shared" ca="1" si="107"/>
        <v/>
      </c>
      <c r="AB197" s="163" t="str">
        <f t="shared" ca="1" si="107"/>
        <v/>
      </c>
      <c r="AC197" s="20" t="str">
        <f t="shared" ca="1" si="107"/>
        <v/>
      </c>
    </row>
    <row r="198" spans="1:29" x14ac:dyDescent="0.25">
      <c r="A198" s="6"/>
      <c r="B198" s="91"/>
      <c r="C198" s="162" t="s">
        <v>7</v>
      </c>
      <c r="D198" s="162">
        <f ca="1">IF($B196="","",SUM(D196:D197))</f>
        <v>0</v>
      </c>
      <c r="E198" s="162">
        <f ca="1">IF($B196="","",SUM(E196:E197))</f>
        <v>0</v>
      </c>
      <c r="F198" s="162">
        <f ca="1">IF($B196="","",SUM(F196:F197))</f>
        <v>0</v>
      </c>
      <c r="G198" s="151">
        <f t="shared" ref="G198:L198" ca="1" si="108">IF($B196="","",SUM(G196,G197))</f>
        <v>0</v>
      </c>
      <c r="H198" s="151">
        <f t="shared" ca="1" si="108"/>
        <v>0</v>
      </c>
      <c r="I198" s="154">
        <f t="shared" ca="1" si="108"/>
        <v>0</v>
      </c>
      <c r="J198" s="151">
        <f t="shared" ca="1" si="108"/>
        <v>0</v>
      </c>
      <c r="K198" s="151">
        <f t="shared" ca="1" si="108"/>
        <v>0</v>
      </c>
      <c r="L198" s="151">
        <f t="shared" ca="1" si="108"/>
        <v>0</v>
      </c>
      <c r="M198" s="162">
        <f ca="1">IF($B196="","",SUM(M196:M197))</f>
        <v>0</v>
      </c>
      <c r="Q198" s="6"/>
      <c r="R198" s="6"/>
      <c r="S198" s="162" t="s">
        <v>7</v>
      </c>
      <c r="T198" s="162">
        <f ca="1">IF($R196="","",SUM(T196:T197))</f>
        <v>0</v>
      </c>
      <c r="U198" s="162">
        <f t="shared" ref="U198:AC198" ca="1" si="109">IF($R196="","",SUM(U196,U197))</f>
        <v>1</v>
      </c>
      <c r="V198" s="162">
        <f t="shared" ca="1" si="109"/>
        <v>0</v>
      </c>
      <c r="W198" s="151">
        <f t="shared" ca="1" si="109"/>
        <v>0</v>
      </c>
      <c r="X198" s="151">
        <f t="shared" ca="1" si="109"/>
        <v>0</v>
      </c>
      <c r="Y198" s="154">
        <f t="shared" ca="1" si="109"/>
        <v>0</v>
      </c>
      <c r="Z198" s="151">
        <f t="shared" ca="1" si="109"/>
        <v>0</v>
      </c>
      <c r="AA198" s="151">
        <f t="shared" ca="1" si="109"/>
        <v>0</v>
      </c>
      <c r="AB198" s="151">
        <f t="shared" ca="1" si="109"/>
        <v>0</v>
      </c>
      <c r="AC198" s="162">
        <f t="shared" ca="1" si="109"/>
        <v>1</v>
      </c>
    </row>
    <row r="199" spans="1:29" x14ac:dyDescent="0.25">
      <c r="A199" s="6">
        <f>A196+1</f>
        <v>10</v>
      </c>
      <c r="B199" s="91" t="str">
        <f>IF(IGRF!B23="","",IGRF!B23)</f>
        <v>337</v>
      </c>
      <c r="C199" s="20" t="s">
        <v>5</v>
      </c>
      <c r="D199" s="20" t="str">
        <f ca="1">IF(OR($E199="",$E199=0),"",SUMPRODUCT(--($C$3:$C$78=$B199),D$3:D$78))</f>
        <v/>
      </c>
      <c r="E199" s="20">
        <f ca="1">IF($B199="","",SUMPRODUCT(--(C$3:C$78=$B199)))</f>
        <v>0</v>
      </c>
      <c r="F199" s="20" t="str">
        <f ca="1">IF(OR($E199="",$E199=0),"",SUMIF($C$3:$C$62,$B199,F$3:F$62))</f>
        <v/>
      </c>
      <c r="G199" s="163" t="str">
        <f t="shared" ref="G199:M199" ca="1" si="110">IF(OR($E199="",$E199=0),"",SUMPRODUCT(--($C$3:$C$78=$B199),G$3:G$78))</f>
        <v/>
      </c>
      <c r="H199" s="163" t="str">
        <f t="shared" ca="1" si="110"/>
        <v/>
      </c>
      <c r="I199" s="147" t="str">
        <f t="shared" ca="1" si="110"/>
        <v/>
      </c>
      <c r="J199" s="163" t="str">
        <f t="shared" ca="1" si="110"/>
        <v/>
      </c>
      <c r="K199" s="163" t="str">
        <f t="shared" ca="1" si="110"/>
        <v/>
      </c>
      <c r="L199" s="163" t="str">
        <f t="shared" ca="1" si="110"/>
        <v/>
      </c>
      <c r="M199" s="20" t="str">
        <f t="shared" ca="1" si="110"/>
        <v/>
      </c>
      <c r="Q199" s="6">
        <f>Q196+1</f>
        <v>10</v>
      </c>
      <c r="R199" s="6" t="str">
        <f>IF(IGRF!I23="","",IGRF!I23)</f>
        <v>26</v>
      </c>
      <c r="S199" s="20" t="s">
        <v>5</v>
      </c>
      <c r="T199" s="20" t="str">
        <f ca="1">IF(OR($U199="",$U199=0),"",SUMPRODUCT(--($S$3:$S$78=$R199),T$3:T$78))</f>
        <v/>
      </c>
      <c r="U199" s="20">
        <f ca="1">IF($R199="","",SUMPRODUCT(--(S$3:S$78=$R199)))</f>
        <v>0</v>
      </c>
      <c r="V199" s="20" t="str">
        <f t="shared" ref="V199:AC199" ca="1" si="111">IF(OR($U199="",$U199=0),"",SUMPRODUCT(--($S$3:$S$78=$R199),V$3:V$78))</f>
        <v/>
      </c>
      <c r="W199" s="163" t="str">
        <f t="shared" ca="1" si="111"/>
        <v/>
      </c>
      <c r="X199" s="163" t="str">
        <f t="shared" ca="1" si="111"/>
        <v/>
      </c>
      <c r="Y199" s="147" t="str">
        <f t="shared" ca="1" si="111"/>
        <v/>
      </c>
      <c r="Z199" s="163" t="str">
        <f t="shared" ca="1" si="111"/>
        <v/>
      </c>
      <c r="AA199" s="163" t="str">
        <f t="shared" ca="1" si="111"/>
        <v/>
      </c>
      <c r="AB199" s="163" t="str">
        <f t="shared" ca="1" si="111"/>
        <v/>
      </c>
      <c r="AC199" s="20" t="str">
        <f t="shared" ca="1" si="111"/>
        <v/>
      </c>
    </row>
    <row r="200" spans="1:29" x14ac:dyDescent="0.25">
      <c r="A200" s="6"/>
      <c r="B200" s="91"/>
      <c r="C200" s="20" t="s">
        <v>21</v>
      </c>
      <c r="D200" s="20" t="str">
        <f ca="1">IF(OR($E200="",$E200=0),"",SUMPRODUCT(--($C$88:$C$163=$B199),D$88:D$163))</f>
        <v/>
      </c>
      <c r="E200" s="20">
        <f ca="1">IF($B199="","",SUMPRODUCT(--(C$88:C$163=$B199)))</f>
        <v>0</v>
      </c>
      <c r="F200" s="20" t="str">
        <f ca="1">IF(OR($E200="",$E200=0),"",SUMIF($C$88:$C$147,$B199,F$88:F$147))</f>
        <v/>
      </c>
      <c r="G200" s="163" t="str">
        <f t="shared" ref="G200:M200" ca="1" si="112">IF(OR($E200="",$E200=0),"",SUMPRODUCT(--($C$88:$C$163=$B199),G$88:G$163))</f>
        <v/>
      </c>
      <c r="H200" s="163" t="str">
        <f t="shared" ca="1" si="112"/>
        <v/>
      </c>
      <c r="I200" s="147" t="str">
        <f t="shared" ca="1" si="112"/>
        <v/>
      </c>
      <c r="J200" s="163" t="str">
        <f t="shared" ca="1" si="112"/>
        <v/>
      </c>
      <c r="K200" s="163" t="str">
        <f t="shared" ca="1" si="112"/>
        <v/>
      </c>
      <c r="L200" s="163" t="str">
        <f t="shared" ca="1" si="112"/>
        <v/>
      </c>
      <c r="M200" s="20" t="str">
        <f t="shared" ca="1" si="112"/>
        <v/>
      </c>
      <c r="Q200" s="6"/>
      <c r="R200" s="6"/>
      <c r="S200" s="20" t="s">
        <v>21</v>
      </c>
      <c r="T200" s="20" t="str">
        <f ca="1">IF(OR($U200="",$U200=0),"",SUMPRODUCT(--($S$88:$S$163=$R199),T$88:T$163))</f>
        <v/>
      </c>
      <c r="U200" s="20">
        <f ca="1">IF($R199="","",SUMPRODUCT(--(S$88:S$163=$R199)))</f>
        <v>0</v>
      </c>
      <c r="V200" s="20" t="str">
        <f t="shared" ref="V200:AC200" ca="1" si="113">IF(OR($U200="",$U200=0),"",SUMPRODUCT(--($S$88:$S$163=$R199),V$88:V$163))</f>
        <v/>
      </c>
      <c r="W200" s="163" t="str">
        <f t="shared" ca="1" si="113"/>
        <v/>
      </c>
      <c r="X200" s="163" t="str">
        <f t="shared" ca="1" si="113"/>
        <v/>
      </c>
      <c r="Y200" s="147" t="str">
        <f t="shared" ca="1" si="113"/>
        <v/>
      </c>
      <c r="Z200" s="163" t="str">
        <f t="shared" ca="1" si="113"/>
        <v/>
      </c>
      <c r="AA200" s="163" t="str">
        <f t="shared" ca="1" si="113"/>
        <v/>
      </c>
      <c r="AB200" s="163" t="str">
        <f t="shared" ca="1" si="113"/>
        <v/>
      </c>
      <c r="AC200" s="20" t="str">
        <f t="shared" ca="1" si="113"/>
        <v/>
      </c>
    </row>
    <row r="201" spans="1:29" x14ac:dyDescent="0.25">
      <c r="A201" s="6"/>
      <c r="B201" s="91"/>
      <c r="C201" s="162" t="s">
        <v>7</v>
      </c>
      <c r="D201" s="162">
        <f ca="1">IF($B199="","",SUM(D199:D200))</f>
        <v>0</v>
      </c>
      <c r="E201" s="162">
        <f ca="1">IF($B199="","",SUM(E199:E200))</f>
        <v>0</v>
      </c>
      <c r="F201" s="162">
        <f ca="1">IF($B199="","",SUM(F199:F200))</f>
        <v>0</v>
      </c>
      <c r="G201" s="151">
        <f t="shared" ref="G201:L201" ca="1" si="114">IF($B199="","",SUM(G199,G200))</f>
        <v>0</v>
      </c>
      <c r="H201" s="151">
        <f t="shared" ca="1" si="114"/>
        <v>0</v>
      </c>
      <c r="I201" s="154">
        <f t="shared" ca="1" si="114"/>
        <v>0</v>
      </c>
      <c r="J201" s="151">
        <f t="shared" ca="1" si="114"/>
        <v>0</v>
      </c>
      <c r="K201" s="151">
        <f t="shared" ca="1" si="114"/>
        <v>0</v>
      </c>
      <c r="L201" s="151">
        <f t="shared" ca="1" si="114"/>
        <v>0</v>
      </c>
      <c r="M201" s="162">
        <f ca="1">IF($B199="","",SUM(M199:M200))</f>
        <v>0</v>
      </c>
      <c r="Q201" s="6"/>
      <c r="R201" s="6"/>
      <c r="S201" s="162" t="s">
        <v>7</v>
      </c>
      <c r="T201" s="162">
        <f ca="1">IF($R199="","",SUM(T199:T200))</f>
        <v>0</v>
      </c>
      <c r="U201" s="162">
        <f t="shared" ref="U201:AC201" ca="1" si="115">IF($R199="","",SUM(U199,U200))</f>
        <v>0</v>
      </c>
      <c r="V201" s="162">
        <f t="shared" ca="1" si="115"/>
        <v>0</v>
      </c>
      <c r="W201" s="151">
        <f t="shared" ca="1" si="115"/>
        <v>0</v>
      </c>
      <c r="X201" s="151">
        <f t="shared" ca="1" si="115"/>
        <v>0</v>
      </c>
      <c r="Y201" s="154">
        <f t="shared" ca="1" si="115"/>
        <v>0</v>
      </c>
      <c r="Z201" s="151">
        <f t="shared" ca="1" si="115"/>
        <v>0</v>
      </c>
      <c r="AA201" s="151">
        <f t="shared" ca="1" si="115"/>
        <v>0</v>
      </c>
      <c r="AB201" s="151">
        <f t="shared" ca="1" si="115"/>
        <v>0</v>
      </c>
      <c r="AC201" s="162">
        <f t="shared" ca="1" si="115"/>
        <v>0</v>
      </c>
    </row>
    <row r="202" spans="1:29" x14ac:dyDescent="0.25">
      <c r="A202" s="6">
        <f>A199+1</f>
        <v>11</v>
      </c>
      <c r="B202" s="91" t="str">
        <f>IF(IGRF!B24="","",IGRF!B24)</f>
        <v>352</v>
      </c>
      <c r="C202" s="20" t="s">
        <v>5</v>
      </c>
      <c r="D202" s="20">
        <f ca="1">IF(OR($E202="",$E202=0),"",SUMPRODUCT(--($C$3:$C$78=$B202),D$3:D$78))</f>
        <v>11</v>
      </c>
      <c r="E202" s="20">
        <f ca="1">IF($B202="","",SUMPRODUCT(--(C$3:C$78=$B202)))</f>
        <v>8</v>
      </c>
      <c r="F202" s="20">
        <f ca="1">IF(OR($E202="",$E202=0),"",SUMIF($C$3:$C$62,$B202,F$3:F$62))</f>
        <v>-18</v>
      </c>
      <c r="G202" s="163">
        <f t="shared" ref="G202:M202" ca="1" si="116">IF(OR($E202="",$E202=0),"",SUMPRODUCT(--($C$3:$C$78=$B202),G$3:G$78))</f>
        <v>0</v>
      </c>
      <c r="H202" s="163">
        <f t="shared" ca="1" si="116"/>
        <v>3</v>
      </c>
      <c r="I202" s="147">
        <f t="shared" ca="1" si="116"/>
        <v>2</v>
      </c>
      <c r="J202" s="163">
        <f t="shared" ca="1" si="116"/>
        <v>3</v>
      </c>
      <c r="K202" s="163">
        <f t="shared" ca="1" si="116"/>
        <v>0</v>
      </c>
      <c r="L202" s="163">
        <f t="shared" ca="1" si="116"/>
        <v>2</v>
      </c>
      <c r="M202" s="20">
        <f t="shared" ca="1" si="116"/>
        <v>8</v>
      </c>
      <c r="Q202" s="6">
        <f>Q199+1</f>
        <v>11</v>
      </c>
      <c r="R202" s="6" t="str">
        <f>IF(IGRF!I24="","",IGRF!I24)</f>
        <v>49</v>
      </c>
      <c r="S202" s="20" t="s">
        <v>5</v>
      </c>
      <c r="T202" s="20">
        <f ca="1">IF(OR($U202="",$U202=0),"",SUMPRODUCT(--($S$3:$S$78=$R202),T$3:T$78))</f>
        <v>0</v>
      </c>
      <c r="U202" s="20">
        <f ca="1">IF($R202="","",SUMPRODUCT(--(S$3:S$78=$R202)))</f>
        <v>5</v>
      </c>
      <c r="V202" s="20">
        <f t="shared" ref="V202:AC202" ca="1" si="117">IF(OR($U202="",$U202=0),"",SUMPRODUCT(--($S$3:$S$78=$R202),V$3:V$78))</f>
        <v>-30</v>
      </c>
      <c r="W202" s="163">
        <f t="shared" ca="1" si="117"/>
        <v>0</v>
      </c>
      <c r="X202" s="163">
        <f t="shared" ca="1" si="117"/>
        <v>0</v>
      </c>
      <c r="Y202" s="147">
        <f t="shared" ca="1" si="117"/>
        <v>0</v>
      </c>
      <c r="Z202" s="163">
        <f t="shared" ca="1" si="117"/>
        <v>0</v>
      </c>
      <c r="AA202" s="163">
        <f t="shared" ca="1" si="117"/>
        <v>0</v>
      </c>
      <c r="AB202" s="163">
        <f t="shared" ca="1" si="117"/>
        <v>4</v>
      </c>
      <c r="AC202" s="20">
        <f t="shared" ca="1" si="117"/>
        <v>1</v>
      </c>
    </row>
    <row r="203" spans="1:29" x14ac:dyDescent="0.25">
      <c r="A203" s="6"/>
      <c r="B203" s="91"/>
      <c r="C203" s="20" t="s">
        <v>21</v>
      </c>
      <c r="D203" s="20">
        <f ca="1">IF(OR($E203="",$E203=0),"",SUMPRODUCT(--($C$88:$C$163=$B202),D$88:D$163))</f>
        <v>37</v>
      </c>
      <c r="E203" s="20">
        <f ca="1">IF($B202="","",SUMPRODUCT(--(C$88:C$163=$B202)))</f>
        <v>5</v>
      </c>
      <c r="F203" s="20">
        <f ca="1">IF(OR($E203="",$E203=0),"",SUMIF($C$88:$C$147,$B202,F$88:F$147))</f>
        <v>14</v>
      </c>
      <c r="G203" s="163">
        <f t="shared" ref="G203:M203" ca="1" si="118">IF(OR($E203="",$E203=0),"",SUMPRODUCT(--($C$88:$C$163=$B202),G$88:G$163))</f>
        <v>2</v>
      </c>
      <c r="H203" s="163">
        <f t="shared" ca="1" si="118"/>
        <v>2</v>
      </c>
      <c r="I203" s="147">
        <f t="shared" ca="1" si="118"/>
        <v>24</v>
      </c>
      <c r="J203" s="163">
        <f t="shared" ca="1" si="118"/>
        <v>0</v>
      </c>
      <c r="K203" s="163">
        <f t="shared" ca="1" si="118"/>
        <v>0</v>
      </c>
      <c r="L203" s="163">
        <f t="shared" ca="1" si="118"/>
        <v>1</v>
      </c>
      <c r="M203" s="20">
        <f t="shared" ca="1" si="118"/>
        <v>12</v>
      </c>
      <c r="Q203" s="6"/>
      <c r="R203" s="6"/>
      <c r="S203" s="20" t="s">
        <v>21</v>
      </c>
      <c r="T203" s="20">
        <f ca="1">IF(OR($U203="",$U203=0),"",SUMPRODUCT(--($S$88:$S$163=$R202),T$88:T$163))</f>
        <v>8</v>
      </c>
      <c r="U203" s="20">
        <f ca="1">IF($R202="","",SUMPRODUCT(--(S$88:S$163=$R202)))</f>
        <v>4</v>
      </c>
      <c r="V203" s="20">
        <f t="shared" ref="V203:AC203" ca="1" si="119">IF(OR($U203="",$U203=0),"",SUMPRODUCT(--($S$88:$S$163=$R202),V$88:V$163))</f>
        <v>-26</v>
      </c>
      <c r="W203" s="163">
        <f t="shared" ca="1" si="119"/>
        <v>0</v>
      </c>
      <c r="X203" s="163">
        <f t="shared" ca="1" si="119"/>
        <v>1</v>
      </c>
      <c r="Y203" s="147">
        <f t="shared" ca="1" si="119"/>
        <v>4</v>
      </c>
      <c r="Z203" s="163">
        <f t="shared" ca="1" si="119"/>
        <v>1</v>
      </c>
      <c r="AA203" s="163">
        <f t="shared" ca="1" si="119"/>
        <v>0</v>
      </c>
      <c r="AB203" s="163">
        <f t="shared" ca="1" si="119"/>
        <v>2</v>
      </c>
      <c r="AC203" s="20">
        <f t="shared" ca="1" si="119"/>
        <v>3</v>
      </c>
    </row>
    <row r="204" spans="1:29" x14ac:dyDescent="0.25">
      <c r="A204" s="6"/>
      <c r="B204" s="91"/>
      <c r="C204" s="162" t="s">
        <v>7</v>
      </c>
      <c r="D204" s="162">
        <f ca="1">IF($B202="","",SUM(D202:D203))</f>
        <v>48</v>
      </c>
      <c r="E204" s="162">
        <f ca="1">IF($B202="","",SUM(E202:E203))</f>
        <v>13</v>
      </c>
      <c r="F204" s="162">
        <f ca="1">IF($B202="","",SUM(F202:F203))</f>
        <v>-4</v>
      </c>
      <c r="G204" s="151">
        <f t="shared" ref="G204:L204" ca="1" si="120">IF($B202="","",SUM(G202,G203))</f>
        <v>2</v>
      </c>
      <c r="H204" s="151">
        <f t="shared" ca="1" si="120"/>
        <v>5</v>
      </c>
      <c r="I204" s="154">
        <f t="shared" ca="1" si="120"/>
        <v>26</v>
      </c>
      <c r="J204" s="151">
        <f t="shared" ca="1" si="120"/>
        <v>3</v>
      </c>
      <c r="K204" s="151">
        <f t="shared" ca="1" si="120"/>
        <v>0</v>
      </c>
      <c r="L204" s="151">
        <f t="shared" ca="1" si="120"/>
        <v>3</v>
      </c>
      <c r="M204" s="162">
        <f ca="1">IF($B202="","",SUM(M202:M203))</f>
        <v>20</v>
      </c>
      <c r="Q204" s="6"/>
      <c r="R204" s="6"/>
      <c r="S204" s="162" t="s">
        <v>7</v>
      </c>
      <c r="T204" s="162">
        <f ca="1">IF($R202="","",SUM(T202:T203))</f>
        <v>8</v>
      </c>
      <c r="U204" s="162">
        <f t="shared" ref="U204:AC204" ca="1" si="121">IF($R202="","",SUM(U202,U203))</f>
        <v>9</v>
      </c>
      <c r="V204" s="162">
        <f t="shared" ca="1" si="121"/>
        <v>-56</v>
      </c>
      <c r="W204" s="151">
        <f t="shared" ca="1" si="121"/>
        <v>0</v>
      </c>
      <c r="X204" s="151">
        <f t="shared" ca="1" si="121"/>
        <v>1</v>
      </c>
      <c r="Y204" s="154">
        <f t="shared" ca="1" si="121"/>
        <v>4</v>
      </c>
      <c r="Z204" s="151">
        <f t="shared" ca="1" si="121"/>
        <v>1</v>
      </c>
      <c r="AA204" s="151">
        <f t="shared" ca="1" si="121"/>
        <v>0</v>
      </c>
      <c r="AB204" s="151">
        <f t="shared" ca="1" si="121"/>
        <v>6</v>
      </c>
      <c r="AC204" s="162">
        <f t="shared" ca="1" si="121"/>
        <v>4</v>
      </c>
    </row>
    <row r="205" spans="1:29" x14ac:dyDescent="0.25">
      <c r="A205" s="6">
        <f>A202+1</f>
        <v>12</v>
      </c>
      <c r="B205" s="91" t="str">
        <f>IF(IGRF!B25="","",IGRF!B25)</f>
        <v>36</v>
      </c>
      <c r="C205" s="20" t="s">
        <v>5</v>
      </c>
      <c r="D205" s="20" t="str">
        <f ca="1">IF(OR($E205="",$E205=0),"",SUMPRODUCT(--($C$3:$C$78=$B205),D$3:D$78))</f>
        <v/>
      </c>
      <c r="E205" s="20">
        <f ca="1">IF($B205="","",SUMPRODUCT(--(C$3:C$78=$B205)))</f>
        <v>0</v>
      </c>
      <c r="F205" s="20" t="str">
        <f ca="1">IF(OR($E205="",$E205=0),"",SUMIF($C$3:$C$62,$B205,F$3:F$62))</f>
        <v/>
      </c>
      <c r="G205" s="163" t="str">
        <f t="shared" ref="G205:M205" ca="1" si="122">IF(OR($E205="",$E205=0),"",SUMPRODUCT(--($C$3:$C$78=$B205),G$3:G$78))</f>
        <v/>
      </c>
      <c r="H205" s="163" t="str">
        <f t="shared" ca="1" si="122"/>
        <v/>
      </c>
      <c r="I205" s="147" t="str">
        <f t="shared" ca="1" si="122"/>
        <v/>
      </c>
      <c r="J205" s="163" t="str">
        <f t="shared" ca="1" si="122"/>
        <v/>
      </c>
      <c r="K205" s="163" t="str">
        <f t="shared" ca="1" si="122"/>
        <v/>
      </c>
      <c r="L205" s="163" t="str">
        <f t="shared" ca="1" si="122"/>
        <v/>
      </c>
      <c r="M205" s="20" t="str">
        <f t="shared" ca="1" si="122"/>
        <v/>
      </c>
      <c r="Q205" s="6">
        <f>Q202+1</f>
        <v>12</v>
      </c>
      <c r="R205" s="6" t="str">
        <f>IF(IGRF!I25="","",IGRF!I25)</f>
        <v>78</v>
      </c>
      <c r="S205" s="20" t="s">
        <v>5</v>
      </c>
      <c r="T205" s="20" t="str">
        <f ca="1">IF(OR($U205="",$U205=0),"",SUMPRODUCT(--($S$3:$S$78=$R205),T$3:T$78))</f>
        <v/>
      </c>
      <c r="U205" s="20">
        <f ca="1">IF($R205="","",SUMPRODUCT(--(S$3:S$78=$R205)))</f>
        <v>0</v>
      </c>
      <c r="V205" s="20" t="str">
        <f t="shared" ref="V205:AC205" ca="1" si="123">IF(OR($U205="",$U205=0),"",SUMPRODUCT(--($S$3:$S$78=$R205),V$3:V$78))</f>
        <v/>
      </c>
      <c r="W205" s="163" t="str">
        <f t="shared" ca="1" si="123"/>
        <v/>
      </c>
      <c r="X205" s="163" t="str">
        <f t="shared" ca="1" si="123"/>
        <v/>
      </c>
      <c r="Y205" s="147" t="str">
        <f t="shared" ca="1" si="123"/>
        <v/>
      </c>
      <c r="Z205" s="163" t="str">
        <f t="shared" ca="1" si="123"/>
        <v/>
      </c>
      <c r="AA205" s="163" t="str">
        <f t="shared" ca="1" si="123"/>
        <v/>
      </c>
      <c r="AB205" s="163" t="str">
        <f t="shared" ca="1" si="123"/>
        <v/>
      </c>
      <c r="AC205" s="20" t="str">
        <f t="shared" ca="1" si="123"/>
        <v/>
      </c>
    </row>
    <row r="206" spans="1:29" x14ac:dyDescent="0.25">
      <c r="A206" s="6"/>
      <c r="B206" s="91"/>
      <c r="C206" s="20" t="s">
        <v>21</v>
      </c>
      <c r="D206" s="20" t="str">
        <f ca="1">IF(OR($E206="",$E206=0),"",SUMPRODUCT(--($C$88:$C$163=$B205),D$88:D$163))</f>
        <v/>
      </c>
      <c r="E206" s="20">
        <f ca="1">IF($B205="","",SUMPRODUCT(--(C$88:C$163=$B205)))</f>
        <v>0</v>
      </c>
      <c r="F206" s="20" t="str">
        <f ca="1">IF(OR($E206="",$E206=0),"",SUMIF($C$88:$C$147,$B205,F$88:F$147))</f>
        <v/>
      </c>
      <c r="G206" s="163" t="str">
        <f t="shared" ref="G206:M206" ca="1" si="124">IF(OR($E206="",$E206=0),"",SUMPRODUCT(--($C$88:$C$163=$B205),G$88:G$163))</f>
        <v/>
      </c>
      <c r="H206" s="163" t="str">
        <f t="shared" ca="1" si="124"/>
        <v/>
      </c>
      <c r="I206" s="147" t="str">
        <f t="shared" ca="1" si="124"/>
        <v/>
      </c>
      <c r="J206" s="163" t="str">
        <f t="shared" ca="1" si="124"/>
        <v/>
      </c>
      <c r="K206" s="163" t="str">
        <f t="shared" ca="1" si="124"/>
        <v/>
      </c>
      <c r="L206" s="163" t="str">
        <f t="shared" ca="1" si="124"/>
        <v/>
      </c>
      <c r="M206" s="20" t="str">
        <f t="shared" ca="1" si="124"/>
        <v/>
      </c>
      <c r="Q206" s="6"/>
      <c r="R206" s="6"/>
      <c r="S206" s="20" t="s">
        <v>21</v>
      </c>
      <c r="T206" s="20" t="str">
        <f ca="1">IF(OR($U206="",$U206=0),"",SUMPRODUCT(--($S$88:$S$163=$R205),T$88:T$163))</f>
        <v/>
      </c>
      <c r="U206" s="20">
        <f ca="1">IF($R205="","",SUMPRODUCT(--(S$88:S$163=$R205)))</f>
        <v>0</v>
      </c>
      <c r="V206" s="20" t="str">
        <f t="shared" ref="V206:AC206" ca="1" si="125">IF(OR($U206="",$U206=0),"",SUMPRODUCT(--($S$88:$S$163=$R205),V$88:V$163))</f>
        <v/>
      </c>
      <c r="W206" s="163" t="str">
        <f t="shared" ca="1" si="125"/>
        <v/>
      </c>
      <c r="X206" s="163" t="str">
        <f t="shared" ca="1" si="125"/>
        <v/>
      </c>
      <c r="Y206" s="147" t="str">
        <f t="shared" ca="1" si="125"/>
        <v/>
      </c>
      <c r="Z206" s="163" t="str">
        <f t="shared" ca="1" si="125"/>
        <v/>
      </c>
      <c r="AA206" s="163" t="str">
        <f t="shared" ca="1" si="125"/>
        <v/>
      </c>
      <c r="AB206" s="163" t="str">
        <f t="shared" ca="1" si="125"/>
        <v/>
      </c>
      <c r="AC206" s="20" t="str">
        <f t="shared" ca="1" si="125"/>
        <v/>
      </c>
    </row>
    <row r="207" spans="1:29" x14ac:dyDescent="0.25">
      <c r="A207" s="6"/>
      <c r="B207" s="91"/>
      <c r="C207" s="162" t="s">
        <v>7</v>
      </c>
      <c r="D207" s="162">
        <f ca="1">IF($B205="","",SUM(D205:D206))</f>
        <v>0</v>
      </c>
      <c r="E207" s="162">
        <f ca="1">IF($B205="","",SUM(E205:E206))</f>
        <v>0</v>
      </c>
      <c r="F207" s="162">
        <f ca="1">IF($B205="","",SUM(F205:F206))</f>
        <v>0</v>
      </c>
      <c r="G207" s="151">
        <f t="shared" ref="G207:L207" ca="1" si="126">IF($B205="","",SUM(G205,G206))</f>
        <v>0</v>
      </c>
      <c r="H207" s="151">
        <f t="shared" ca="1" si="126"/>
        <v>0</v>
      </c>
      <c r="I207" s="154">
        <f t="shared" ca="1" si="126"/>
        <v>0</v>
      </c>
      <c r="J207" s="151">
        <f t="shared" ca="1" si="126"/>
        <v>0</v>
      </c>
      <c r="K207" s="151">
        <f t="shared" ca="1" si="126"/>
        <v>0</v>
      </c>
      <c r="L207" s="151">
        <f t="shared" ca="1" si="126"/>
        <v>0</v>
      </c>
      <c r="M207" s="162">
        <f ca="1">IF($B205="","",SUM(M205:M206))</f>
        <v>0</v>
      </c>
      <c r="Q207" s="6"/>
      <c r="R207" s="6"/>
      <c r="S207" s="162" t="s">
        <v>7</v>
      </c>
      <c r="T207" s="162">
        <f ca="1">IF($R205="","",SUM(T205:T206))</f>
        <v>0</v>
      </c>
      <c r="U207" s="162">
        <f t="shared" ref="U207:AC207" ca="1" si="127">IF($R205="","",SUM(U205,U206))</f>
        <v>0</v>
      </c>
      <c r="V207" s="162">
        <f t="shared" ca="1" si="127"/>
        <v>0</v>
      </c>
      <c r="W207" s="151">
        <f t="shared" ca="1" si="127"/>
        <v>0</v>
      </c>
      <c r="X207" s="151">
        <f t="shared" ca="1" si="127"/>
        <v>0</v>
      </c>
      <c r="Y207" s="154">
        <f t="shared" ca="1" si="127"/>
        <v>0</v>
      </c>
      <c r="Z207" s="151">
        <f t="shared" ca="1" si="127"/>
        <v>0</v>
      </c>
      <c r="AA207" s="151">
        <f t="shared" ca="1" si="127"/>
        <v>0</v>
      </c>
      <c r="AB207" s="151">
        <f t="shared" ca="1" si="127"/>
        <v>0</v>
      </c>
      <c r="AC207" s="162">
        <f t="shared" ca="1" si="127"/>
        <v>0</v>
      </c>
    </row>
    <row r="208" spans="1:29" x14ac:dyDescent="0.25">
      <c r="A208" s="6">
        <f>A205+1</f>
        <v>13</v>
      </c>
      <c r="B208" s="91" t="str">
        <f>IF(IGRF!B26="","",IGRF!B26)</f>
        <v>64</v>
      </c>
      <c r="C208" s="20" t="s">
        <v>5</v>
      </c>
      <c r="D208" s="20">
        <f ca="1">IF(OR($E208="",$E208=0),"",SUMPRODUCT(--($C$3:$C$78=$B208),D$3:D$78))</f>
        <v>4</v>
      </c>
      <c r="E208" s="20">
        <f ca="1">IF($B208="","",SUMPRODUCT(--(C$3:C$78=$B208)))</f>
        <v>1</v>
      </c>
      <c r="F208" s="20">
        <f ca="1">IF(OR($E208="",$E208=0),"",SUMIF($C$3:$C$62,$B208,F$3:F$62))</f>
        <v>4</v>
      </c>
      <c r="G208" s="163">
        <f t="shared" ref="G208:M208" ca="1" si="128">IF(OR($E208="",$E208=0),"",SUMPRODUCT(--($C$3:$C$78=$B208),G$3:G$78))</f>
        <v>0</v>
      </c>
      <c r="H208" s="163">
        <f t="shared" ca="1" si="128"/>
        <v>1</v>
      </c>
      <c r="I208" s="147">
        <f t="shared" ca="1" si="128"/>
        <v>4</v>
      </c>
      <c r="J208" s="163">
        <f t="shared" ca="1" si="128"/>
        <v>1</v>
      </c>
      <c r="K208" s="163">
        <f t="shared" ca="1" si="128"/>
        <v>0</v>
      </c>
      <c r="L208" s="163">
        <f t="shared" ca="1" si="128"/>
        <v>0</v>
      </c>
      <c r="M208" s="20">
        <f t="shared" ca="1" si="128"/>
        <v>1</v>
      </c>
      <c r="Q208" s="6">
        <f>Q205+1</f>
        <v>13</v>
      </c>
      <c r="R208" s="6" t="str">
        <f>IF(IGRF!I26="","",IGRF!I26)</f>
        <v>8*</v>
      </c>
      <c r="S208" s="20" t="s">
        <v>5</v>
      </c>
      <c r="T208" s="20" t="str">
        <f ca="1">IF(OR($U208="",$U208=0),"",SUMPRODUCT(--($S$3:$S$78=$R208),T$3:T$78))</f>
        <v/>
      </c>
      <c r="U208" s="20">
        <f ca="1">IF($R208="","",SUMPRODUCT(--(S$3:S$78=$R208)))</f>
        <v>0</v>
      </c>
      <c r="V208" s="20" t="str">
        <f t="shared" ref="V208:AC208" ca="1" si="129">IF(OR($U208="",$U208=0),"",SUMPRODUCT(--($S$3:$S$78=$R208),V$3:V$78))</f>
        <v/>
      </c>
      <c r="W208" s="163" t="str">
        <f t="shared" ca="1" si="129"/>
        <v/>
      </c>
      <c r="X208" s="163" t="str">
        <f t="shared" ca="1" si="129"/>
        <v/>
      </c>
      <c r="Y208" s="147" t="str">
        <f t="shared" ca="1" si="129"/>
        <v/>
      </c>
      <c r="Z208" s="163" t="str">
        <f t="shared" ca="1" si="129"/>
        <v/>
      </c>
      <c r="AA208" s="163" t="str">
        <f t="shared" ca="1" si="129"/>
        <v/>
      </c>
      <c r="AB208" s="163" t="str">
        <f t="shared" ca="1" si="129"/>
        <v/>
      </c>
      <c r="AC208" s="20" t="str">
        <f t="shared" ca="1" si="129"/>
        <v/>
      </c>
    </row>
    <row r="209" spans="1:29" x14ac:dyDescent="0.25">
      <c r="A209" s="6"/>
      <c r="B209" s="91"/>
      <c r="C209" s="20" t="s">
        <v>21</v>
      </c>
      <c r="D209" s="20">
        <f ca="1">IF(OR($E209="",$E209=0),"",SUMPRODUCT(--($C$88:$C$163=$B208),D$88:D$163))</f>
        <v>4</v>
      </c>
      <c r="E209" s="20">
        <f ca="1">IF($B208="","",SUMPRODUCT(--(C$88:C$163=$B208)))</f>
        <v>1</v>
      </c>
      <c r="F209" s="20">
        <f ca="1">IF(OR($E209="",$E209=0),"",SUMIF($C$88:$C$147,$B208,F$88:F$147))</f>
        <v>4</v>
      </c>
      <c r="G209" s="163">
        <f t="shared" ref="G209:M209" ca="1" si="130">IF(OR($E209="",$E209=0),"",SUMPRODUCT(--($C$88:$C$163=$B208),G$88:G$163))</f>
        <v>0</v>
      </c>
      <c r="H209" s="163">
        <f t="shared" ca="1" si="130"/>
        <v>1</v>
      </c>
      <c r="I209" s="147">
        <f t="shared" ca="1" si="130"/>
        <v>4</v>
      </c>
      <c r="J209" s="163">
        <f t="shared" ca="1" si="130"/>
        <v>1</v>
      </c>
      <c r="K209" s="163">
        <f t="shared" ca="1" si="130"/>
        <v>0</v>
      </c>
      <c r="L209" s="163">
        <f t="shared" ca="1" si="130"/>
        <v>0</v>
      </c>
      <c r="M209" s="20">
        <f t="shared" ca="1" si="130"/>
        <v>1</v>
      </c>
      <c r="Q209" s="6"/>
      <c r="R209" s="6"/>
      <c r="S209" s="20" t="s">
        <v>21</v>
      </c>
      <c r="T209" s="20" t="str">
        <f ca="1">IF(OR($U209="",$U209=0),"",SUMPRODUCT(--($S$88:$S$163=$R208),T$88:T$163))</f>
        <v/>
      </c>
      <c r="U209" s="20">
        <f ca="1">IF($R208="","",SUMPRODUCT(--(S$88:S$163=$R208)))</f>
        <v>0</v>
      </c>
      <c r="V209" s="20" t="str">
        <f t="shared" ref="V209:AC209" ca="1" si="131">IF(OR($U209="",$U209=0),"",SUMPRODUCT(--($S$88:$S$163=$R208),V$88:V$163))</f>
        <v/>
      </c>
      <c r="W209" s="163" t="str">
        <f t="shared" ca="1" si="131"/>
        <v/>
      </c>
      <c r="X209" s="163" t="str">
        <f t="shared" ca="1" si="131"/>
        <v/>
      </c>
      <c r="Y209" s="147" t="str">
        <f t="shared" ca="1" si="131"/>
        <v/>
      </c>
      <c r="Z209" s="163" t="str">
        <f t="shared" ca="1" si="131"/>
        <v/>
      </c>
      <c r="AA209" s="163" t="str">
        <f t="shared" ca="1" si="131"/>
        <v/>
      </c>
      <c r="AB209" s="163" t="str">
        <f t="shared" ca="1" si="131"/>
        <v/>
      </c>
      <c r="AC209" s="20" t="str">
        <f t="shared" ca="1" si="131"/>
        <v/>
      </c>
    </row>
    <row r="210" spans="1:29" x14ac:dyDescent="0.25">
      <c r="A210" s="6"/>
      <c r="B210" s="91"/>
      <c r="C210" s="162" t="s">
        <v>7</v>
      </c>
      <c r="D210" s="162">
        <f ca="1">IF($B208="","",SUM(D208:D209))</f>
        <v>8</v>
      </c>
      <c r="E210" s="162">
        <f ca="1">IF($B208="","",SUM(E208:E209))</f>
        <v>2</v>
      </c>
      <c r="F210" s="162">
        <f ca="1">IF($B208="","",SUM(F208:F209))</f>
        <v>8</v>
      </c>
      <c r="G210" s="151">
        <f t="shared" ref="G210:L210" ca="1" si="132">IF($B208="","",SUM(G208,G209))</f>
        <v>0</v>
      </c>
      <c r="H210" s="151">
        <f t="shared" ca="1" si="132"/>
        <v>2</v>
      </c>
      <c r="I210" s="154">
        <f t="shared" ca="1" si="132"/>
        <v>8</v>
      </c>
      <c r="J210" s="151">
        <f t="shared" ca="1" si="132"/>
        <v>2</v>
      </c>
      <c r="K210" s="151">
        <f t="shared" ca="1" si="132"/>
        <v>0</v>
      </c>
      <c r="L210" s="151">
        <f t="shared" ca="1" si="132"/>
        <v>0</v>
      </c>
      <c r="M210" s="162">
        <f ca="1">IF($B208="","",SUM(M208:M209))</f>
        <v>2</v>
      </c>
      <c r="Q210" s="6"/>
      <c r="R210" s="6"/>
      <c r="S210" s="162" t="s">
        <v>7</v>
      </c>
      <c r="T210" s="162">
        <f ca="1">IF($R208="","",SUM(T208:T209))</f>
        <v>0</v>
      </c>
      <c r="U210" s="162">
        <f t="shared" ref="U210:AC210" ca="1" si="133">IF($R208="","",SUM(U208,U209))</f>
        <v>0</v>
      </c>
      <c r="V210" s="162">
        <f t="shared" ca="1" si="133"/>
        <v>0</v>
      </c>
      <c r="W210" s="151">
        <f t="shared" ca="1" si="133"/>
        <v>0</v>
      </c>
      <c r="X210" s="151">
        <f t="shared" ca="1" si="133"/>
        <v>0</v>
      </c>
      <c r="Y210" s="154">
        <f t="shared" ca="1" si="133"/>
        <v>0</v>
      </c>
      <c r="Z210" s="151">
        <f t="shared" ca="1" si="133"/>
        <v>0</v>
      </c>
      <c r="AA210" s="151">
        <f t="shared" ca="1" si="133"/>
        <v>0</v>
      </c>
      <c r="AB210" s="151">
        <f t="shared" ca="1" si="133"/>
        <v>0</v>
      </c>
      <c r="AC210" s="162">
        <f t="shared" ca="1" si="133"/>
        <v>0</v>
      </c>
    </row>
    <row r="211" spans="1:29" x14ac:dyDescent="0.25">
      <c r="A211" s="6">
        <f>A208+1</f>
        <v>14</v>
      </c>
      <c r="B211" s="91" t="str">
        <f>IF(IGRF!B27="","",IGRF!B27)</f>
        <v>825</v>
      </c>
      <c r="C211" s="20" t="s">
        <v>5</v>
      </c>
      <c r="D211" s="20" t="str">
        <f ca="1">IF(OR($E211="",$E211=0),"",SUMPRODUCT(--($C$3:$C$78=$B211),D$3:D$78))</f>
        <v/>
      </c>
      <c r="E211" s="20">
        <f ca="1">IF($B211="","",SUMPRODUCT(--(C$3:C$78=$B211)))</f>
        <v>0</v>
      </c>
      <c r="F211" s="20" t="str">
        <f ca="1">IF(OR($E211="",$E211=0),"",SUMIF($C$3:$C$62,$B211,F$3:F$62))</f>
        <v/>
      </c>
      <c r="G211" s="163" t="str">
        <f t="shared" ref="G211:M211" ca="1" si="134">IF(OR($E211="",$E211=0),"",SUMPRODUCT(--($C$3:$C$78=$B211),G$3:G$78))</f>
        <v/>
      </c>
      <c r="H211" s="163" t="str">
        <f t="shared" ca="1" si="134"/>
        <v/>
      </c>
      <c r="I211" s="147" t="str">
        <f t="shared" ca="1" si="134"/>
        <v/>
      </c>
      <c r="J211" s="163" t="str">
        <f t="shared" ca="1" si="134"/>
        <v/>
      </c>
      <c r="K211" s="163" t="str">
        <f t="shared" ca="1" si="134"/>
        <v/>
      </c>
      <c r="L211" s="163" t="str">
        <f t="shared" ca="1" si="134"/>
        <v/>
      </c>
      <c r="M211" s="20" t="str">
        <f t="shared" ca="1" si="134"/>
        <v/>
      </c>
      <c r="Q211" s="6">
        <f>Q208+1</f>
        <v>14</v>
      </c>
      <c r="R211" s="6" t="str">
        <f>IF(IGRF!I27="","",IGRF!I27)</f>
        <v>800</v>
      </c>
      <c r="S211" s="20" t="s">
        <v>5</v>
      </c>
      <c r="T211" s="20">
        <f ca="1">IF(OR($U211="",$U211=0),"",SUMPRODUCT(--($S$3:$S$78=$R211),T$3:T$78))</f>
        <v>0</v>
      </c>
      <c r="U211" s="20">
        <f ca="1">IF($R211="","",SUMPRODUCT(--(S$3:S$78=$R211)))</f>
        <v>1</v>
      </c>
      <c r="V211" s="20">
        <f t="shared" ref="V211:AC211" ca="1" si="135">IF(OR($U211="",$U211=0),"",SUMPRODUCT(--($S$3:$S$78=$R211),V$3:V$78))</f>
        <v>0</v>
      </c>
      <c r="W211" s="163">
        <f t="shared" ca="1" si="135"/>
        <v>0</v>
      </c>
      <c r="X211" s="163">
        <f t="shared" ca="1" si="135"/>
        <v>0</v>
      </c>
      <c r="Y211" s="147">
        <f t="shared" ca="1" si="135"/>
        <v>0</v>
      </c>
      <c r="Z211" s="163">
        <f t="shared" ca="1" si="135"/>
        <v>0</v>
      </c>
      <c r="AA211" s="163">
        <f t="shared" ca="1" si="135"/>
        <v>0</v>
      </c>
      <c r="AB211" s="163">
        <f t="shared" ca="1" si="135"/>
        <v>1</v>
      </c>
      <c r="AC211" s="20">
        <f t="shared" ca="1" si="135"/>
        <v>0</v>
      </c>
    </row>
    <row r="212" spans="1:29" x14ac:dyDescent="0.25">
      <c r="A212" s="6"/>
      <c r="B212" s="91"/>
      <c r="C212" s="20" t="s">
        <v>21</v>
      </c>
      <c r="D212" s="20" t="str">
        <f ca="1">IF(OR($E212="",$E212=0),"",SUMPRODUCT(--($C$88:$C$163=$B211),D$88:D$163))</f>
        <v/>
      </c>
      <c r="E212" s="20">
        <f ca="1">IF($B211="","",SUMPRODUCT(--(C$88:C$163=$B211)))</f>
        <v>0</v>
      </c>
      <c r="F212" s="20" t="str">
        <f ca="1">IF(OR($E212="",$E212=0),"",SUMIF($C$88:$C$147,$B211,F$88:F$147))</f>
        <v/>
      </c>
      <c r="G212" s="163" t="str">
        <f t="shared" ref="G212:M212" ca="1" si="136">IF(OR($E212="",$E212=0),"",SUMPRODUCT(--($C$88:$C$163=$B211),G$88:G$163))</f>
        <v/>
      </c>
      <c r="H212" s="163" t="str">
        <f t="shared" ca="1" si="136"/>
        <v/>
      </c>
      <c r="I212" s="147" t="str">
        <f t="shared" ca="1" si="136"/>
        <v/>
      </c>
      <c r="J212" s="163" t="str">
        <f t="shared" ca="1" si="136"/>
        <v/>
      </c>
      <c r="K212" s="163" t="str">
        <f t="shared" ca="1" si="136"/>
        <v/>
      </c>
      <c r="L212" s="163" t="str">
        <f t="shared" ca="1" si="136"/>
        <v/>
      </c>
      <c r="M212" s="20" t="str">
        <f t="shared" ca="1" si="136"/>
        <v/>
      </c>
      <c r="Q212" s="6"/>
      <c r="R212" s="6"/>
      <c r="S212" s="20" t="s">
        <v>21</v>
      </c>
      <c r="T212" s="20">
        <f ca="1">IF(OR($U212="",$U212=0),"",SUMPRODUCT(--($S$88:$S$163=$R211),T$88:T$163))</f>
        <v>4</v>
      </c>
      <c r="U212" s="20">
        <f ca="1">IF($R211="","",SUMPRODUCT(--(S$88:S$163=$R211)))</f>
        <v>1</v>
      </c>
      <c r="V212" s="20">
        <f t="shared" ref="V212:AC212" ca="1" si="137">IF(OR($U212="",$U212=0),"",SUMPRODUCT(--($S$88:$S$163=$R211),V$88:V$163))</f>
        <v>0</v>
      </c>
      <c r="W212" s="163">
        <f t="shared" ca="1" si="137"/>
        <v>0</v>
      </c>
      <c r="X212" s="163">
        <f t="shared" ca="1" si="137"/>
        <v>0</v>
      </c>
      <c r="Y212" s="147">
        <f t="shared" ca="1" si="137"/>
        <v>0</v>
      </c>
      <c r="Z212" s="163">
        <f t="shared" ca="1" si="137"/>
        <v>0</v>
      </c>
      <c r="AA212" s="163">
        <f t="shared" ca="1" si="137"/>
        <v>0</v>
      </c>
      <c r="AB212" s="163">
        <f t="shared" ca="1" si="137"/>
        <v>0</v>
      </c>
      <c r="AC212" s="20">
        <f t="shared" ca="1" si="137"/>
        <v>2</v>
      </c>
    </row>
    <row r="213" spans="1:29" x14ac:dyDescent="0.25">
      <c r="A213" s="6"/>
      <c r="B213" s="91"/>
      <c r="C213" s="162" t="s">
        <v>7</v>
      </c>
      <c r="D213" s="162">
        <f ca="1">IF($B211="","",SUM(D211:D212))</f>
        <v>0</v>
      </c>
      <c r="E213" s="162">
        <f ca="1">IF($B211="","",SUM(E211:E212))</f>
        <v>0</v>
      </c>
      <c r="F213" s="162">
        <f ca="1">IF($B211="","",SUM(F211:F212))</f>
        <v>0</v>
      </c>
      <c r="G213" s="151">
        <f t="shared" ref="G213:L213" ca="1" si="138">IF($B211="","",SUM(G211,G212))</f>
        <v>0</v>
      </c>
      <c r="H213" s="151">
        <f t="shared" ca="1" si="138"/>
        <v>0</v>
      </c>
      <c r="I213" s="154">
        <f t="shared" ca="1" si="138"/>
        <v>0</v>
      </c>
      <c r="J213" s="151">
        <f t="shared" ca="1" si="138"/>
        <v>0</v>
      </c>
      <c r="K213" s="151">
        <f t="shared" ca="1" si="138"/>
        <v>0</v>
      </c>
      <c r="L213" s="151">
        <f t="shared" ca="1" si="138"/>
        <v>0</v>
      </c>
      <c r="M213" s="162">
        <f ca="1">IF($B211="","",SUM(M211:M212))</f>
        <v>0</v>
      </c>
      <c r="Q213" s="6"/>
      <c r="R213" s="6"/>
      <c r="S213" s="162" t="s">
        <v>7</v>
      </c>
      <c r="T213" s="162">
        <f ca="1">IF($R211="","",SUM(T211:T212))</f>
        <v>4</v>
      </c>
      <c r="U213" s="162">
        <f t="shared" ref="U213:AC213" ca="1" si="139">IF($R211="","",SUM(U211,U212))</f>
        <v>2</v>
      </c>
      <c r="V213" s="162">
        <f t="shared" ca="1" si="139"/>
        <v>0</v>
      </c>
      <c r="W213" s="151">
        <f t="shared" ca="1" si="139"/>
        <v>0</v>
      </c>
      <c r="X213" s="151">
        <f t="shared" ca="1" si="139"/>
        <v>0</v>
      </c>
      <c r="Y213" s="154">
        <f t="shared" ca="1" si="139"/>
        <v>0</v>
      </c>
      <c r="Z213" s="151">
        <f t="shared" ca="1" si="139"/>
        <v>0</v>
      </c>
      <c r="AA213" s="151">
        <f t="shared" ca="1" si="139"/>
        <v>0</v>
      </c>
      <c r="AB213" s="151">
        <f t="shared" ca="1" si="139"/>
        <v>1</v>
      </c>
      <c r="AC213" s="162">
        <f t="shared" ca="1" si="139"/>
        <v>2</v>
      </c>
    </row>
    <row r="214" spans="1:29" x14ac:dyDescent="0.25">
      <c r="A214" s="6">
        <f>A211+1</f>
        <v>15</v>
      </c>
      <c r="B214" s="91" t="str">
        <f>IF(IGRF!B28="","",IGRF!B28)</f>
        <v>83</v>
      </c>
      <c r="C214" s="20" t="s">
        <v>5</v>
      </c>
      <c r="D214" s="20" t="str">
        <f ca="1">IF(OR($E214="",$E214=0),"",SUMPRODUCT(--($C$3:$C$78=$B214),D$3:D$78))</f>
        <v/>
      </c>
      <c r="E214" s="20">
        <f ca="1">IF($B214="","",SUMPRODUCT(--(C$3:C$78=$B214)))</f>
        <v>0</v>
      </c>
      <c r="F214" s="20" t="str">
        <f ca="1">IF(OR($E214="",$E214=0),"",SUMIF($C$3:$C$62,$B214,F$3:F$62))</f>
        <v/>
      </c>
      <c r="G214" s="163" t="str">
        <f t="shared" ref="G214:M214" ca="1" si="140">IF(OR($E214="",$E214=0),"",SUMPRODUCT(--($C$3:$C$78=$B214),G$3:G$78))</f>
        <v/>
      </c>
      <c r="H214" s="163" t="str">
        <f t="shared" ca="1" si="140"/>
        <v/>
      </c>
      <c r="I214" s="147" t="str">
        <f t="shared" ca="1" si="140"/>
        <v/>
      </c>
      <c r="J214" s="163" t="str">
        <f t="shared" ca="1" si="140"/>
        <v/>
      </c>
      <c r="K214" s="163" t="str">
        <f t="shared" ca="1" si="140"/>
        <v/>
      </c>
      <c r="L214" s="163" t="str">
        <f t="shared" ca="1" si="140"/>
        <v/>
      </c>
      <c r="M214" s="20" t="str">
        <f t="shared" ca="1" si="140"/>
        <v/>
      </c>
      <c r="Q214" s="6">
        <f>Q211+1</f>
        <v>15</v>
      </c>
      <c r="R214" s="6" t="str">
        <f>IF(IGRF!I28="","",IGRF!I28)</f>
        <v>88*</v>
      </c>
      <c r="S214" s="20" t="s">
        <v>5</v>
      </c>
      <c r="T214" s="20" t="str">
        <f ca="1">IF(OR($U214="",$U214=0),"",SUMPRODUCT(--($S$3:$S$78=$R214),T$3:T$78))</f>
        <v/>
      </c>
      <c r="U214" s="20">
        <f ca="1">IF($R214="","",SUMPRODUCT(--(S$3:S$78=$R214)))</f>
        <v>0</v>
      </c>
      <c r="V214" s="20" t="str">
        <f t="shared" ref="V214:AC214" ca="1" si="141">IF(OR($U214="",$U214=0),"",SUMPRODUCT(--($S$3:$S$78=$R214),V$3:V$78))</f>
        <v/>
      </c>
      <c r="W214" s="163" t="str">
        <f t="shared" ca="1" si="141"/>
        <v/>
      </c>
      <c r="X214" s="163" t="str">
        <f t="shared" ca="1" si="141"/>
        <v/>
      </c>
      <c r="Y214" s="147" t="str">
        <f t="shared" ca="1" si="141"/>
        <v/>
      </c>
      <c r="Z214" s="163" t="str">
        <f t="shared" ca="1" si="141"/>
        <v/>
      </c>
      <c r="AA214" s="163" t="str">
        <f t="shared" ca="1" si="141"/>
        <v/>
      </c>
      <c r="AB214" s="163" t="str">
        <f t="shared" ca="1" si="141"/>
        <v/>
      </c>
      <c r="AC214" s="20" t="str">
        <f t="shared" ca="1" si="141"/>
        <v/>
      </c>
    </row>
    <row r="215" spans="1:29" x14ac:dyDescent="0.25">
      <c r="A215" s="6"/>
      <c r="B215" s="91"/>
      <c r="C215" s="20" t="s">
        <v>21</v>
      </c>
      <c r="D215" s="20" t="str">
        <f ca="1">IF(OR($E215="",$E215=0),"",SUMPRODUCT(--($C$88:$C$163=$B214),D$88:D$163))</f>
        <v/>
      </c>
      <c r="E215" s="20">
        <f ca="1">IF($B214="","",SUMPRODUCT(--(C$88:C$163=$B214)))</f>
        <v>0</v>
      </c>
      <c r="F215" s="20" t="str">
        <f ca="1">IF(OR($E215="",$E215=0),"",SUMIF($C$88:$C$147,$B214,F$88:F$147))</f>
        <v/>
      </c>
      <c r="G215" s="163" t="str">
        <f t="shared" ref="G215:M215" ca="1" si="142">IF(OR($E215="",$E215=0),"",SUMPRODUCT(--($C$88:$C$163=$B214),G$88:G$163))</f>
        <v/>
      </c>
      <c r="H215" s="163" t="str">
        <f t="shared" ca="1" si="142"/>
        <v/>
      </c>
      <c r="I215" s="147" t="str">
        <f t="shared" ca="1" si="142"/>
        <v/>
      </c>
      <c r="J215" s="163" t="str">
        <f t="shared" ca="1" si="142"/>
        <v/>
      </c>
      <c r="K215" s="163" t="str">
        <f t="shared" ca="1" si="142"/>
        <v/>
      </c>
      <c r="L215" s="163" t="str">
        <f t="shared" ca="1" si="142"/>
        <v/>
      </c>
      <c r="M215" s="20" t="str">
        <f t="shared" ca="1" si="142"/>
        <v/>
      </c>
      <c r="Q215" s="6"/>
      <c r="R215" s="6"/>
      <c r="S215" s="20" t="s">
        <v>21</v>
      </c>
      <c r="T215" s="20" t="str">
        <f ca="1">IF(OR($U215="",$U215=0),"",SUMPRODUCT(--($S$88:$S$163=$R214),T$88:T$163))</f>
        <v/>
      </c>
      <c r="U215" s="20">
        <f ca="1">IF($R214="","",SUMPRODUCT(--(S$88:S$163=$R214)))</f>
        <v>0</v>
      </c>
      <c r="V215" s="20" t="str">
        <f t="shared" ref="V215:AC215" ca="1" si="143">IF(OR($U215="",$U215=0),"",SUMPRODUCT(--($S$88:$S$163=$R214),V$88:V$163))</f>
        <v/>
      </c>
      <c r="W215" s="163" t="str">
        <f t="shared" ca="1" si="143"/>
        <v/>
      </c>
      <c r="X215" s="163" t="str">
        <f t="shared" ca="1" si="143"/>
        <v/>
      </c>
      <c r="Y215" s="147" t="str">
        <f t="shared" ca="1" si="143"/>
        <v/>
      </c>
      <c r="Z215" s="163" t="str">
        <f t="shared" ca="1" si="143"/>
        <v/>
      </c>
      <c r="AA215" s="163" t="str">
        <f t="shared" ca="1" si="143"/>
        <v/>
      </c>
      <c r="AB215" s="163" t="str">
        <f t="shared" ca="1" si="143"/>
        <v/>
      </c>
      <c r="AC215" s="20" t="str">
        <f t="shared" ca="1" si="143"/>
        <v/>
      </c>
    </row>
    <row r="216" spans="1:29" x14ac:dyDescent="0.25">
      <c r="A216" s="6"/>
      <c r="B216" s="91"/>
      <c r="C216" s="162" t="s">
        <v>7</v>
      </c>
      <c r="D216" s="162">
        <f ca="1">IF($B214="","",SUM(D214:D215))</f>
        <v>0</v>
      </c>
      <c r="E216" s="162">
        <f ca="1">IF($B214="","",SUM(E214:E215))</f>
        <v>0</v>
      </c>
      <c r="F216" s="162">
        <f ca="1">IF($B214="","",SUM(F214:F215))</f>
        <v>0</v>
      </c>
      <c r="G216" s="151">
        <f t="shared" ref="G216:L216" ca="1" si="144">IF($B214="","",SUM(G214,G215))</f>
        <v>0</v>
      </c>
      <c r="H216" s="151">
        <f t="shared" ca="1" si="144"/>
        <v>0</v>
      </c>
      <c r="I216" s="154">
        <f t="shared" ca="1" si="144"/>
        <v>0</v>
      </c>
      <c r="J216" s="151">
        <f t="shared" ca="1" si="144"/>
        <v>0</v>
      </c>
      <c r="K216" s="151">
        <f t="shared" ca="1" si="144"/>
        <v>0</v>
      </c>
      <c r="L216" s="151">
        <f t="shared" ca="1" si="144"/>
        <v>0</v>
      </c>
      <c r="M216" s="162">
        <f ca="1">IF($B214="","",SUM(M214:M215))</f>
        <v>0</v>
      </c>
      <c r="Q216" s="6"/>
      <c r="R216" s="6"/>
      <c r="S216" s="162" t="s">
        <v>7</v>
      </c>
      <c r="T216" s="162">
        <f ca="1">IF($R214="","",SUM(T214:T215))</f>
        <v>0</v>
      </c>
      <c r="U216" s="162">
        <f t="shared" ref="U216:AC216" ca="1" si="145">IF($R214="","",SUM(U214,U215))</f>
        <v>0</v>
      </c>
      <c r="V216" s="162">
        <f t="shared" ca="1" si="145"/>
        <v>0</v>
      </c>
      <c r="W216" s="151">
        <f t="shared" ca="1" si="145"/>
        <v>0</v>
      </c>
      <c r="X216" s="151">
        <f t="shared" ca="1" si="145"/>
        <v>0</v>
      </c>
      <c r="Y216" s="154">
        <f t="shared" ca="1" si="145"/>
        <v>0</v>
      </c>
      <c r="Z216" s="151">
        <f t="shared" ca="1" si="145"/>
        <v>0</v>
      </c>
      <c r="AA216" s="151">
        <f t="shared" ca="1" si="145"/>
        <v>0</v>
      </c>
      <c r="AB216" s="151">
        <f t="shared" ca="1" si="145"/>
        <v>0</v>
      </c>
      <c r="AC216" s="162">
        <f t="shared" ca="1" si="145"/>
        <v>0</v>
      </c>
    </row>
    <row r="217" spans="1:29" x14ac:dyDescent="0.25">
      <c r="A217" s="6">
        <f>A214+1</f>
        <v>16</v>
      </c>
      <c r="B217" s="91" t="str">
        <f>IF(IGRF!B29="","",IGRF!B29)</f>
        <v>84</v>
      </c>
      <c r="C217" s="20" t="s">
        <v>5</v>
      </c>
      <c r="D217" s="20">
        <f ca="1">IF(OR($E217="",$E217=0),"",SUMPRODUCT(--($C$3:$C$78=$B217),D$3:D$78))</f>
        <v>0</v>
      </c>
      <c r="E217" s="20">
        <f ca="1">IF($B217="","",SUMPRODUCT(--(C$3:C$78=$B217)))</f>
        <v>2</v>
      </c>
      <c r="F217" s="20">
        <f ca="1">IF(OR($E217="",$E217=0),"",SUMIF($C$3:$C$62,$B217,F$3:F$62))</f>
        <v>0</v>
      </c>
      <c r="G217" s="163">
        <f t="shared" ref="G217:M217" ca="1" si="146">IF(OR($E217="",$E217=0),"",SUMPRODUCT(--($C$3:$C$78=$B217),G$3:G$78))</f>
        <v>0</v>
      </c>
      <c r="H217" s="163">
        <f t="shared" ca="1" si="146"/>
        <v>0</v>
      </c>
      <c r="I217" s="147">
        <f t="shared" ca="1" si="146"/>
        <v>0</v>
      </c>
      <c r="J217" s="163">
        <f t="shared" ca="1" si="146"/>
        <v>0</v>
      </c>
      <c r="K217" s="163">
        <f t="shared" ca="1" si="146"/>
        <v>0</v>
      </c>
      <c r="L217" s="163">
        <f t="shared" ca="1" si="146"/>
        <v>1</v>
      </c>
      <c r="M217" s="20">
        <f t="shared" ca="1" si="146"/>
        <v>1</v>
      </c>
      <c r="Q217" s="6">
        <f>Q214+1</f>
        <v>16</v>
      </c>
      <c r="R217" s="6" t="str">
        <f>IF(IGRF!I29="","",IGRF!I29)</f>
        <v>911</v>
      </c>
      <c r="S217" s="20" t="s">
        <v>5</v>
      </c>
      <c r="T217" s="20" t="str">
        <f ca="1">IF(OR($U217="",$U217=0),"",SUMPRODUCT(--($S$3:$S$78=$R217),T$3:T$78))</f>
        <v/>
      </c>
      <c r="U217" s="20">
        <f ca="1">IF($R217="","",SUMPRODUCT(--(S$3:S$78=$R217)))</f>
        <v>0</v>
      </c>
      <c r="V217" s="20" t="str">
        <f t="shared" ref="V217:AC217" ca="1" si="147">IF(OR($U217="",$U217=0),"",SUMPRODUCT(--($S$3:$S$78=$R217),V$3:V$78))</f>
        <v/>
      </c>
      <c r="W217" s="163" t="str">
        <f t="shared" ca="1" si="147"/>
        <v/>
      </c>
      <c r="X217" s="163" t="str">
        <f t="shared" ca="1" si="147"/>
        <v/>
      </c>
      <c r="Y217" s="147" t="str">
        <f t="shared" ca="1" si="147"/>
        <v/>
      </c>
      <c r="Z217" s="163" t="str">
        <f t="shared" ca="1" si="147"/>
        <v/>
      </c>
      <c r="AA217" s="163" t="str">
        <f t="shared" ca="1" si="147"/>
        <v/>
      </c>
      <c r="AB217" s="163" t="str">
        <f t="shared" ca="1" si="147"/>
        <v/>
      </c>
      <c r="AC217" s="20" t="str">
        <f t="shared" ca="1" si="147"/>
        <v/>
      </c>
    </row>
    <row r="218" spans="1:29" x14ac:dyDescent="0.25">
      <c r="A218" s="6"/>
      <c r="B218" s="91"/>
      <c r="C218" s="20" t="s">
        <v>21</v>
      </c>
      <c r="D218" s="20">
        <f ca="1">IF(OR($E218="",$E218=0),"",SUMPRODUCT(--($C$88:$C$163=$B217),D$88:D$163))</f>
        <v>12</v>
      </c>
      <c r="E218" s="20">
        <f ca="1">IF($B217="","",SUMPRODUCT(--(C$88:C$163=$B217)))</f>
        <v>2</v>
      </c>
      <c r="F218" s="20">
        <f ca="1">IF(OR($E218="",$E218=0),"",SUMIF($C$88:$C$147,$B217,F$88:F$147))</f>
        <v>4</v>
      </c>
      <c r="G218" s="163">
        <f t="shared" ref="G218:M218" ca="1" si="148">IF(OR($E218="",$E218=0),"",SUMPRODUCT(--($C$88:$C$163=$B217),G$88:G$163))</f>
        <v>0</v>
      </c>
      <c r="H218" s="163">
        <f t="shared" ca="1" si="148"/>
        <v>0</v>
      </c>
      <c r="I218" s="147">
        <f t="shared" ca="1" si="148"/>
        <v>0</v>
      </c>
      <c r="J218" s="163">
        <f t="shared" ca="1" si="148"/>
        <v>0</v>
      </c>
      <c r="K218" s="163">
        <f t="shared" ca="1" si="148"/>
        <v>0</v>
      </c>
      <c r="L218" s="163">
        <f t="shared" ca="1" si="148"/>
        <v>1</v>
      </c>
      <c r="M218" s="20">
        <f t="shared" ca="1" si="148"/>
        <v>3</v>
      </c>
      <c r="Q218" s="6"/>
      <c r="R218" s="6"/>
      <c r="S218" s="20" t="s">
        <v>21</v>
      </c>
      <c r="T218" s="20">
        <f ca="1">IF(OR($U218="",$U218=0),"",SUMPRODUCT(--($S$88:$S$163=$R217),T$88:T$163))</f>
        <v>4</v>
      </c>
      <c r="U218" s="20">
        <f ca="1">IF($R217="","",SUMPRODUCT(--(S$88:S$163=$R217)))</f>
        <v>1</v>
      </c>
      <c r="V218" s="20">
        <f t="shared" ref="V218:AC218" ca="1" si="149">IF(OR($U218="",$U218=0),"",SUMPRODUCT(--($S$88:$S$163=$R217),V$88:V$163))</f>
        <v>0</v>
      </c>
      <c r="W218" s="163">
        <f t="shared" ca="1" si="149"/>
        <v>0</v>
      </c>
      <c r="X218" s="163">
        <f t="shared" ca="1" si="149"/>
        <v>0</v>
      </c>
      <c r="Y218" s="147">
        <f t="shared" ca="1" si="149"/>
        <v>0</v>
      </c>
      <c r="Z218" s="163">
        <f t="shared" ca="1" si="149"/>
        <v>0</v>
      </c>
      <c r="AA218" s="163">
        <f t="shared" ca="1" si="149"/>
        <v>0</v>
      </c>
      <c r="AB218" s="163">
        <f t="shared" ca="1" si="149"/>
        <v>0</v>
      </c>
      <c r="AC218" s="20">
        <f t="shared" ca="1" si="149"/>
        <v>1</v>
      </c>
    </row>
    <row r="219" spans="1:29" x14ac:dyDescent="0.25">
      <c r="A219" s="6"/>
      <c r="B219" s="91"/>
      <c r="C219" s="162" t="s">
        <v>7</v>
      </c>
      <c r="D219" s="162">
        <f ca="1">IF($B217="","",SUM(D217:D218))</f>
        <v>12</v>
      </c>
      <c r="E219" s="162">
        <f ca="1">IF($B217="","",SUM(E217:E218))</f>
        <v>4</v>
      </c>
      <c r="F219" s="162">
        <f ca="1">IF($B217="","",SUM(F217:F218))</f>
        <v>4</v>
      </c>
      <c r="G219" s="151">
        <f t="shared" ref="G219:L219" ca="1" si="150">IF($B217="","",SUM(G217,G218))</f>
        <v>0</v>
      </c>
      <c r="H219" s="151">
        <f t="shared" ca="1" si="150"/>
        <v>0</v>
      </c>
      <c r="I219" s="154">
        <f t="shared" ca="1" si="150"/>
        <v>0</v>
      </c>
      <c r="J219" s="151">
        <f t="shared" ca="1" si="150"/>
        <v>0</v>
      </c>
      <c r="K219" s="151">
        <f t="shared" ca="1" si="150"/>
        <v>0</v>
      </c>
      <c r="L219" s="151">
        <f t="shared" ca="1" si="150"/>
        <v>2</v>
      </c>
      <c r="M219" s="162">
        <f ca="1">IF($B217="","",SUM(M217:M218))</f>
        <v>4</v>
      </c>
      <c r="Q219" s="6"/>
      <c r="R219" s="6"/>
      <c r="S219" s="162" t="s">
        <v>7</v>
      </c>
      <c r="T219" s="162">
        <f ca="1">IF($R217="","",SUM(T217:T218))</f>
        <v>4</v>
      </c>
      <c r="U219" s="162">
        <f t="shared" ref="U219:AC219" ca="1" si="151">IF($R217="","",SUM(U217,U218))</f>
        <v>1</v>
      </c>
      <c r="V219" s="162">
        <f t="shared" ca="1" si="151"/>
        <v>0</v>
      </c>
      <c r="W219" s="151">
        <f t="shared" ca="1" si="151"/>
        <v>0</v>
      </c>
      <c r="X219" s="151">
        <f t="shared" ca="1" si="151"/>
        <v>0</v>
      </c>
      <c r="Y219" s="154">
        <f t="shared" ca="1" si="151"/>
        <v>0</v>
      </c>
      <c r="Z219" s="151">
        <f t="shared" ca="1" si="151"/>
        <v>0</v>
      </c>
      <c r="AA219" s="151">
        <f t="shared" ca="1" si="151"/>
        <v>0</v>
      </c>
      <c r="AB219" s="151">
        <f t="shared" ca="1" si="151"/>
        <v>0</v>
      </c>
      <c r="AC219" s="162">
        <f t="shared" ca="1" si="151"/>
        <v>1</v>
      </c>
    </row>
    <row r="220" spans="1:29" x14ac:dyDescent="0.25">
      <c r="A220" s="6">
        <f>A217+1</f>
        <v>17</v>
      </c>
      <c r="B220" s="91" t="str">
        <f>IF(IGRF!B30="","",IGRF!B30)</f>
        <v>86</v>
      </c>
      <c r="C220" s="20" t="s">
        <v>5</v>
      </c>
      <c r="D220" s="20" t="str">
        <f ca="1">IF(OR($E220="",$E220=0),"",SUMPRODUCT(--($C$3:$C$78=$B220),D$3:D$78))</f>
        <v/>
      </c>
      <c r="E220" s="20">
        <f ca="1">IF($B220="","",SUMPRODUCT(--(C$3:C$78=$B220)))</f>
        <v>0</v>
      </c>
      <c r="F220" s="20" t="str">
        <f ca="1">IF(OR($E220="",$E220=0),"",SUMIF($C$3:$C$62,$B220,F$3:F$62))</f>
        <v/>
      </c>
      <c r="G220" s="163" t="str">
        <f t="shared" ref="G220:M220" ca="1" si="152">IF(OR($E220="",$E220=0),"",SUMPRODUCT(--($C$3:$C$78=$B220),G$3:G$78))</f>
        <v/>
      </c>
      <c r="H220" s="163" t="str">
        <f t="shared" ca="1" si="152"/>
        <v/>
      </c>
      <c r="I220" s="147" t="str">
        <f t="shared" ca="1" si="152"/>
        <v/>
      </c>
      <c r="J220" s="163" t="str">
        <f t="shared" ca="1" si="152"/>
        <v/>
      </c>
      <c r="K220" s="163" t="str">
        <f t="shared" ca="1" si="152"/>
        <v/>
      </c>
      <c r="L220" s="163" t="str">
        <f t="shared" ca="1" si="152"/>
        <v/>
      </c>
      <c r="M220" s="20" t="str">
        <f t="shared" ca="1" si="152"/>
        <v/>
      </c>
      <c r="Q220" s="6">
        <f>Q217+1</f>
        <v>17</v>
      </c>
      <c r="R220" s="6" t="str">
        <f>IF(IGRF!I30="","",IGRF!I30)</f>
        <v>94</v>
      </c>
      <c r="S220" s="20" t="s">
        <v>5</v>
      </c>
      <c r="T220" s="20" t="str">
        <f ca="1">IF(OR($U220="",$U220=0),"",SUMPRODUCT(--($S$3:$S$78=$R220),T$3:T$78))</f>
        <v/>
      </c>
      <c r="U220" s="20">
        <f ca="1">IF($R220="","",SUMPRODUCT(--(S$3:S$78=$R220)))</f>
        <v>0</v>
      </c>
      <c r="V220" s="20" t="str">
        <f t="shared" ref="V220:AC220" ca="1" si="153">IF(OR($U220="",$U220=0),"",SUMPRODUCT(--($S$3:$S$78=$R220),V$3:V$78))</f>
        <v/>
      </c>
      <c r="W220" s="163" t="str">
        <f t="shared" ca="1" si="153"/>
        <v/>
      </c>
      <c r="X220" s="163" t="str">
        <f t="shared" ca="1" si="153"/>
        <v/>
      </c>
      <c r="Y220" s="147" t="str">
        <f t="shared" ca="1" si="153"/>
        <v/>
      </c>
      <c r="Z220" s="163" t="str">
        <f t="shared" ca="1" si="153"/>
        <v/>
      </c>
      <c r="AA220" s="163" t="str">
        <f t="shared" ca="1" si="153"/>
        <v/>
      </c>
      <c r="AB220" s="163" t="str">
        <f t="shared" ca="1" si="153"/>
        <v/>
      </c>
      <c r="AC220" s="20" t="str">
        <f t="shared" ca="1" si="153"/>
        <v/>
      </c>
    </row>
    <row r="221" spans="1:29" x14ac:dyDescent="0.25">
      <c r="A221" s="6"/>
      <c r="B221" s="91"/>
      <c r="C221" s="20" t="s">
        <v>21</v>
      </c>
      <c r="D221" s="20" t="str">
        <f ca="1">IF(OR($E221="",$E221=0),"",SUMPRODUCT(--($C$88:$C$163=$B220),D$88:D$163))</f>
        <v/>
      </c>
      <c r="E221" s="20">
        <f ca="1">IF($B220="","",SUMPRODUCT(--(C$88:C$163=$B220)))</f>
        <v>0</v>
      </c>
      <c r="F221" s="20" t="str">
        <f ca="1">IF(OR($E221="",$E221=0),"",SUMIF($C$88:$C$147,$B220,F$88:F$147))</f>
        <v/>
      </c>
      <c r="G221" s="163" t="str">
        <f t="shared" ref="G221:M221" ca="1" si="154">IF(OR($E221="",$E221=0),"",SUMPRODUCT(--($C$88:$C$163=$B220),G$88:G$163))</f>
        <v/>
      </c>
      <c r="H221" s="163" t="str">
        <f t="shared" ca="1" si="154"/>
        <v/>
      </c>
      <c r="I221" s="147" t="str">
        <f t="shared" ca="1" si="154"/>
        <v/>
      </c>
      <c r="J221" s="163" t="str">
        <f t="shared" ca="1" si="154"/>
        <v/>
      </c>
      <c r="K221" s="163" t="str">
        <f t="shared" ca="1" si="154"/>
        <v/>
      </c>
      <c r="L221" s="163" t="str">
        <f t="shared" ca="1" si="154"/>
        <v/>
      </c>
      <c r="M221" s="20" t="str">
        <f t="shared" ca="1" si="154"/>
        <v/>
      </c>
      <c r="Q221" s="6"/>
      <c r="R221" s="6"/>
      <c r="S221" s="20" t="s">
        <v>21</v>
      </c>
      <c r="T221" s="20" t="str">
        <f ca="1">IF(OR($U221="",$U221=0),"",SUMPRODUCT(--($S$88:$S$163=$R220),T$88:T$163))</f>
        <v/>
      </c>
      <c r="U221" s="20">
        <f ca="1">IF($R220="","",SUMPRODUCT(--(S$88:S$163=$R220)))</f>
        <v>0</v>
      </c>
      <c r="V221" s="20" t="str">
        <f t="shared" ref="V221:AC221" ca="1" si="155">IF(OR($U221="",$U221=0),"",SUMPRODUCT(--($S$88:$S$163=$R220),V$88:V$163))</f>
        <v/>
      </c>
      <c r="W221" s="163" t="str">
        <f t="shared" ca="1" si="155"/>
        <v/>
      </c>
      <c r="X221" s="163" t="str">
        <f t="shared" ca="1" si="155"/>
        <v/>
      </c>
      <c r="Y221" s="147" t="str">
        <f t="shared" ca="1" si="155"/>
        <v/>
      </c>
      <c r="Z221" s="163" t="str">
        <f t="shared" ca="1" si="155"/>
        <v/>
      </c>
      <c r="AA221" s="163" t="str">
        <f t="shared" ca="1" si="155"/>
        <v/>
      </c>
      <c r="AB221" s="163" t="str">
        <f t="shared" ca="1" si="155"/>
        <v/>
      </c>
      <c r="AC221" s="20" t="str">
        <f t="shared" ca="1" si="155"/>
        <v/>
      </c>
    </row>
    <row r="222" spans="1:29" x14ac:dyDescent="0.25">
      <c r="A222" s="6"/>
      <c r="B222" s="91"/>
      <c r="C222" s="162" t="s">
        <v>7</v>
      </c>
      <c r="D222" s="162">
        <f ca="1">IF($B220="","",SUM(D220:D221))</f>
        <v>0</v>
      </c>
      <c r="E222" s="162">
        <f ca="1">IF($B220="","",SUM(E220:E221))</f>
        <v>0</v>
      </c>
      <c r="F222" s="162">
        <f ca="1">IF($B220="","",SUM(F220:F221))</f>
        <v>0</v>
      </c>
      <c r="G222" s="151">
        <f t="shared" ref="G222:L222" ca="1" si="156">IF($B220="","",SUM(G220,G221))</f>
        <v>0</v>
      </c>
      <c r="H222" s="151">
        <f t="shared" ca="1" si="156"/>
        <v>0</v>
      </c>
      <c r="I222" s="154">
        <f t="shared" ca="1" si="156"/>
        <v>0</v>
      </c>
      <c r="J222" s="151">
        <f t="shared" ca="1" si="156"/>
        <v>0</v>
      </c>
      <c r="K222" s="151">
        <f t="shared" ca="1" si="156"/>
        <v>0</v>
      </c>
      <c r="L222" s="151">
        <f t="shared" ca="1" si="156"/>
        <v>0</v>
      </c>
      <c r="M222" s="162">
        <f ca="1">IF($B220="","",SUM(M220:M221))</f>
        <v>0</v>
      </c>
      <c r="Q222" s="6"/>
      <c r="R222" s="6"/>
      <c r="S222" s="162" t="s">
        <v>7</v>
      </c>
      <c r="T222" s="162">
        <f ca="1">IF($R220="","",SUM(T220:T221))</f>
        <v>0</v>
      </c>
      <c r="U222" s="162">
        <f t="shared" ref="U222:AC222" ca="1" si="157">IF($R220="","",SUM(U220,U221))</f>
        <v>0</v>
      </c>
      <c r="V222" s="162">
        <f t="shared" ca="1" si="157"/>
        <v>0</v>
      </c>
      <c r="W222" s="151">
        <f t="shared" ca="1" si="157"/>
        <v>0</v>
      </c>
      <c r="X222" s="151">
        <f t="shared" ca="1" si="157"/>
        <v>0</v>
      </c>
      <c r="Y222" s="154">
        <f t="shared" ca="1" si="157"/>
        <v>0</v>
      </c>
      <c r="Z222" s="151">
        <f t="shared" ca="1" si="157"/>
        <v>0</v>
      </c>
      <c r="AA222" s="151">
        <f t="shared" ca="1" si="157"/>
        <v>0</v>
      </c>
      <c r="AB222" s="151">
        <f t="shared" ca="1" si="157"/>
        <v>0</v>
      </c>
      <c r="AC222" s="162">
        <f t="shared" ca="1" si="157"/>
        <v>0</v>
      </c>
    </row>
    <row r="223" spans="1:29" x14ac:dyDescent="0.25">
      <c r="A223" s="6">
        <f>A220+1</f>
        <v>18</v>
      </c>
      <c r="B223" s="91" t="str">
        <f>IF(IGRF!B31="","",IGRF!B31)</f>
        <v/>
      </c>
      <c r="C223" s="20" t="s">
        <v>5</v>
      </c>
      <c r="D223" s="20" t="str">
        <f>IF(OR($E223="",$E223=0),"",SUMPRODUCT(--($C$3:$C$78=$B223),D$3:D$78))</f>
        <v/>
      </c>
      <c r="E223" s="20" t="str">
        <f>IF($B223="","",SUMPRODUCT(--(C$3:C$78=$B223)))</f>
        <v/>
      </c>
      <c r="F223" s="20" t="str">
        <f>IF(OR($E223="",$E223=0),"",SUMIF($C$3:$C$62,$B223,F$3:F$62))</f>
        <v/>
      </c>
      <c r="G223" s="163" t="str">
        <f t="shared" ref="G223:M223" si="158">IF(OR($E223="",$E223=0),"",SUMPRODUCT(--($C$3:$C$78=$B223),G$3:G$78))</f>
        <v/>
      </c>
      <c r="H223" s="163" t="str">
        <f t="shared" si="158"/>
        <v/>
      </c>
      <c r="I223" s="147" t="str">
        <f t="shared" si="158"/>
        <v/>
      </c>
      <c r="J223" s="163" t="str">
        <f t="shared" si="158"/>
        <v/>
      </c>
      <c r="K223" s="163" t="str">
        <f t="shared" si="158"/>
        <v/>
      </c>
      <c r="L223" s="163" t="str">
        <f t="shared" si="158"/>
        <v/>
      </c>
      <c r="M223" s="20" t="str">
        <f t="shared" si="158"/>
        <v/>
      </c>
      <c r="Q223" s="6">
        <f>Q220+1</f>
        <v>18</v>
      </c>
      <c r="R223" s="6" t="str">
        <f>IF(IGRF!I31="","",IGRF!I31)</f>
        <v/>
      </c>
      <c r="S223" s="20" t="s">
        <v>5</v>
      </c>
      <c r="T223" s="20" t="str">
        <f>IF(OR($U223="",$U223=0),"",SUMPRODUCT(--($S$3:$S$78=$R223),T$3:T$78))</f>
        <v/>
      </c>
      <c r="U223" s="20" t="str">
        <f>IF($R223="","",SUMPRODUCT(--(S$3:S$78=$R223)))</f>
        <v/>
      </c>
      <c r="V223" s="20" t="str">
        <f t="shared" ref="V223:AC223" si="159">IF(OR($U223="",$U223=0),"",SUMPRODUCT(--($S$3:$S$78=$R223),V$3:V$78))</f>
        <v/>
      </c>
      <c r="W223" s="163" t="str">
        <f t="shared" si="159"/>
        <v/>
      </c>
      <c r="X223" s="163" t="str">
        <f t="shared" si="159"/>
        <v/>
      </c>
      <c r="Y223" s="147" t="str">
        <f t="shared" si="159"/>
        <v/>
      </c>
      <c r="Z223" s="163" t="str">
        <f t="shared" si="159"/>
        <v/>
      </c>
      <c r="AA223" s="163" t="str">
        <f t="shared" si="159"/>
        <v/>
      </c>
      <c r="AB223" s="163" t="str">
        <f t="shared" si="159"/>
        <v/>
      </c>
      <c r="AC223" s="20" t="str">
        <f t="shared" si="159"/>
        <v/>
      </c>
    </row>
    <row r="224" spans="1:29" x14ac:dyDescent="0.25">
      <c r="A224" s="6"/>
      <c r="B224" s="91"/>
      <c r="C224" s="20" t="s">
        <v>21</v>
      </c>
      <c r="D224" s="20" t="str">
        <f>IF(OR($E224="",$E224=0),"",SUMPRODUCT(--($C$88:$C$163=$B223),D$88:D$163))</f>
        <v/>
      </c>
      <c r="E224" s="20" t="str">
        <f>IF($B223="","",SUMPRODUCT(--(C$88:C$163=$B223)))</f>
        <v/>
      </c>
      <c r="F224" s="20" t="str">
        <f>IF(OR($E224="",$E224=0),"",SUMIF($C$88:$C$147,$B223,F$88:F$147))</f>
        <v/>
      </c>
      <c r="G224" s="163" t="str">
        <f t="shared" ref="G224:M224" si="160">IF(OR($E224="",$E224=0),"",SUMPRODUCT(--($C$88:$C$163=$B223),G$88:G$163))</f>
        <v/>
      </c>
      <c r="H224" s="163" t="str">
        <f t="shared" si="160"/>
        <v/>
      </c>
      <c r="I224" s="147" t="str">
        <f t="shared" si="160"/>
        <v/>
      </c>
      <c r="J224" s="163" t="str">
        <f t="shared" si="160"/>
        <v/>
      </c>
      <c r="K224" s="163" t="str">
        <f t="shared" si="160"/>
        <v/>
      </c>
      <c r="L224" s="163" t="str">
        <f t="shared" si="160"/>
        <v/>
      </c>
      <c r="M224" s="20" t="str">
        <f t="shared" si="160"/>
        <v/>
      </c>
      <c r="Q224" s="6"/>
      <c r="R224" s="6"/>
      <c r="S224" s="20" t="s">
        <v>21</v>
      </c>
      <c r="T224" s="20" t="str">
        <f>IF(OR($U224="",$U224=0),"",SUMPRODUCT(--($S$88:$S$163=$R223),T$88:T$163))</f>
        <v/>
      </c>
      <c r="U224" s="20" t="str">
        <f>IF($R223="","",SUMPRODUCT(--(S$88:S$163=$R223)))</f>
        <v/>
      </c>
      <c r="V224" s="20" t="str">
        <f t="shared" ref="V224:AC224" si="161">IF(OR($U224="",$U224=0),"",SUMPRODUCT(--($S$88:$S$163=$R223),V$88:V$163))</f>
        <v/>
      </c>
      <c r="W224" s="163" t="str">
        <f t="shared" si="161"/>
        <v/>
      </c>
      <c r="X224" s="163" t="str">
        <f t="shared" si="161"/>
        <v/>
      </c>
      <c r="Y224" s="147" t="str">
        <f t="shared" si="161"/>
        <v/>
      </c>
      <c r="Z224" s="163" t="str">
        <f t="shared" si="161"/>
        <v/>
      </c>
      <c r="AA224" s="163" t="str">
        <f t="shared" si="161"/>
        <v/>
      </c>
      <c r="AB224" s="163" t="str">
        <f t="shared" si="161"/>
        <v/>
      </c>
      <c r="AC224" s="20" t="str">
        <f t="shared" si="161"/>
        <v/>
      </c>
    </row>
    <row r="225" spans="1:29" x14ac:dyDescent="0.25">
      <c r="A225" s="6"/>
      <c r="B225" s="91"/>
      <c r="C225" s="162" t="s">
        <v>7</v>
      </c>
      <c r="D225" s="162" t="str">
        <f>IF($B223="","",SUM(D223:D224))</f>
        <v/>
      </c>
      <c r="E225" s="162" t="str">
        <f>IF($B223="","",SUM(E223:E224))</f>
        <v/>
      </c>
      <c r="F225" s="162" t="str">
        <f>IF($B223="","",SUM(F223:F224))</f>
        <v/>
      </c>
      <c r="G225" s="151" t="str">
        <f t="shared" ref="G225:L225" si="162">IF($B223="","",SUM(G223,G224))</f>
        <v/>
      </c>
      <c r="H225" s="151" t="str">
        <f t="shared" si="162"/>
        <v/>
      </c>
      <c r="I225" s="154" t="str">
        <f t="shared" si="162"/>
        <v/>
      </c>
      <c r="J225" s="151" t="str">
        <f t="shared" si="162"/>
        <v/>
      </c>
      <c r="K225" s="151" t="str">
        <f t="shared" si="162"/>
        <v/>
      </c>
      <c r="L225" s="151" t="str">
        <f t="shared" si="162"/>
        <v/>
      </c>
      <c r="M225" s="162" t="str">
        <f>IF($B223="","",SUM(M223:M224))</f>
        <v/>
      </c>
      <c r="Q225" s="6"/>
      <c r="R225" s="6"/>
      <c r="S225" s="162" t="s">
        <v>7</v>
      </c>
      <c r="T225" s="162" t="str">
        <f>IF($R223="","",SUM(T223:T224))</f>
        <v/>
      </c>
      <c r="U225" s="162" t="str">
        <f t="shared" ref="U225:AC225" si="163">IF($R223="","",SUM(U223,U224))</f>
        <v/>
      </c>
      <c r="V225" s="162" t="str">
        <f t="shared" si="163"/>
        <v/>
      </c>
      <c r="W225" s="151" t="str">
        <f t="shared" si="163"/>
        <v/>
      </c>
      <c r="X225" s="151" t="str">
        <f t="shared" si="163"/>
        <v/>
      </c>
      <c r="Y225" s="154" t="str">
        <f t="shared" si="163"/>
        <v/>
      </c>
      <c r="Z225" s="151" t="str">
        <f t="shared" si="163"/>
        <v/>
      </c>
      <c r="AA225" s="151" t="str">
        <f t="shared" si="163"/>
        <v/>
      </c>
      <c r="AB225" s="151" t="str">
        <f t="shared" si="163"/>
        <v/>
      </c>
      <c r="AC225" s="162" t="str">
        <f t="shared" si="163"/>
        <v/>
      </c>
    </row>
    <row r="226" spans="1:29" x14ac:dyDescent="0.25">
      <c r="A226" s="6">
        <f>A223+1</f>
        <v>19</v>
      </c>
      <c r="B226" s="91" t="str">
        <f>IF(IGRF!B32="","",IGRF!B32)</f>
        <v/>
      </c>
      <c r="C226" s="20" t="s">
        <v>5</v>
      </c>
      <c r="D226" s="20" t="str">
        <f>IF(OR($E226="",$E226=0),"",SUMPRODUCT(--($C$3:$C$78=$B226),D$3:D$78))</f>
        <v/>
      </c>
      <c r="E226" s="20" t="str">
        <f>IF($B226="","",SUMPRODUCT(--(C$3:C$78=$B226)))</f>
        <v/>
      </c>
      <c r="F226" s="20" t="str">
        <f>IF(OR($E226="",$E226=0),"",SUMIF($C$3:$C$62,$B226,F$3:F$62))</f>
        <v/>
      </c>
      <c r="G226" s="163" t="str">
        <f t="shared" ref="G226:M226" si="164">IF(OR($E226="",$E226=0),"",SUMPRODUCT(--($C$3:$C$78=$B226),G$3:G$78))</f>
        <v/>
      </c>
      <c r="H226" s="163" t="str">
        <f t="shared" si="164"/>
        <v/>
      </c>
      <c r="I226" s="147" t="str">
        <f t="shared" si="164"/>
        <v/>
      </c>
      <c r="J226" s="163" t="str">
        <f t="shared" si="164"/>
        <v/>
      </c>
      <c r="K226" s="163" t="str">
        <f t="shared" si="164"/>
        <v/>
      </c>
      <c r="L226" s="163" t="str">
        <f t="shared" si="164"/>
        <v/>
      </c>
      <c r="M226" s="20" t="str">
        <f t="shared" si="164"/>
        <v/>
      </c>
      <c r="Q226" s="6">
        <f>Q223+1</f>
        <v>19</v>
      </c>
      <c r="R226" s="6" t="str">
        <f>IF(IGRF!I32="","",IGRF!I32)</f>
        <v/>
      </c>
      <c r="S226" s="20" t="s">
        <v>5</v>
      </c>
      <c r="T226" s="20" t="str">
        <f>IF(OR($U226="",$U226=0),"",SUMPRODUCT(--($S$3:$S$78=$R226),T$3:T$78))</f>
        <v/>
      </c>
      <c r="U226" s="20" t="str">
        <f>IF($R226="","",SUMPRODUCT(--(S$3:S$78=$R226)))</f>
        <v/>
      </c>
      <c r="V226" s="20" t="str">
        <f t="shared" ref="V226:AC226" si="165">IF(OR($U226="",$U226=0),"",SUMPRODUCT(--($S$3:$S$78=$R226),V$3:V$78))</f>
        <v/>
      </c>
      <c r="W226" s="163" t="str">
        <f t="shared" si="165"/>
        <v/>
      </c>
      <c r="X226" s="163" t="str">
        <f t="shared" si="165"/>
        <v/>
      </c>
      <c r="Y226" s="147" t="str">
        <f t="shared" si="165"/>
        <v/>
      </c>
      <c r="Z226" s="163" t="str">
        <f t="shared" si="165"/>
        <v/>
      </c>
      <c r="AA226" s="163" t="str">
        <f t="shared" si="165"/>
        <v/>
      </c>
      <c r="AB226" s="163" t="str">
        <f t="shared" si="165"/>
        <v/>
      </c>
      <c r="AC226" s="20" t="str">
        <f t="shared" si="165"/>
        <v/>
      </c>
    </row>
    <row r="227" spans="1:29" x14ac:dyDescent="0.25">
      <c r="A227" s="6"/>
      <c r="B227" s="91"/>
      <c r="C227" s="20" t="s">
        <v>21</v>
      </c>
      <c r="D227" s="20" t="str">
        <f>IF(OR($E227="",$E227=0),"",SUMPRODUCT(--($C$88:$C$163=$B226),D$88:D$163))</f>
        <v/>
      </c>
      <c r="E227" s="20" t="str">
        <f>IF($B226="","",SUMPRODUCT(--(C$88:C$163=$B226)))</f>
        <v/>
      </c>
      <c r="F227" s="20" t="str">
        <f>IF(OR($E227="",$E227=0),"",SUMIF($C$88:$C$147,$B226,F$88:F$147))</f>
        <v/>
      </c>
      <c r="G227" s="163" t="str">
        <f t="shared" ref="G227:M227" si="166">IF(OR($E227="",$E227=0),"",SUMPRODUCT(--($C$88:$C$163=$B226),G$88:G$163))</f>
        <v/>
      </c>
      <c r="H227" s="163" t="str">
        <f t="shared" si="166"/>
        <v/>
      </c>
      <c r="I227" s="147" t="str">
        <f t="shared" si="166"/>
        <v/>
      </c>
      <c r="J227" s="163" t="str">
        <f t="shared" si="166"/>
        <v/>
      </c>
      <c r="K227" s="163" t="str">
        <f t="shared" si="166"/>
        <v/>
      </c>
      <c r="L227" s="163" t="str">
        <f t="shared" si="166"/>
        <v/>
      </c>
      <c r="M227" s="20" t="str">
        <f t="shared" si="166"/>
        <v/>
      </c>
      <c r="Q227" s="6"/>
      <c r="R227" s="6"/>
      <c r="S227" s="20" t="s">
        <v>21</v>
      </c>
      <c r="T227" s="20" t="str">
        <f>IF(OR($U227="",$U227=0),"",SUMPRODUCT(--($S$88:$S$163=$R226),T$88:T$163))</f>
        <v/>
      </c>
      <c r="U227" s="20" t="str">
        <f>IF($R226="","",SUMPRODUCT(--(S$88:S$163=$R226)))</f>
        <v/>
      </c>
      <c r="V227" s="20" t="str">
        <f t="shared" ref="V227:AC227" si="167">IF(OR($U227="",$U227=0),"",SUMPRODUCT(--($S$88:$S$163=$R226),V$88:V$163))</f>
        <v/>
      </c>
      <c r="W227" s="163" t="str">
        <f t="shared" si="167"/>
        <v/>
      </c>
      <c r="X227" s="163" t="str">
        <f t="shared" si="167"/>
        <v/>
      </c>
      <c r="Y227" s="147" t="str">
        <f t="shared" si="167"/>
        <v/>
      </c>
      <c r="Z227" s="163" t="str">
        <f t="shared" si="167"/>
        <v/>
      </c>
      <c r="AA227" s="163" t="str">
        <f t="shared" si="167"/>
        <v/>
      </c>
      <c r="AB227" s="163" t="str">
        <f t="shared" si="167"/>
        <v/>
      </c>
      <c r="AC227" s="20" t="str">
        <f t="shared" si="167"/>
        <v/>
      </c>
    </row>
    <row r="228" spans="1:29" x14ac:dyDescent="0.25">
      <c r="A228" s="6"/>
      <c r="B228" s="91"/>
      <c r="C228" s="162" t="s">
        <v>7</v>
      </c>
      <c r="D228" s="162" t="str">
        <f>IF($B226="","",SUM(D226:D227))</f>
        <v/>
      </c>
      <c r="E228" s="162" t="str">
        <f>IF($B226="","",SUM(E226:E227))</f>
        <v/>
      </c>
      <c r="F228" s="162" t="str">
        <f>IF($B226="","",SUM(F226:F227))</f>
        <v/>
      </c>
      <c r="G228" s="151" t="str">
        <f t="shared" ref="G228:L228" si="168">IF($B226="","",SUM(G226,G227))</f>
        <v/>
      </c>
      <c r="H228" s="151" t="str">
        <f t="shared" si="168"/>
        <v/>
      </c>
      <c r="I228" s="154" t="str">
        <f t="shared" si="168"/>
        <v/>
      </c>
      <c r="J228" s="151" t="str">
        <f t="shared" si="168"/>
        <v/>
      </c>
      <c r="K228" s="151" t="str">
        <f t="shared" si="168"/>
        <v/>
      </c>
      <c r="L228" s="151" t="str">
        <f t="shared" si="168"/>
        <v/>
      </c>
      <c r="M228" s="162" t="str">
        <f>IF($B226="","",SUM(M226:M227))</f>
        <v/>
      </c>
      <c r="Q228" s="6"/>
      <c r="R228" s="6"/>
      <c r="S228" s="162" t="s">
        <v>7</v>
      </c>
      <c r="T228" s="162" t="str">
        <f>IF($R226="","",SUM(T226:T227))</f>
        <v/>
      </c>
      <c r="U228" s="162" t="str">
        <f t="shared" ref="U228:AC228" si="169">IF($R226="","",SUM(U226,U227))</f>
        <v/>
      </c>
      <c r="V228" s="162" t="str">
        <f t="shared" si="169"/>
        <v/>
      </c>
      <c r="W228" s="151" t="str">
        <f t="shared" si="169"/>
        <v/>
      </c>
      <c r="X228" s="151" t="str">
        <f t="shared" si="169"/>
        <v/>
      </c>
      <c r="Y228" s="154" t="str">
        <f t="shared" si="169"/>
        <v/>
      </c>
      <c r="Z228" s="151" t="str">
        <f t="shared" si="169"/>
        <v/>
      </c>
      <c r="AA228" s="151" t="str">
        <f t="shared" si="169"/>
        <v/>
      </c>
      <c r="AB228" s="151" t="str">
        <f t="shared" si="169"/>
        <v/>
      </c>
      <c r="AC228" s="162" t="str">
        <f t="shared" si="169"/>
        <v/>
      </c>
    </row>
    <row r="229" spans="1:29" x14ac:dyDescent="0.25">
      <c r="A229" s="6">
        <v>20</v>
      </c>
      <c r="B229" s="91" t="str">
        <f>IF(IGRF!B33="","",IGRF!B33)</f>
        <v/>
      </c>
      <c r="C229" s="20" t="s">
        <v>5</v>
      </c>
      <c r="D229" s="20" t="str">
        <f>IF(OR($E229="",$E229=0),"",SUMPRODUCT(--($C$3:$C$78=$B229),D$3:D$78))</f>
        <v/>
      </c>
      <c r="E229" s="20" t="str">
        <f>IF($B229="","",SUMPRODUCT(--(C$3:C$78=$B229)))</f>
        <v/>
      </c>
      <c r="F229" s="20" t="str">
        <f>IF(OR($E229="",$E229=0),"",SUMIF($C$3:$C$62,$B229,F$3:F$62))</f>
        <v/>
      </c>
      <c r="G229" s="163" t="str">
        <f t="shared" ref="G229:M229" si="170">IF(OR($E229="",$E229=0),"",SUMPRODUCT(--($C$3:$C$78=$B229),G$3:G$78))</f>
        <v/>
      </c>
      <c r="H229" s="163" t="str">
        <f t="shared" si="170"/>
        <v/>
      </c>
      <c r="I229" s="147" t="str">
        <f t="shared" si="170"/>
        <v/>
      </c>
      <c r="J229" s="163" t="str">
        <f t="shared" si="170"/>
        <v/>
      </c>
      <c r="K229" s="163" t="str">
        <f t="shared" si="170"/>
        <v/>
      </c>
      <c r="L229" s="163" t="str">
        <f t="shared" si="170"/>
        <v/>
      </c>
      <c r="M229" s="20" t="str">
        <f t="shared" si="170"/>
        <v/>
      </c>
      <c r="Q229" s="6">
        <v>20</v>
      </c>
      <c r="R229" s="6" t="str">
        <f>IF(IGRF!I33="","",IGRF!I33)</f>
        <v/>
      </c>
      <c r="S229" s="20" t="s">
        <v>5</v>
      </c>
      <c r="T229" s="20" t="str">
        <f>IF(OR($U229="",$U229=0),"",SUMPRODUCT(--($S$3:$S$78=$R229),T$3:T$78))</f>
        <v/>
      </c>
      <c r="U229" s="20" t="str">
        <f>IF($R229="","",SUMPRODUCT(--(S$3:S$78=$R229)))</f>
        <v/>
      </c>
      <c r="V229" s="20" t="str">
        <f t="shared" ref="V229:AC229" si="171">IF(OR($U229="",$U229=0),"",SUMPRODUCT(--($S$3:$S$78=$R229),V$3:V$78))</f>
        <v/>
      </c>
      <c r="W229" s="163" t="str">
        <f t="shared" si="171"/>
        <v/>
      </c>
      <c r="X229" s="163" t="str">
        <f t="shared" si="171"/>
        <v/>
      </c>
      <c r="Y229" s="147" t="str">
        <f t="shared" si="171"/>
        <v/>
      </c>
      <c r="Z229" s="163" t="str">
        <f t="shared" si="171"/>
        <v/>
      </c>
      <c r="AA229" s="163" t="str">
        <f t="shared" si="171"/>
        <v/>
      </c>
      <c r="AB229" s="163" t="str">
        <f t="shared" si="171"/>
        <v/>
      </c>
      <c r="AC229" s="20" t="str">
        <f t="shared" si="171"/>
        <v/>
      </c>
    </row>
    <row r="230" spans="1:29" x14ac:dyDescent="0.25">
      <c r="A230" s="6"/>
      <c r="B230" s="91"/>
      <c r="C230" s="20" t="s">
        <v>21</v>
      </c>
      <c r="D230" s="20" t="str">
        <f>IF(OR($E230="",$E230=0),"",SUMPRODUCT(--($C$88:$C$163=$B229),D$88:D$163))</f>
        <v/>
      </c>
      <c r="E230" s="20" t="str">
        <f>IF($B229="","",SUMPRODUCT(--(C$88:C$163=$B229)))</f>
        <v/>
      </c>
      <c r="F230" s="20" t="str">
        <f>IF(OR($E230="",$E230=0),"",SUMIF($C$88:$C$147,$B229,F$88:F$147))</f>
        <v/>
      </c>
      <c r="G230" s="163" t="str">
        <f t="shared" ref="G230:M230" si="172">IF(OR($E230="",$E230=0),"",SUMPRODUCT(--($C$88:$C$163=$B229),G$88:G$163))</f>
        <v/>
      </c>
      <c r="H230" s="163" t="str">
        <f t="shared" si="172"/>
        <v/>
      </c>
      <c r="I230" s="147" t="str">
        <f t="shared" si="172"/>
        <v/>
      </c>
      <c r="J230" s="163" t="str">
        <f t="shared" si="172"/>
        <v/>
      </c>
      <c r="K230" s="163" t="str">
        <f t="shared" si="172"/>
        <v/>
      </c>
      <c r="L230" s="163" t="str">
        <f t="shared" si="172"/>
        <v/>
      </c>
      <c r="M230" s="20" t="str">
        <f t="shared" si="172"/>
        <v/>
      </c>
      <c r="Q230" s="6"/>
      <c r="R230" s="6"/>
      <c r="S230" s="20" t="s">
        <v>21</v>
      </c>
      <c r="T230" s="20" t="str">
        <f>IF(OR($U230="",$U230=0),"",SUMPRODUCT(--($S$88:$S$163=$R229),T$88:T$163))</f>
        <v/>
      </c>
      <c r="U230" s="20" t="str">
        <f>IF($R229="","",SUMPRODUCT(--(S$88:S$163=$R229)))</f>
        <v/>
      </c>
      <c r="V230" s="20" t="str">
        <f t="shared" ref="V230:AC230" si="173">IF(OR($U230="",$U230=0),"",SUMPRODUCT(--($S$88:$S$163=$R229),V$88:V$163))</f>
        <v/>
      </c>
      <c r="W230" s="163" t="str">
        <f t="shared" si="173"/>
        <v/>
      </c>
      <c r="X230" s="163" t="str">
        <f t="shared" si="173"/>
        <v/>
      </c>
      <c r="Y230" s="147" t="str">
        <f t="shared" si="173"/>
        <v/>
      </c>
      <c r="Z230" s="163" t="str">
        <f t="shared" si="173"/>
        <v/>
      </c>
      <c r="AA230" s="163" t="str">
        <f t="shared" si="173"/>
        <v/>
      </c>
      <c r="AB230" s="163" t="str">
        <f t="shared" si="173"/>
        <v/>
      </c>
      <c r="AC230" s="20" t="str">
        <f t="shared" si="173"/>
        <v/>
      </c>
    </row>
    <row r="231" spans="1:29" x14ac:dyDescent="0.25">
      <c r="A231" s="6"/>
      <c r="B231" s="6"/>
      <c r="C231" s="162" t="s">
        <v>7</v>
      </c>
      <c r="D231" s="162" t="str">
        <f>IF($B229="","",SUM(D229:D230))</f>
        <v/>
      </c>
      <c r="E231" s="162" t="str">
        <f>IF($B229="","",SUM(E229:E230))</f>
        <v/>
      </c>
      <c r="F231" s="162" t="str">
        <f>IF($B229="","",SUM(F229:F230))</f>
        <v/>
      </c>
      <c r="G231" s="151" t="str">
        <f t="shared" ref="G231:L231" si="174">IF($B229="","",SUM(G229,G230))</f>
        <v/>
      </c>
      <c r="H231" s="151" t="str">
        <f t="shared" si="174"/>
        <v/>
      </c>
      <c r="I231" s="154" t="str">
        <f t="shared" si="174"/>
        <v/>
      </c>
      <c r="J231" s="151" t="str">
        <f t="shared" si="174"/>
        <v/>
      </c>
      <c r="K231" s="151" t="str">
        <f t="shared" si="174"/>
        <v/>
      </c>
      <c r="L231" s="151" t="str">
        <f t="shared" si="174"/>
        <v/>
      </c>
      <c r="M231" s="162" t="str">
        <f>IF($B229="","",SUM(M229:M230))</f>
        <v/>
      </c>
      <c r="Q231" s="6"/>
      <c r="R231" s="6"/>
      <c r="S231" s="162" t="s">
        <v>7</v>
      </c>
      <c r="T231" s="162" t="str">
        <f>IF($R229="","",SUM(T229:T230))</f>
        <v/>
      </c>
      <c r="U231" s="162" t="str">
        <f t="shared" ref="U231:AC231" si="175">IF($R229="","",SUM(U229,U230))</f>
        <v/>
      </c>
      <c r="V231" s="162" t="str">
        <f t="shared" si="175"/>
        <v/>
      </c>
      <c r="W231" s="151" t="str">
        <f t="shared" si="175"/>
        <v/>
      </c>
      <c r="X231" s="151" t="str">
        <f t="shared" si="175"/>
        <v/>
      </c>
      <c r="Y231" s="154" t="str">
        <f t="shared" si="175"/>
        <v/>
      </c>
      <c r="Z231" s="151" t="str">
        <f t="shared" si="175"/>
        <v/>
      </c>
      <c r="AA231" s="151" t="str">
        <f t="shared" si="175"/>
        <v/>
      </c>
      <c r="AB231" s="151" t="str">
        <f t="shared" si="175"/>
        <v/>
      </c>
      <c r="AC231" s="162"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showRuler="0" zoomScaleNormal="100" workbookViewId="0">
      <selection sqref="A1:K1"/>
    </sheetView>
  </sheetViews>
  <sheetFormatPr defaultColWidth="8.77734375" defaultRowHeight="13.8" x14ac:dyDescent="0.3"/>
  <cols>
    <col min="1" max="11" width="7.77734375" style="96" customWidth="1"/>
    <col min="12" max="16384" width="8.77734375" style="96"/>
  </cols>
  <sheetData>
    <row r="1" spans="1:11" ht="30" customHeight="1" x14ac:dyDescent="0.4">
      <c r="A1" s="1214" t="s">
        <v>188</v>
      </c>
      <c r="B1" s="1214"/>
      <c r="C1" s="1214"/>
      <c r="D1" s="1214"/>
      <c r="E1" s="1214"/>
      <c r="F1" s="1214"/>
      <c r="G1" s="1214"/>
      <c r="H1" s="1214"/>
      <c r="I1" s="1214"/>
      <c r="J1" s="1214"/>
      <c r="K1" s="1214"/>
    </row>
    <row r="2" spans="1:11" ht="6" customHeight="1" x14ac:dyDescent="0.5">
      <c r="A2" s="169"/>
      <c r="B2" s="169"/>
      <c r="C2" s="169"/>
      <c r="D2" s="169"/>
      <c r="E2" s="169"/>
      <c r="F2" s="169"/>
      <c r="G2" s="169"/>
      <c r="H2" s="170"/>
      <c r="I2" s="170"/>
      <c r="J2" s="170"/>
      <c r="K2" s="170"/>
    </row>
    <row r="3" spans="1:11" ht="111" customHeight="1" x14ac:dyDescent="0.3">
      <c r="A3" s="1216" t="s">
        <v>500</v>
      </c>
      <c r="B3" s="1216"/>
      <c r="C3" s="1216"/>
      <c r="D3" s="1216"/>
      <c r="E3" s="1216"/>
      <c r="F3" s="1216"/>
      <c r="G3" s="1216"/>
      <c r="H3" s="1216"/>
      <c r="I3" s="1216"/>
      <c r="J3" s="1216"/>
      <c r="K3" s="1216"/>
    </row>
    <row r="4" spans="1:11" ht="6" customHeight="1" x14ac:dyDescent="0.3">
      <c r="A4" s="169"/>
      <c r="B4" s="169"/>
      <c r="C4" s="169"/>
      <c r="D4" s="169"/>
      <c r="E4" s="169"/>
      <c r="F4" s="169"/>
      <c r="G4" s="169"/>
      <c r="H4" s="169"/>
      <c r="I4" s="169"/>
      <c r="J4" s="169"/>
      <c r="K4" s="169"/>
    </row>
    <row r="5" spans="1:11" ht="28.2" customHeight="1" x14ac:dyDescent="0.3">
      <c r="A5" s="1217" t="s">
        <v>399</v>
      </c>
      <c r="B5" s="1217"/>
      <c r="C5" s="1217"/>
      <c r="D5" s="1217"/>
      <c r="E5" s="1217"/>
      <c r="F5" s="1217"/>
      <c r="G5" s="1217"/>
      <c r="H5" s="1217"/>
      <c r="I5" s="1217"/>
      <c r="J5" s="1217"/>
      <c r="K5" s="1217"/>
    </row>
    <row r="6" spans="1:11" ht="6" customHeight="1" x14ac:dyDescent="0.3">
      <c r="A6" s="169"/>
      <c r="B6" s="169"/>
      <c r="C6" s="169"/>
      <c r="D6" s="169"/>
      <c r="E6" s="169"/>
      <c r="F6" s="169"/>
      <c r="G6" s="169"/>
      <c r="H6" s="169"/>
      <c r="I6" s="169"/>
      <c r="J6" s="169"/>
      <c r="K6" s="169"/>
    </row>
    <row r="7" spans="1:11" ht="15" customHeight="1" x14ac:dyDescent="0.3">
      <c r="A7" s="1215" t="s">
        <v>501</v>
      </c>
      <c r="B7" s="1215"/>
      <c r="C7" s="1215"/>
      <c r="D7" s="1215"/>
      <c r="E7" s="1215"/>
      <c r="F7" s="1215"/>
      <c r="G7" s="1215"/>
      <c r="H7" s="1215"/>
      <c r="I7" s="1215"/>
      <c r="J7" s="1215"/>
      <c r="K7" s="1215"/>
    </row>
    <row r="8" spans="1:11" ht="15" customHeight="1" x14ac:dyDescent="0.3">
      <c r="A8" s="171"/>
      <c r="B8" s="171"/>
      <c r="C8" s="171"/>
      <c r="D8" s="171"/>
      <c r="E8" s="171"/>
      <c r="F8" s="171"/>
      <c r="G8" s="171"/>
      <c r="H8" s="171"/>
      <c r="I8" s="171"/>
      <c r="J8" s="171"/>
      <c r="K8" s="171"/>
    </row>
    <row r="9" spans="1:11" s="97" customFormat="1" ht="18" customHeight="1" x14ac:dyDescent="0.25">
      <c r="A9" s="172" t="s">
        <v>189</v>
      </c>
      <c r="B9" s="172"/>
      <c r="C9" s="172"/>
      <c r="D9" s="172"/>
      <c r="E9" s="172"/>
      <c r="F9" s="172"/>
      <c r="G9" s="695" t="s">
        <v>196</v>
      </c>
      <c r="H9" s="695"/>
      <c r="I9" s="695"/>
      <c r="J9" s="695"/>
      <c r="K9" s="695"/>
    </row>
    <row r="10" spans="1:11" ht="6" customHeight="1" x14ac:dyDescent="0.3">
      <c r="A10" s="169"/>
      <c r="B10" s="169"/>
      <c r="C10" s="169"/>
      <c r="D10" s="169"/>
      <c r="E10" s="169"/>
      <c r="F10" s="169"/>
      <c r="G10" s="169"/>
      <c r="H10" s="169"/>
      <c r="I10" s="169"/>
      <c r="J10" s="169"/>
      <c r="K10" s="169"/>
    </row>
    <row r="11" spans="1:11" ht="15" customHeight="1" x14ac:dyDescent="0.3">
      <c r="A11" s="201" t="s">
        <v>445</v>
      </c>
      <c r="B11" s="201"/>
      <c r="C11" s="201"/>
      <c r="D11" s="201"/>
      <c r="E11" s="201"/>
      <c r="F11" s="169"/>
      <c r="G11" s="201" t="s">
        <v>367</v>
      </c>
      <c r="H11" s="171"/>
      <c r="I11" s="171"/>
      <c r="J11" s="171"/>
      <c r="K11" s="171"/>
    </row>
    <row r="12" spans="1:11" ht="15" customHeight="1" x14ac:dyDescent="0.3">
      <c r="A12" s="201" t="s">
        <v>472</v>
      </c>
      <c r="B12" s="201"/>
      <c r="C12" s="201"/>
      <c r="D12" s="201"/>
      <c r="E12" s="201"/>
      <c r="F12" s="169"/>
      <c r="G12" s="694" t="s">
        <v>502</v>
      </c>
      <c r="H12" s="171"/>
      <c r="I12" s="171"/>
      <c r="J12" s="171"/>
      <c r="K12" s="171"/>
    </row>
    <row r="13" spans="1:11" ht="6" customHeight="1" x14ac:dyDescent="0.3">
      <c r="A13" s="201"/>
      <c r="B13" s="201"/>
      <c r="C13" s="201"/>
      <c r="D13" s="201"/>
      <c r="E13" s="201"/>
      <c r="F13" s="169"/>
      <c r="G13" s="169"/>
      <c r="H13" s="169"/>
      <c r="I13" s="169"/>
      <c r="J13" s="169"/>
      <c r="K13" s="169"/>
    </row>
    <row r="14" spans="1:11" ht="15" customHeight="1" x14ac:dyDescent="0.3">
      <c r="A14" s="201" t="s">
        <v>449</v>
      </c>
      <c r="B14" s="201"/>
      <c r="C14" s="201"/>
      <c r="D14" s="201"/>
      <c r="E14" s="201"/>
      <c r="F14" s="169"/>
      <c r="G14" s="171" t="s">
        <v>198</v>
      </c>
      <c r="H14" s="171"/>
      <c r="I14" s="171"/>
      <c r="J14" s="171"/>
      <c r="K14" s="171"/>
    </row>
    <row r="15" spans="1:11" ht="15" customHeight="1" x14ac:dyDescent="0.3">
      <c r="A15" s="201" t="s">
        <v>190</v>
      </c>
      <c r="B15" s="201"/>
      <c r="C15" s="201"/>
      <c r="D15" s="201"/>
      <c r="E15" s="201"/>
      <c r="F15" s="169"/>
      <c r="G15" s="694" t="s">
        <v>450</v>
      </c>
      <c r="H15" s="171"/>
      <c r="I15" s="171"/>
      <c r="J15" s="171"/>
      <c r="K15" s="171"/>
    </row>
    <row r="16" spans="1:11" ht="6" customHeight="1" x14ac:dyDescent="0.3">
      <c r="A16" s="201"/>
      <c r="B16" s="201"/>
      <c r="C16" s="201"/>
      <c r="D16" s="201"/>
      <c r="E16" s="201"/>
      <c r="F16" s="169"/>
      <c r="G16" s="169"/>
      <c r="H16" s="169"/>
      <c r="I16" s="169"/>
      <c r="J16" s="169"/>
      <c r="K16" s="169"/>
    </row>
    <row r="17" spans="1:11" ht="15" customHeight="1" x14ac:dyDescent="0.3">
      <c r="A17" s="201" t="s">
        <v>447</v>
      </c>
      <c r="B17" s="201"/>
      <c r="C17" s="201"/>
      <c r="D17" s="201"/>
      <c r="E17" s="201"/>
      <c r="F17" s="169"/>
      <c r="G17" s="694" t="s">
        <v>451</v>
      </c>
      <c r="H17" s="171"/>
      <c r="I17" s="171"/>
      <c r="J17" s="694"/>
      <c r="K17" s="171"/>
    </row>
    <row r="18" spans="1:11" ht="15" customHeight="1" x14ac:dyDescent="0.3">
      <c r="A18" s="201" t="s">
        <v>192</v>
      </c>
      <c r="B18" s="201"/>
      <c r="C18" s="201"/>
      <c r="D18" s="201"/>
      <c r="E18" s="201"/>
      <c r="F18" s="169"/>
      <c r="G18" s="201" t="s">
        <v>400</v>
      </c>
      <c r="H18" s="171"/>
      <c r="I18" s="171"/>
      <c r="J18" s="694"/>
      <c r="K18" s="171"/>
    </row>
    <row r="19" spans="1:11" ht="6" customHeight="1" x14ac:dyDescent="0.3">
      <c r="A19" s="201"/>
      <c r="B19" s="201"/>
      <c r="C19" s="201"/>
      <c r="D19" s="201"/>
      <c r="E19" s="201"/>
      <c r="F19" s="169"/>
      <c r="G19" s="201"/>
      <c r="H19" s="171"/>
      <c r="I19" s="171"/>
      <c r="J19" s="171"/>
      <c r="K19" s="171"/>
    </row>
    <row r="20" spans="1:11" ht="15" customHeight="1" x14ac:dyDescent="0.3">
      <c r="A20" s="201" t="s">
        <v>446</v>
      </c>
      <c r="B20" s="201"/>
      <c r="C20" s="201"/>
      <c r="D20" s="201"/>
      <c r="E20" s="201"/>
      <c r="F20" s="169"/>
      <c r="G20" s="694" t="s">
        <v>452</v>
      </c>
      <c r="H20" s="171"/>
      <c r="I20" s="171"/>
      <c r="J20" s="171"/>
      <c r="K20" s="171"/>
    </row>
    <row r="21" spans="1:11" ht="15" customHeight="1" x14ac:dyDescent="0.3">
      <c r="A21" s="201" t="s">
        <v>191</v>
      </c>
      <c r="B21" s="201"/>
      <c r="C21" s="201"/>
      <c r="D21" s="201"/>
      <c r="E21" s="201"/>
      <c r="F21" s="169"/>
      <c r="G21" s="694" t="s">
        <v>453</v>
      </c>
      <c r="H21" s="169"/>
      <c r="I21" s="169"/>
      <c r="J21" s="169"/>
      <c r="K21" s="169"/>
    </row>
    <row r="22" spans="1:11" ht="6" customHeight="1" x14ac:dyDescent="0.3">
      <c r="A22" s="201"/>
      <c r="B22" s="201"/>
      <c r="C22" s="201"/>
      <c r="D22" s="201"/>
      <c r="E22" s="201"/>
      <c r="F22" s="169"/>
      <c r="G22" s="169"/>
      <c r="H22" s="169"/>
      <c r="I22" s="169"/>
      <c r="J22" s="169"/>
      <c r="K22" s="169"/>
    </row>
    <row r="23" spans="1:11" ht="15" customHeight="1" x14ac:dyDescent="0.3">
      <c r="A23" s="201" t="s">
        <v>447</v>
      </c>
      <c r="B23" s="201"/>
      <c r="C23" s="201"/>
      <c r="D23" s="201"/>
      <c r="E23" s="201"/>
      <c r="F23" s="169"/>
      <c r="G23" s="201" t="s">
        <v>366</v>
      </c>
      <c r="H23" s="169"/>
      <c r="I23" s="169"/>
      <c r="J23" s="169"/>
      <c r="K23" s="169"/>
    </row>
    <row r="24" spans="1:11" ht="15" customHeight="1" x14ac:dyDescent="0.3">
      <c r="A24" s="201" t="s">
        <v>192</v>
      </c>
      <c r="B24" s="201"/>
      <c r="C24" s="201"/>
      <c r="D24" s="201"/>
      <c r="E24" s="201"/>
      <c r="F24" s="169"/>
      <c r="G24" s="201" t="s">
        <v>459</v>
      </c>
      <c r="H24" s="169"/>
      <c r="I24" s="169"/>
      <c r="J24" s="169"/>
      <c r="K24" s="169"/>
    </row>
    <row r="25" spans="1:11" ht="4.95" customHeight="1" x14ac:dyDescent="0.3">
      <c r="A25" s="201"/>
      <c r="B25" s="201"/>
      <c r="C25" s="201"/>
      <c r="D25" s="201"/>
      <c r="E25" s="201"/>
      <c r="F25" s="169"/>
      <c r="G25" s="201"/>
      <c r="H25" s="169"/>
      <c r="I25" s="169"/>
      <c r="J25" s="169"/>
      <c r="K25" s="169"/>
    </row>
    <row r="26" spans="1:11" ht="15" customHeight="1" x14ac:dyDescent="0.3">
      <c r="A26" s="201" t="s">
        <v>474</v>
      </c>
      <c r="B26" s="201"/>
      <c r="C26" s="201"/>
      <c r="D26" s="201"/>
      <c r="E26" s="201"/>
      <c r="F26" s="169"/>
      <c r="G26" s="201" t="s">
        <v>401</v>
      </c>
      <c r="H26" s="169"/>
      <c r="I26" s="169"/>
      <c r="J26" s="169"/>
      <c r="K26" s="169"/>
    </row>
    <row r="27" spans="1:11" ht="15" customHeight="1" x14ac:dyDescent="0.3">
      <c r="A27" s="201" t="s">
        <v>473</v>
      </c>
      <c r="B27" s="201"/>
      <c r="C27" s="201"/>
      <c r="D27" s="201"/>
      <c r="E27" s="201"/>
      <c r="F27" s="169"/>
      <c r="G27" s="201" t="s">
        <v>454</v>
      </c>
      <c r="H27" s="169"/>
      <c r="I27" s="169"/>
      <c r="J27" s="169"/>
      <c r="K27" s="169"/>
    </row>
    <row r="28" spans="1:11" ht="6" customHeight="1" x14ac:dyDescent="0.3">
      <c r="A28" s="169"/>
      <c r="B28" s="169"/>
      <c r="C28" s="169"/>
      <c r="D28" s="169"/>
      <c r="E28" s="169"/>
      <c r="F28" s="169"/>
      <c r="G28" s="201"/>
      <c r="H28" s="169"/>
      <c r="I28" s="169"/>
      <c r="J28" s="169"/>
      <c r="K28" s="169"/>
    </row>
    <row r="29" spans="1:11" ht="15" customHeight="1" x14ac:dyDescent="0.3">
      <c r="A29" s="169"/>
      <c r="B29" s="169"/>
      <c r="C29" s="169"/>
      <c r="D29" s="169"/>
      <c r="E29" s="169"/>
      <c r="F29" s="169"/>
      <c r="G29" s="201" t="s">
        <v>455</v>
      </c>
      <c r="H29" s="169"/>
      <c r="I29" s="169"/>
      <c r="J29" s="169"/>
      <c r="K29" s="169"/>
    </row>
    <row r="30" spans="1:11" s="97" customFormat="1" ht="18" customHeight="1" x14ac:dyDescent="0.3">
      <c r="A30" s="172"/>
      <c r="B30" s="172"/>
      <c r="C30" s="172"/>
      <c r="D30" s="172"/>
      <c r="E30" s="172"/>
      <c r="F30" s="172"/>
      <c r="G30" s="201" t="s">
        <v>456</v>
      </c>
      <c r="H30" s="169"/>
      <c r="I30" s="169"/>
      <c r="J30" s="169"/>
      <c r="K30" s="169"/>
    </row>
    <row r="31" spans="1:11" ht="6" customHeight="1" x14ac:dyDescent="0.3">
      <c r="A31" s="169"/>
      <c r="B31" s="169"/>
      <c r="C31" s="169"/>
      <c r="D31" s="169"/>
      <c r="E31" s="169"/>
      <c r="F31" s="169"/>
      <c r="G31" s="169"/>
      <c r="H31" s="169"/>
      <c r="I31" s="169"/>
      <c r="J31" s="169"/>
      <c r="K31" s="169"/>
    </row>
    <row r="32" spans="1:11" ht="15" customHeight="1" x14ac:dyDescent="0.3">
      <c r="A32" s="169"/>
      <c r="B32" s="694"/>
      <c r="C32" s="694"/>
      <c r="D32" s="694"/>
      <c r="E32" s="694"/>
      <c r="F32" s="169"/>
      <c r="G32" s="201" t="s">
        <v>484</v>
      </c>
      <c r="H32" s="169"/>
      <c r="I32" s="169"/>
      <c r="J32" s="169"/>
      <c r="K32" s="169"/>
    </row>
    <row r="33" spans="1:11" ht="15" customHeight="1" x14ac:dyDescent="0.3">
      <c r="A33" s="172" t="s">
        <v>197</v>
      </c>
      <c r="B33" s="201"/>
      <c r="C33" s="201"/>
      <c r="D33" s="201"/>
      <c r="E33" s="201"/>
      <c r="F33" s="169"/>
      <c r="G33" s="201" t="s">
        <v>485</v>
      </c>
      <c r="H33" s="169"/>
      <c r="I33" s="169"/>
      <c r="J33" s="169"/>
      <c r="K33" s="169"/>
    </row>
    <row r="34" spans="1:11" ht="6" customHeight="1" x14ac:dyDescent="0.3">
      <c r="A34" s="169"/>
      <c r="B34" s="201"/>
      <c r="C34" s="201"/>
      <c r="D34" s="169"/>
      <c r="E34" s="201"/>
      <c r="F34" s="169"/>
      <c r="G34" s="169"/>
      <c r="H34" s="169"/>
      <c r="I34" s="169"/>
      <c r="J34" s="169"/>
      <c r="K34" s="169"/>
    </row>
    <row r="35" spans="1:11" ht="15" customHeight="1" x14ac:dyDescent="0.3">
      <c r="A35" s="201" t="s">
        <v>478</v>
      </c>
      <c r="B35" s="201"/>
      <c r="C35" s="201"/>
      <c r="D35" s="169"/>
      <c r="E35" s="201"/>
      <c r="F35" s="169"/>
      <c r="G35" s="169"/>
      <c r="H35" s="169"/>
      <c r="I35" s="169"/>
      <c r="J35" s="169"/>
      <c r="K35" s="169"/>
    </row>
    <row r="36" spans="1:11" ht="15" customHeight="1" x14ac:dyDescent="0.3">
      <c r="A36" s="201" t="s">
        <v>483</v>
      </c>
      <c r="B36" s="201"/>
      <c r="C36" s="201"/>
      <c r="D36" s="169"/>
      <c r="E36" s="201"/>
      <c r="F36" s="169"/>
      <c r="G36" s="172" t="s">
        <v>396</v>
      </c>
      <c r="H36" s="169"/>
      <c r="I36" s="169"/>
      <c r="J36" s="169"/>
      <c r="K36" s="169"/>
    </row>
    <row r="37" spans="1:11" ht="6" customHeight="1" x14ac:dyDescent="0.3">
      <c r="A37" s="169"/>
      <c r="B37" s="169"/>
      <c r="C37" s="169"/>
      <c r="D37" s="169"/>
      <c r="E37" s="169"/>
      <c r="F37" s="169"/>
      <c r="G37" s="169"/>
      <c r="H37" s="169"/>
      <c r="I37" s="169"/>
      <c r="J37" s="169"/>
      <c r="K37" s="169"/>
    </row>
    <row r="38" spans="1:11" ht="15" customHeight="1" x14ac:dyDescent="0.3">
      <c r="A38" s="201" t="s">
        <v>476</v>
      </c>
      <c r="B38" s="169"/>
      <c r="C38" s="169"/>
      <c r="D38" s="169"/>
      <c r="E38" s="169"/>
      <c r="F38" s="169"/>
      <c r="G38" s="694" t="s">
        <v>448</v>
      </c>
      <c r="H38" s="169"/>
      <c r="I38" s="169"/>
      <c r="J38" s="169"/>
      <c r="K38" s="169"/>
    </row>
    <row r="39" spans="1:11" ht="15" customHeight="1" x14ac:dyDescent="0.3">
      <c r="A39" s="201" t="s">
        <v>477</v>
      </c>
      <c r="B39" s="169"/>
      <c r="C39" s="169"/>
      <c r="D39" s="169"/>
      <c r="E39" s="169"/>
      <c r="F39" s="169"/>
      <c r="G39" s="201" t="s">
        <v>193</v>
      </c>
      <c r="H39" s="169"/>
      <c r="I39" s="169"/>
      <c r="J39" s="169"/>
      <c r="K39" s="169"/>
    </row>
    <row r="40" spans="1:11" ht="6" customHeight="1" x14ac:dyDescent="0.3">
      <c r="A40" s="169"/>
      <c r="B40" s="201"/>
      <c r="C40" s="201"/>
      <c r="D40" s="169"/>
      <c r="E40" s="201"/>
      <c r="F40" s="169"/>
      <c r="G40" s="201"/>
      <c r="H40" s="169"/>
      <c r="I40" s="169"/>
      <c r="J40" s="169"/>
      <c r="K40" s="169"/>
    </row>
    <row r="41" spans="1:11" ht="15" customHeight="1" x14ac:dyDescent="0.3">
      <c r="A41" s="169" t="s">
        <v>333</v>
      </c>
      <c r="B41" s="201"/>
      <c r="C41" s="201"/>
      <c r="D41" s="169"/>
      <c r="E41" s="201"/>
      <c r="F41" s="169"/>
      <c r="G41" s="201" t="s">
        <v>194</v>
      </c>
      <c r="H41" s="169"/>
      <c r="I41" s="169"/>
      <c r="J41" s="169"/>
      <c r="K41" s="169"/>
    </row>
    <row r="42" spans="1:11" ht="15" customHeight="1" x14ac:dyDescent="0.3">
      <c r="A42" s="169" t="s">
        <v>334</v>
      </c>
      <c r="B42" s="201"/>
      <c r="C42" s="201"/>
      <c r="D42" s="169"/>
      <c r="E42" s="201"/>
      <c r="F42" s="169"/>
      <c r="G42" s="201" t="s">
        <v>195</v>
      </c>
      <c r="H42" s="169"/>
      <c r="I42" s="169"/>
      <c r="J42" s="169"/>
      <c r="K42" s="169"/>
    </row>
    <row r="43" spans="1:11" ht="15" customHeight="1" x14ac:dyDescent="0.3">
      <c r="A43" s="169" t="s">
        <v>463</v>
      </c>
      <c r="B43" s="201"/>
      <c r="C43" s="201"/>
      <c r="D43" s="169"/>
      <c r="E43" s="201"/>
      <c r="F43" s="169"/>
      <c r="G43" s="169"/>
      <c r="H43" s="169"/>
      <c r="I43" s="169"/>
      <c r="J43" s="169"/>
      <c r="K43" s="169"/>
    </row>
    <row r="44" spans="1:11" ht="15" customHeight="1" x14ac:dyDescent="0.3">
      <c r="A44" s="169" t="s">
        <v>199</v>
      </c>
      <c r="B44" s="201"/>
      <c r="C44" s="201"/>
      <c r="D44" s="169"/>
      <c r="E44" s="201"/>
      <c r="F44" s="169"/>
      <c r="G44" s="201" t="s">
        <v>458</v>
      </c>
      <c r="H44" s="169"/>
      <c r="I44" s="169"/>
      <c r="J44" s="169"/>
      <c r="K44" s="169"/>
    </row>
    <row r="45" spans="1:11" ht="15" customHeight="1" x14ac:dyDescent="0.3">
      <c r="A45" s="169" t="s">
        <v>200</v>
      </c>
      <c r="B45" s="201"/>
      <c r="C45" s="201"/>
      <c r="D45" s="169"/>
      <c r="E45" s="201"/>
      <c r="F45" s="169"/>
      <c r="G45" s="201" t="s">
        <v>475</v>
      </c>
      <c r="H45" s="169"/>
      <c r="I45" s="169"/>
      <c r="J45" s="169"/>
      <c r="K45" s="169"/>
    </row>
    <row r="46" spans="1:11" ht="15" customHeight="1" x14ac:dyDescent="0.3">
      <c r="A46" s="169" t="s">
        <v>307</v>
      </c>
      <c r="B46" s="169"/>
      <c r="C46" s="169"/>
      <c r="D46" s="169"/>
      <c r="E46" s="169"/>
      <c r="F46" s="169"/>
      <c r="G46" s="169"/>
      <c r="H46" s="169"/>
      <c r="I46" s="169"/>
      <c r="J46" s="169"/>
      <c r="K46" s="169"/>
    </row>
    <row r="47" spans="1:11" ht="15" customHeight="1" x14ac:dyDescent="0.3">
      <c r="A47" s="169" t="s">
        <v>201</v>
      </c>
      <c r="B47" s="169"/>
      <c r="C47" s="169"/>
      <c r="D47" s="169"/>
      <c r="E47" s="169"/>
      <c r="F47" s="169"/>
      <c r="G47" s="169"/>
      <c r="H47" s="169"/>
      <c r="I47" s="169"/>
      <c r="J47" s="169"/>
      <c r="K47" s="169"/>
    </row>
    <row r="48" spans="1:11" ht="15" customHeight="1" x14ac:dyDescent="0.3">
      <c r="A48" s="201" t="s">
        <v>462</v>
      </c>
      <c r="B48" s="169"/>
      <c r="C48" s="169"/>
      <c r="D48" s="169"/>
      <c r="E48" s="169"/>
      <c r="F48" s="169"/>
      <c r="G48" s="169"/>
      <c r="H48" s="169"/>
      <c r="I48" s="169"/>
      <c r="J48" s="169"/>
      <c r="K48" s="169"/>
    </row>
    <row r="49" spans="1:11" ht="15" customHeight="1" x14ac:dyDescent="0.3">
      <c r="A49" s="169" t="s">
        <v>202</v>
      </c>
      <c r="B49" s="169"/>
      <c r="C49" s="169"/>
      <c r="D49" s="169"/>
      <c r="E49" s="169"/>
      <c r="F49" s="169"/>
      <c r="G49" s="169"/>
      <c r="H49" s="169"/>
      <c r="I49" s="169"/>
      <c r="J49" s="169"/>
      <c r="K49" s="169"/>
    </row>
    <row r="50" spans="1:11" ht="15" customHeight="1" x14ac:dyDescent="0.3">
      <c r="A50" s="169" t="s">
        <v>203</v>
      </c>
      <c r="B50" s="169"/>
      <c r="C50" s="169"/>
      <c r="D50" s="169"/>
      <c r="E50" s="169"/>
      <c r="F50" s="169"/>
      <c r="G50" s="169"/>
      <c r="H50" s="169"/>
      <c r="I50" s="169"/>
      <c r="J50" s="169"/>
      <c r="K50" s="169"/>
    </row>
    <row r="51" spans="1:11" ht="15" customHeight="1" x14ac:dyDescent="0.3">
      <c r="A51" s="169"/>
      <c r="B51" s="169"/>
      <c r="C51" s="169"/>
      <c r="D51" s="169"/>
      <c r="E51" s="169"/>
      <c r="F51" s="169"/>
      <c r="G51" s="169"/>
      <c r="H51" s="169"/>
      <c r="I51" s="169"/>
      <c r="J51" s="169"/>
      <c r="K51" s="169"/>
    </row>
    <row r="52" spans="1:11" x14ac:dyDescent="0.3">
      <c r="A52" s="201"/>
      <c r="B52" s="169"/>
      <c r="C52" s="169"/>
      <c r="D52" s="169"/>
      <c r="E52" s="169"/>
      <c r="F52" s="169"/>
      <c r="H52" s="169"/>
      <c r="I52" s="169"/>
      <c r="J52" s="169"/>
      <c r="K52" s="169"/>
    </row>
    <row r="53" spans="1:11" x14ac:dyDescent="0.3">
      <c r="A53" s="1219" t="s">
        <v>207</v>
      </c>
      <c r="B53" s="1219"/>
      <c r="C53" s="1219"/>
      <c r="D53" s="1219"/>
      <c r="E53" s="1219"/>
      <c r="F53" s="1219"/>
      <c r="G53" s="1219"/>
      <c r="H53" s="1219"/>
      <c r="I53" s="1219"/>
      <c r="J53" s="1219"/>
      <c r="K53" s="1219"/>
    </row>
    <row r="54" spans="1:11" x14ac:dyDescent="0.3">
      <c r="A54" s="1220" t="s">
        <v>166</v>
      </c>
      <c r="B54" s="1221"/>
      <c r="C54" s="1221"/>
      <c r="D54" s="1221"/>
      <c r="E54" s="1221"/>
      <c r="F54" s="1221"/>
      <c r="G54" s="1221"/>
      <c r="H54" s="1221"/>
      <c r="I54" s="1221"/>
      <c r="J54" s="1221"/>
      <c r="K54" s="1221"/>
    </row>
    <row r="55" spans="1:11" x14ac:dyDescent="0.3">
      <c r="A55" s="1220" t="s">
        <v>206</v>
      </c>
      <c r="B55" s="1220"/>
      <c r="C55" s="1220"/>
      <c r="D55" s="1220"/>
      <c r="E55" s="1220"/>
      <c r="F55" s="1220"/>
      <c r="G55" s="1218" t="s">
        <v>261</v>
      </c>
      <c r="H55" s="1218"/>
      <c r="I55" s="169"/>
      <c r="J55" s="169"/>
      <c r="K55" s="169"/>
    </row>
    <row r="56" spans="1:11" x14ac:dyDescent="0.3">
      <c r="A56" s="1222" t="s">
        <v>205</v>
      </c>
      <c r="B56" s="1222"/>
      <c r="C56" s="1222"/>
      <c r="D56" s="1222"/>
      <c r="E56" s="1222"/>
      <c r="F56" s="1222"/>
      <c r="G56" s="1218" t="s">
        <v>262</v>
      </c>
      <c r="H56" s="1218"/>
      <c r="I56" s="173"/>
      <c r="J56" s="169"/>
      <c r="K56" s="169"/>
    </row>
    <row r="57" spans="1:11" x14ac:dyDescent="0.3">
      <c r="A57" s="1215" t="s">
        <v>204</v>
      </c>
      <c r="B57" s="1215"/>
      <c r="C57" s="1215"/>
      <c r="D57" s="1215"/>
      <c r="E57" s="1215"/>
      <c r="F57" s="1215"/>
      <c r="G57" s="1218" t="s">
        <v>457</v>
      </c>
      <c r="H57" s="1218"/>
      <c r="I57" s="652"/>
      <c r="J57" s="652"/>
      <c r="K57" s="652"/>
    </row>
    <row r="72" spans="1:1" x14ac:dyDescent="0.3">
      <c r="A72" s="11"/>
    </row>
    <row r="73" spans="1:1" x14ac:dyDescent="0.3">
      <c r="A73" s="11"/>
    </row>
    <row r="74" spans="1:1" x14ac:dyDescent="0.3">
      <c r="A74" s="11"/>
    </row>
    <row r="75" spans="1:1" x14ac:dyDescent="0.3">
      <c r="A75" s="11"/>
    </row>
    <row r="76" spans="1:1" x14ac:dyDescent="0.3">
      <c r="A76" s="11"/>
    </row>
    <row r="77" spans="1:1" x14ac:dyDescent="0.3">
      <c r="A77" s="11"/>
    </row>
    <row r="78" spans="1:1" x14ac:dyDescent="0.3">
      <c r="A78" s="11"/>
    </row>
    <row r="79" spans="1:1" x14ac:dyDescent="0.3">
      <c r="A79" s="11"/>
    </row>
    <row r="80" spans="1:1" x14ac:dyDescent="0.3">
      <c r="A80" s="11"/>
    </row>
    <row r="81" spans="1:1" x14ac:dyDescent="0.3">
      <c r="A81" s="11"/>
    </row>
    <row r="82" spans="1:1" x14ac:dyDescent="0.3">
      <c r="A82" s="11"/>
    </row>
    <row r="83" spans="1:1" x14ac:dyDescent="0.3">
      <c r="A83" s="11"/>
    </row>
    <row r="84" spans="1:1" x14ac:dyDescent="0.3">
      <c r="A84" s="11"/>
    </row>
    <row r="85" spans="1:1" x14ac:dyDescent="0.3">
      <c r="A85" s="11"/>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6"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election activeCell="B7" sqref="B7"/>
    </sheetView>
  </sheetViews>
  <sheetFormatPr defaultColWidth="8.77734375" defaultRowHeight="13.8" x14ac:dyDescent="0.3"/>
  <cols>
    <col min="1" max="1" width="8.6640625" style="96" customWidth="1"/>
    <col min="2" max="2" width="4.6640625" style="96" customWidth="1"/>
    <col min="3" max="3" width="12.6640625" style="96" customWidth="1"/>
    <col min="4" max="9" width="8.6640625" style="96" customWidth="1"/>
    <col min="10" max="10" width="25.33203125" style="96" customWidth="1"/>
    <col min="11" max="16384" width="8.77734375" style="96"/>
  </cols>
  <sheetData>
    <row r="1" spans="1:10" ht="15" customHeight="1" x14ac:dyDescent="0.3"/>
    <row r="2" spans="1:10" ht="30" customHeight="1" x14ac:dyDescent="0.3">
      <c r="A2" s="1233" t="s">
        <v>208</v>
      </c>
      <c r="B2" s="1233"/>
      <c r="C2" s="1233"/>
      <c r="D2" s="1233"/>
      <c r="E2" s="1233"/>
      <c r="F2" s="1233"/>
      <c r="G2" s="1233"/>
      <c r="H2" s="1233"/>
      <c r="I2" s="1233"/>
      <c r="J2" s="1233"/>
    </row>
    <row r="3" spans="1:10" ht="75" customHeight="1" x14ac:dyDescent="0.3">
      <c r="B3" s="1234" t="s">
        <v>317</v>
      </c>
      <c r="C3" s="1235"/>
      <c r="D3" s="1235"/>
      <c r="E3" s="1235"/>
      <c r="F3" s="1235"/>
      <c r="G3" s="1235"/>
      <c r="H3" s="1235"/>
      <c r="I3" s="1235"/>
      <c r="J3" s="1235"/>
    </row>
    <row r="4" spans="1:10" ht="15" customHeight="1" x14ac:dyDescent="0.3">
      <c r="B4" s="1227" t="s">
        <v>209</v>
      </c>
      <c r="C4" s="1227"/>
      <c r="D4" s="1227"/>
      <c r="E4" s="1227"/>
      <c r="F4" s="1227"/>
      <c r="G4" s="1227"/>
      <c r="H4" s="1227"/>
      <c r="I4" s="1227"/>
      <c r="J4" s="1227"/>
    </row>
    <row r="5" spans="1:10" ht="30" customHeight="1" x14ac:dyDescent="0.3"/>
    <row r="6" spans="1:10" ht="30" customHeight="1" x14ac:dyDescent="0.3">
      <c r="A6" s="1233" t="s">
        <v>210</v>
      </c>
      <c r="B6" s="1233"/>
      <c r="C6" s="1233"/>
      <c r="D6" s="1233"/>
      <c r="E6" s="1233"/>
      <c r="F6" s="1233"/>
      <c r="G6" s="1233"/>
      <c r="H6" s="1233"/>
      <c r="I6" s="1233"/>
      <c r="J6" s="1233"/>
    </row>
    <row r="7" spans="1:10" ht="15" customHeight="1" x14ac:dyDescent="0.3">
      <c r="B7" s="406" t="s">
        <v>508</v>
      </c>
    </row>
    <row r="8" spans="1:10" ht="30" customHeight="1" x14ac:dyDescent="0.3">
      <c r="B8" s="701" t="s">
        <v>168</v>
      </c>
      <c r="C8" s="1231" t="s">
        <v>471</v>
      </c>
      <c r="D8" s="1231"/>
      <c r="E8" s="1231"/>
      <c r="F8" s="1231"/>
      <c r="G8" s="1231"/>
      <c r="H8" s="1231"/>
      <c r="I8" s="1231"/>
      <c r="J8" s="1231"/>
    </row>
    <row r="9" spans="1:10" ht="15" customHeight="1" x14ac:dyDescent="0.3">
      <c r="B9" s="701" t="s">
        <v>160</v>
      </c>
      <c r="C9" s="11" t="s">
        <v>469</v>
      </c>
      <c r="D9" s="696"/>
      <c r="E9" s="696"/>
      <c r="F9" s="696"/>
      <c r="G9" s="696"/>
      <c r="H9" s="696"/>
      <c r="I9" s="696"/>
      <c r="J9" s="696"/>
    </row>
    <row r="10" spans="1:10" ht="15" customHeight="1" x14ac:dyDescent="0.3">
      <c r="B10" s="701" t="s">
        <v>161</v>
      </c>
      <c r="C10" s="11" t="s">
        <v>504</v>
      </c>
      <c r="D10" s="696"/>
      <c r="E10" s="696"/>
      <c r="F10" s="696"/>
      <c r="G10" s="696"/>
      <c r="H10" s="696"/>
      <c r="I10" s="696"/>
      <c r="J10" s="696"/>
    </row>
    <row r="11" spans="1:10" ht="15" customHeight="1" x14ac:dyDescent="0.3">
      <c r="B11" s="701" t="s">
        <v>163</v>
      </c>
      <c r="C11" s="11" t="s">
        <v>470</v>
      </c>
      <c r="D11" s="696"/>
      <c r="E11" s="696"/>
      <c r="F11" s="696"/>
      <c r="G11" s="696"/>
      <c r="H11" s="696"/>
      <c r="I11" s="696"/>
      <c r="J11" s="696"/>
    </row>
    <row r="12" spans="1:10" ht="15" customHeight="1" x14ac:dyDescent="0.3">
      <c r="B12" s="701" t="s">
        <v>164</v>
      </c>
      <c r="C12" s="11" t="s">
        <v>497</v>
      </c>
      <c r="D12" s="100"/>
      <c r="E12" s="100"/>
      <c r="F12" s="100"/>
      <c r="G12" s="100"/>
      <c r="H12" s="100"/>
      <c r="I12" s="100"/>
      <c r="J12" s="100"/>
    </row>
    <row r="13" spans="1:10" ht="15" customHeight="1" x14ac:dyDescent="0.3">
      <c r="B13" s="701" t="s">
        <v>165</v>
      </c>
      <c r="C13" s="199" t="s">
        <v>479</v>
      </c>
      <c r="D13" s="100"/>
      <c r="E13" s="100"/>
      <c r="F13" s="100"/>
      <c r="G13" s="100"/>
      <c r="H13" s="100"/>
      <c r="I13" s="100"/>
      <c r="J13" s="100"/>
    </row>
    <row r="14" spans="1:10" ht="15" customHeight="1" x14ac:dyDescent="0.3">
      <c r="B14" s="701" t="s">
        <v>220</v>
      </c>
      <c r="C14" s="199" t="s">
        <v>480</v>
      </c>
      <c r="D14" s="100"/>
      <c r="E14" s="100"/>
      <c r="F14" s="100"/>
      <c r="G14" s="100"/>
      <c r="H14" s="100"/>
      <c r="I14" s="100"/>
      <c r="J14" s="100"/>
    </row>
    <row r="15" spans="1:10" ht="15" customHeight="1" x14ac:dyDescent="0.3">
      <c r="B15" s="701" t="s">
        <v>221</v>
      </c>
      <c r="C15" s="199" t="s">
        <v>481</v>
      </c>
      <c r="D15" s="100"/>
      <c r="E15" s="100"/>
      <c r="F15" s="100"/>
      <c r="G15" s="100"/>
      <c r="H15" s="100"/>
      <c r="I15" s="100"/>
      <c r="J15" s="100"/>
    </row>
    <row r="16" spans="1:10" ht="15" customHeight="1" x14ac:dyDescent="0.3">
      <c r="B16" s="701" t="s">
        <v>222</v>
      </c>
      <c r="C16" s="199" t="s">
        <v>482</v>
      </c>
      <c r="D16" s="100"/>
      <c r="E16" s="100"/>
      <c r="F16" s="100"/>
      <c r="G16" s="100"/>
      <c r="H16" s="100"/>
      <c r="I16" s="100"/>
      <c r="J16" s="100"/>
    </row>
    <row r="17" spans="2:10" ht="15" customHeight="1" x14ac:dyDescent="0.3">
      <c r="B17" s="701" t="s">
        <v>488</v>
      </c>
      <c r="C17" s="199" t="s">
        <v>489</v>
      </c>
      <c r="D17" s="100"/>
      <c r="E17" s="100"/>
      <c r="F17" s="100"/>
      <c r="G17" s="100"/>
      <c r="H17" s="100"/>
      <c r="I17" s="100"/>
      <c r="J17" s="100"/>
    </row>
    <row r="18" spans="2:10" ht="15" customHeight="1" x14ac:dyDescent="0.3">
      <c r="B18" s="701" t="s">
        <v>498</v>
      </c>
      <c r="C18" s="199" t="s">
        <v>499</v>
      </c>
      <c r="D18" s="100"/>
      <c r="E18" s="100"/>
      <c r="F18" s="100"/>
      <c r="G18" s="100"/>
      <c r="H18" s="100"/>
      <c r="I18" s="100"/>
      <c r="J18" s="100"/>
    </row>
    <row r="19" spans="2:10" ht="15" customHeight="1" x14ac:dyDescent="0.3">
      <c r="B19" s="199"/>
      <c r="C19" s="100"/>
      <c r="D19" s="100"/>
      <c r="E19" s="100"/>
      <c r="F19" s="100"/>
      <c r="G19" s="100"/>
      <c r="H19" s="100"/>
      <c r="I19" s="100"/>
      <c r="J19" s="100"/>
    </row>
    <row r="20" spans="2:10" ht="15" customHeight="1" x14ac:dyDescent="0.3">
      <c r="B20" s="406" t="s">
        <v>465</v>
      </c>
      <c r="C20" s="100"/>
      <c r="D20" s="100"/>
      <c r="E20" s="100"/>
      <c r="F20" s="100"/>
      <c r="G20" s="100"/>
      <c r="H20" s="100"/>
      <c r="I20" s="100"/>
      <c r="J20" s="100"/>
    </row>
    <row r="21" spans="2:10" ht="24.75" customHeight="1" x14ac:dyDescent="0.3">
      <c r="B21" s="99" t="s">
        <v>168</v>
      </c>
      <c r="C21" s="1231" t="s">
        <v>436</v>
      </c>
      <c r="D21" s="1228"/>
      <c r="E21" s="1228"/>
      <c r="F21" s="1228"/>
      <c r="G21" s="1228"/>
      <c r="H21" s="1228"/>
      <c r="I21" s="1228"/>
      <c r="J21" s="1228"/>
    </row>
    <row r="22" spans="2:10" ht="15" customHeight="1" x14ac:dyDescent="0.3">
      <c r="B22" s="98" t="s">
        <v>160</v>
      </c>
      <c r="C22" s="100" t="s">
        <v>432</v>
      </c>
      <c r="D22" s="100"/>
      <c r="E22" s="100"/>
      <c r="F22" s="100"/>
      <c r="G22" s="100"/>
      <c r="H22" s="100"/>
      <c r="I22" s="100"/>
      <c r="J22" s="100"/>
    </row>
    <row r="23" spans="2:10" ht="15" customHeight="1" x14ac:dyDescent="0.3">
      <c r="B23" s="200" t="s">
        <v>161</v>
      </c>
      <c r="C23" s="199" t="s">
        <v>437</v>
      </c>
      <c r="D23" s="100"/>
      <c r="E23" s="100"/>
      <c r="F23" s="100"/>
      <c r="G23" s="100"/>
      <c r="H23" s="100"/>
      <c r="I23" s="100"/>
      <c r="J23" s="100"/>
    </row>
    <row r="24" spans="2:10" ht="15" customHeight="1" x14ac:dyDescent="0.3">
      <c r="B24" s="200" t="s">
        <v>163</v>
      </c>
      <c r="C24" s="199" t="s">
        <v>439</v>
      </c>
      <c r="D24" s="100"/>
      <c r="E24" s="100"/>
      <c r="F24" s="100"/>
      <c r="G24" s="100"/>
      <c r="H24" s="100"/>
      <c r="I24" s="100"/>
      <c r="J24" s="100"/>
    </row>
    <row r="25" spans="2:10" ht="15" customHeight="1" x14ac:dyDescent="0.3">
      <c r="B25" s="200" t="s">
        <v>164</v>
      </c>
      <c r="C25" s="100" t="s">
        <v>433</v>
      </c>
      <c r="D25" s="100"/>
      <c r="E25" s="100"/>
      <c r="F25" s="100"/>
      <c r="G25" s="100"/>
      <c r="H25" s="100"/>
      <c r="I25" s="100"/>
      <c r="J25" s="100"/>
    </row>
    <row r="26" spans="2:10" ht="15" customHeight="1" x14ac:dyDescent="0.3">
      <c r="B26" s="200" t="s">
        <v>165</v>
      </c>
      <c r="C26" s="100" t="s">
        <v>434</v>
      </c>
      <c r="D26" s="100"/>
      <c r="E26" s="100"/>
      <c r="F26" s="100"/>
      <c r="G26" s="100"/>
      <c r="H26" s="100"/>
      <c r="I26" s="100"/>
      <c r="J26" s="100"/>
    </row>
    <row r="27" spans="2:10" ht="15" customHeight="1" x14ac:dyDescent="0.3">
      <c r="B27" s="200" t="s">
        <v>220</v>
      </c>
      <c r="C27" s="100" t="s">
        <v>435</v>
      </c>
      <c r="D27" s="100"/>
      <c r="E27" s="100"/>
      <c r="F27" s="100"/>
      <c r="G27" s="100"/>
      <c r="H27" s="100"/>
      <c r="I27" s="100"/>
      <c r="J27" s="100"/>
    </row>
    <row r="28" spans="2:10" ht="15" customHeight="1" x14ac:dyDescent="0.3">
      <c r="B28" s="200" t="s">
        <v>221</v>
      </c>
      <c r="C28" s="199" t="s">
        <v>438</v>
      </c>
      <c r="D28" s="100"/>
      <c r="E28" s="100"/>
      <c r="F28" s="100"/>
      <c r="G28" s="100"/>
      <c r="H28" s="100"/>
      <c r="I28" s="100"/>
      <c r="J28" s="100"/>
    </row>
    <row r="29" spans="2:10" ht="15" customHeight="1" x14ac:dyDescent="0.3"/>
    <row r="30" spans="2:10" ht="15" customHeight="1" x14ac:dyDescent="0.3">
      <c r="B30" s="406" t="s">
        <v>431</v>
      </c>
    </row>
    <row r="31" spans="2:10" ht="15" customHeight="1" x14ac:dyDescent="0.3">
      <c r="B31" s="98" t="s">
        <v>168</v>
      </c>
      <c r="C31" s="11" t="s">
        <v>405</v>
      </c>
    </row>
    <row r="32" spans="2:10" ht="15" customHeight="1" x14ac:dyDescent="0.3">
      <c r="B32" s="98" t="s">
        <v>160</v>
      </c>
      <c r="C32" s="11" t="s">
        <v>392</v>
      </c>
    </row>
    <row r="33" spans="2:3" ht="15" customHeight="1" x14ac:dyDescent="0.3">
      <c r="B33" s="200" t="s">
        <v>161</v>
      </c>
      <c r="C33" s="11" t="s">
        <v>393</v>
      </c>
    </row>
    <row r="34" spans="2:3" ht="15" customHeight="1" x14ac:dyDescent="0.3">
      <c r="B34" s="200" t="s">
        <v>163</v>
      </c>
      <c r="C34" s="11" t="s">
        <v>394</v>
      </c>
    </row>
    <row r="35" spans="2:3" ht="15" customHeight="1" x14ac:dyDescent="0.3">
      <c r="B35" s="200" t="s">
        <v>164</v>
      </c>
      <c r="C35" s="11" t="s">
        <v>402</v>
      </c>
    </row>
    <row r="36" spans="2:3" ht="15" customHeight="1" x14ac:dyDescent="0.3">
      <c r="B36" s="200" t="s">
        <v>165</v>
      </c>
      <c r="C36" s="11" t="s">
        <v>395</v>
      </c>
    </row>
    <row r="37" spans="2:3" ht="15" customHeight="1" x14ac:dyDescent="0.3"/>
    <row r="38" spans="2:3" ht="15" customHeight="1" x14ac:dyDescent="0.3">
      <c r="B38" s="406" t="s">
        <v>391</v>
      </c>
    </row>
    <row r="39" spans="2:3" ht="15" customHeight="1" x14ac:dyDescent="0.3">
      <c r="B39" s="98" t="s">
        <v>168</v>
      </c>
      <c r="C39" s="11" t="s">
        <v>332</v>
      </c>
    </row>
    <row r="40" spans="2:3" ht="15" customHeight="1" x14ac:dyDescent="0.3">
      <c r="B40" s="98" t="s">
        <v>160</v>
      </c>
      <c r="C40" s="11" t="s">
        <v>363</v>
      </c>
    </row>
    <row r="41" spans="2:3" ht="15" customHeight="1" x14ac:dyDescent="0.3">
      <c r="B41" s="200" t="s">
        <v>161</v>
      </c>
      <c r="C41" s="11" t="s">
        <v>331</v>
      </c>
    </row>
    <row r="42" spans="2:3" ht="15" customHeight="1" x14ac:dyDescent="0.3">
      <c r="B42" s="200" t="s">
        <v>163</v>
      </c>
      <c r="C42" s="11" t="s">
        <v>318</v>
      </c>
    </row>
    <row r="43" spans="2:3" ht="15" customHeight="1" x14ac:dyDescent="0.3">
      <c r="B43" s="200" t="s">
        <v>164</v>
      </c>
      <c r="C43" s="11" t="s">
        <v>319</v>
      </c>
    </row>
    <row r="44" spans="2:3" ht="15" customHeight="1" x14ac:dyDescent="0.3">
      <c r="B44" s="200" t="s">
        <v>165</v>
      </c>
      <c r="C44" s="11" t="s">
        <v>324</v>
      </c>
    </row>
    <row r="45" spans="2:3" ht="15" customHeight="1" x14ac:dyDescent="0.3">
      <c r="B45" s="462"/>
      <c r="C45" s="11"/>
    </row>
    <row r="46" spans="2:3" ht="15" customHeight="1" x14ac:dyDescent="0.3">
      <c r="B46" s="406" t="s">
        <v>320</v>
      </c>
    </row>
    <row r="47" spans="2:3" ht="15" customHeight="1" x14ac:dyDescent="0.3">
      <c r="B47" s="98" t="s">
        <v>168</v>
      </c>
      <c r="C47" s="11" t="s">
        <v>299</v>
      </c>
    </row>
    <row r="48" spans="2:3" ht="15" customHeight="1" x14ac:dyDescent="0.3">
      <c r="B48" s="98" t="s">
        <v>160</v>
      </c>
      <c r="C48" s="11" t="s">
        <v>316</v>
      </c>
    </row>
    <row r="49" spans="2:10" ht="12.75" customHeight="1" x14ac:dyDescent="0.3">
      <c r="B49" s="200" t="s">
        <v>161</v>
      </c>
      <c r="C49" s="11" t="s">
        <v>309</v>
      </c>
      <c r="D49" s="11"/>
      <c r="E49" s="11"/>
      <c r="F49" s="11"/>
      <c r="G49" s="11"/>
      <c r="H49" s="11"/>
      <c r="I49" s="11"/>
      <c r="J49" s="11"/>
    </row>
    <row r="50" spans="2:10" ht="15" customHeight="1" x14ac:dyDescent="0.3">
      <c r="B50" s="200" t="s">
        <v>163</v>
      </c>
      <c r="C50" s="11" t="s">
        <v>308</v>
      </c>
    </row>
    <row r="51" spans="2:10" ht="15" customHeight="1" x14ac:dyDescent="0.3">
      <c r="B51" s="200" t="s">
        <v>164</v>
      </c>
      <c r="C51" s="11" t="s">
        <v>306</v>
      </c>
    </row>
    <row r="52" spans="2:10" ht="15" customHeight="1" x14ac:dyDescent="0.3">
      <c r="B52" s="200" t="s">
        <v>165</v>
      </c>
      <c r="C52" s="11" t="s">
        <v>314</v>
      </c>
    </row>
    <row r="53" spans="2:10" ht="15" customHeight="1" x14ac:dyDescent="0.3">
      <c r="B53" s="462" t="s">
        <v>220</v>
      </c>
      <c r="C53" s="11" t="s">
        <v>313</v>
      </c>
    </row>
    <row r="54" spans="2:10" ht="15" customHeight="1" x14ac:dyDescent="0.3"/>
    <row r="55" spans="2:10" ht="15" customHeight="1" x14ac:dyDescent="0.3">
      <c r="B55" s="406" t="s">
        <v>378</v>
      </c>
    </row>
    <row r="56" spans="2:10" ht="15" customHeight="1" x14ac:dyDescent="0.3">
      <c r="B56" s="98" t="s">
        <v>168</v>
      </c>
      <c r="C56" s="11" t="s">
        <v>286</v>
      </c>
    </row>
    <row r="57" spans="2:10" ht="15" customHeight="1" x14ac:dyDescent="0.3">
      <c r="B57" s="98" t="s">
        <v>160</v>
      </c>
      <c r="C57" s="11" t="s">
        <v>287</v>
      </c>
    </row>
    <row r="58" spans="2:10" ht="15" customHeight="1" x14ac:dyDescent="0.3">
      <c r="B58" s="200" t="s">
        <v>161</v>
      </c>
      <c r="C58" s="11" t="s">
        <v>289</v>
      </c>
    </row>
    <row r="59" spans="2:10" ht="15" customHeight="1" x14ac:dyDescent="0.3">
      <c r="B59" s="200" t="s">
        <v>163</v>
      </c>
      <c r="C59" s="11" t="s">
        <v>290</v>
      </c>
    </row>
    <row r="60" spans="2:10" ht="15" customHeight="1" x14ac:dyDescent="0.3">
      <c r="B60" s="200" t="s">
        <v>164</v>
      </c>
      <c r="C60" s="11" t="s">
        <v>288</v>
      </c>
    </row>
    <row r="61" spans="2:10" ht="15" customHeight="1" x14ac:dyDescent="0.3"/>
    <row r="62" spans="2:10" ht="15" customHeight="1" x14ac:dyDescent="0.3">
      <c r="B62" s="1236" t="s">
        <v>280</v>
      </c>
      <c r="C62" s="1226"/>
      <c r="D62" s="1226"/>
      <c r="E62" s="1226"/>
      <c r="F62" s="1226"/>
      <c r="G62" s="1226"/>
      <c r="H62" s="1226"/>
      <c r="I62" s="1226"/>
      <c r="J62" s="1226"/>
    </row>
    <row r="63" spans="2:10" ht="15" customHeight="1" x14ac:dyDescent="0.3">
      <c r="B63" s="98" t="s">
        <v>168</v>
      </c>
      <c r="C63" s="1228" t="s">
        <v>264</v>
      </c>
      <c r="D63" s="1227"/>
      <c r="E63" s="1227"/>
      <c r="F63" s="1227"/>
      <c r="G63" s="1227"/>
      <c r="H63" s="1227"/>
      <c r="I63" s="1227"/>
      <c r="J63" s="1227"/>
    </row>
    <row r="64" spans="2:10" ht="15" customHeight="1" x14ac:dyDescent="0.3">
      <c r="B64" s="98" t="s">
        <v>160</v>
      </c>
      <c r="C64" s="1228" t="s">
        <v>263</v>
      </c>
      <c r="D64" s="1227"/>
      <c r="E64" s="1227"/>
      <c r="F64" s="1227"/>
      <c r="G64" s="1227"/>
      <c r="H64" s="1227"/>
      <c r="I64" s="1227"/>
      <c r="J64" s="1227"/>
    </row>
    <row r="65" spans="2:10" ht="15" customHeight="1" x14ac:dyDescent="0.3">
      <c r="B65" s="200" t="s">
        <v>161</v>
      </c>
      <c r="C65" s="1228" t="s">
        <v>266</v>
      </c>
      <c r="D65" s="1227"/>
      <c r="E65" s="1227"/>
      <c r="F65" s="1227"/>
      <c r="G65" s="1227"/>
      <c r="H65" s="1227"/>
      <c r="I65" s="1227"/>
      <c r="J65" s="1227"/>
    </row>
    <row r="66" spans="2:10" ht="15" customHeight="1" x14ac:dyDescent="0.3">
      <c r="B66" s="200" t="s">
        <v>163</v>
      </c>
      <c r="C66" s="199" t="s">
        <v>267</v>
      </c>
      <c r="D66" s="100"/>
      <c r="E66" s="100"/>
      <c r="F66" s="100"/>
      <c r="G66" s="100"/>
      <c r="H66" s="100"/>
      <c r="I66" s="100"/>
      <c r="J66" s="100"/>
    </row>
    <row r="67" spans="2:10" ht="15" customHeight="1" x14ac:dyDescent="0.3">
      <c r="B67" s="200" t="s">
        <v>164</v>
      </c>
      <c r="C67" s="1228" t="s">
        <v>265</v>
      </c>
      <c r="D67" s="1227"/>
      <c r="E67" s="1227"/>
      <c r="F67" s="1227"/>
      <c r="G67" s="1227"/>
      <c r="H67" s="1227"/>
      <c r="I67" s="1227"/>
      <c r="J67" s="1227"/>
    </row>
    <row r="68" spans="2:10" ht="15" customHeight="1" x14ac:dyDescent="0.3"/>
    <row r="69" spans="2:10" ht="15" customHeight="1" x14ac:dyDescent="0.3">
      <c r="B69" s="1236" t="s">
        <v>279</v>
      </c>
      <c r="C69" s="1226"/>
      <c r="D69" s="1226"/>
      <c r="E69" s="1226"/>
      <c r="F69" s="1226"/>
      <c r="G69" s="1226"/>
      <c r="H69" s="1226"/>
      <c r="I69" s="1226"/>
      <c r="J69" s="1226"/>
    </row>
    <row r="70" spans="2:10" ht="15" customHeight="1" x14ac:dyDescent="0.3">
      <c r="B70" s="98" t="s">
        <v>168</v>
      </c>
      <c r="C70" s="1227" t="s">
        <v>211</v>
      </c>
      <c r="D70" s="1227"/>
      <c r="E70" s="1227"/>
      <c r="F70" s="1227"/>
      <c r="G70" s="1227"/>
      <c r="H70" s="1227"/>
      <c r="I70" s="1227"/>
      <c r="J70" s="1227"/>
    </row>
    <row r="71" spans="2:10" ht="15" customHeight="1" x14ac:dyDescent="0.3">
      <c r="B71" s="98" t="s">
        <v>160</v>
      </c>
      <c r="C71" s="1227" t="s">
        <v>217</v>
      </c>
      <c r="D71" s="1227"/>
      <c r="E71" s="1227"/>
      <c r="F71" s="1227"/>
      <c r="G71" s="1227"/>
      <c r="H71" s="1227"/>
      <c r="I71" s="1227"/>
      <c r="J71" s="1227"/>
    </row>
    <row r="72" spans="2:10" ht="15" customHeight="1" x14ac:dyDescent="0.3">
      <c r="B72" s="98" t="s">
        <v>161</v>
      </c>
      <c r="C72" s="1227" t="s">
        <v>212</v>
      </c>
      <c r="D72" s="1227"/>
      <c r="E72" s="1227"/>
      <c r="F72" s="1227"/>
      <c r="G72" s="1227"/>
      <c r="H72" s="1227"/>
      <c r="I72" s="1227"/>
      <c r="J72" s="1227"/>
    </row>
    <row r="73" spans="2:10" ht="15" customHeight="1" x14ac:dyDescent="0.3">
      <c r="B73" s="98" t="s">
        <v>163</v>
      </c>
      <c r="C73" s="1227" t="s">
        <v>213</v>
      </c>
      <c r="D73" s="1227"/>
      <c r="E73" s="1227"/>
      <c r="F73" s="1227"/>
      <c r="G73" s="1227"/>
      <c r="H73" s="1227"/>
      <c r="I73" s="1227"/>
      <c r="J73" s="1227"/>
    </row>
    <row r="74" spans="2:10" ht="15" customHeight="1" x14ac:dyDescent="0.3">
      <c r="B74" s="98" t="s">
        <v>164</v>
      </c>
      <c r="C74" s="1227" t="s">
        <v>214</v>
      </c>
      <c r="D74" s="1227"/>
      <c r="E74" s="1227"/>
      <c r="F74" s="1227"/>
      <c r="G74" s="1227"/>
      <c r="H74" s="1227"/>
      <c r="I74" s="1227"/>
      <c r="J74" s="1227"/>
    </row>
    <row r="75" spans="2:10" ht="15" customHeight="1" x14ac:dyDescent="0.3">
      <c r="B75" s="98" t="s">
        <v>165</v>
      </c>
      <c r="C75" s="1227" t="s">
        <v>215</v>
      </c>
      <c r="D75" s="1227"/>
      <c r="E75" s="1227"/>
      <c r="F75" s="1227"/>
      <c r="G75" s="1227"/>
      <c r="H75" s="1227"/>
      <c r="I75" s="1227"/>
      <c r="J75" s="1227"/>
    </row>
    <row r="76" spans="2:10" ht="15" customHeight="1" x14ac:dyDescent="0.3">
      <c r="B76" s="98" t="s">
        <v>220</v>
      </c>
      <c r="C76" s="1227" t="s">
        <v>216</v>
      </c>
      <c r="D76" s="1227"/>
      <c r="E76" s="1227"/>
      <c r="F76" s="1227"/>
      <c r="G76" s="1227"/>
      <c r="H76" s="1227"/>
      <c r="I76" s="1227"/>
      <c r="J76" s="1227"/>
    </row>
    <row r="77" spans="2:10" ht="15" customHeight="1" x14ac:dyDescent="0.3">
      <c r="B77" s="98" t="s">
        <v>221</v>
      </c>
      <c r="C77" s="1227" t="s">
        <v>218</v>
      </c>
      <c r="D77" s="1227"/>
      <c r="E77" s="1227"/>
      <c r="F77" s="1227"/>
      <c r="G77" s="1227"/>
      <c r="H77" s="1227"/>
      <c r="I77" s="1227"/>
      <c r="J77" s="1227"/>
    </row>
    <row r="78" spans="2:10" ht="30" customHeight="1" x14ac:dyDescent="0.3">
      <c r="B78" s="99" t="s">
        <v>222</v>
      </c>
      <c r="C78" s="1235" t="s">
        <v>219</v>
      </c>
      <c r="D78" s="1235"/>
      <c r="E78" s="1235"/>
      <c r="F78" s="1235"/>
      <c r="G78" s="1235"/>
      <c r="H78" s="1235"/>
      <c r="I78" s="1235"/>
      <c r="J78" s="1235"/>
    </row>
    <row r="79" spans="2:10" ht="15" customHeight="1" x14ac:dyDescent="0.3"/>
    <row r="80" spans="2:10" ht="15" customHeight="1" x14ac:dyDescent="0.3">
      <c r="B80" s="1226" t="s">
        <v>223</v>
      </c>
      <c r="C80" s="1226"/>
      <c r="D80" s="1226"/>
      <c r="E80" s="1226"/>
      <c r="F80" s="1226"/>
      <c r="G80" s="1226"/>
      <c r="H80" s="1226"/>
      <c r="I80" s="1226"/>
      <c r="J80" s="1226"/>
    </row>
    <row r="81" spans="1:10" ht="15" customHeight="1" x14ac:dyDescent="0.3">
      <c r="B81" s="98" t="s">
        <v>168</v>
      </c>
      <c r="C81" s="1228" t="s">
        <v>398</v>
      </c>
      <c r="D81" s="1227"/>
      <c r="E81" s="1227"/>
      <c r="F81" s="1227"/>
      <c r="G81" s="1227"/>
      <c r="H81" s="1227"/>
      <c r="I81" s="1227"/>
      <c r="J81" s="1227"/>
    </row>
    <row r="82" spans="1:10" x14ac:dyDescent="0.3">
      <c r="B82" s="99" t="s">
        <v>160</v>
      </c>
      <c r="C82" s="1234" t="s">
        <v>444</v>
      </c>
      <c r="D82" s="1235"/>
      <c r="E82" s="1235"/>
      <c r="F82" s="1235"/>
      <c r="G82" s="1235"/>
      <c r="H82" s="1235"/>
      <c r="I82" s="1235"/>
      <c r="J82" s="1235"/>
    </row>
    <row r="83" spans="1:10" ht="27" customHeight="1" x14ac:dyDescent="0.3">
      <c r="B83" s="483" t="s">
        <v>161</v>
      </c>
      <c r="C83" s="1238" t="s">
        <v>329</v>
      </c>
      <c r="D83" s="1238"/>
      <c r="E83" s="1238"/>
      <c r="F83" s="1238"/>
      <c r="G83" s="1238"/>
      <c r="H83" s="1238"/>
      <c r="I83" s="1238"/>
      <c r="J83" s="1238"/>
    </row>
    <row r="84" spans="1:10" ht="24.75" customHeight="1" x14ac:dyDescent="0.3">
      <c r="B84" s="483" t="s">
        <v>163</v>
      </c>
      <c r="C84" s="1239" t="s">
        <v>370</v>
      </c>
      <c r="D84" s="1239"/>
      <c r="E84" s="1239"/>
      <c r="F84" s="1239"/>
      <c r="G84" s="1239"/>
      <c r="H84" s="1239"/>
      <c r="I84" s="1239"/>
      <c r="J84" s="1239"/>
    </row>
    <row r="85" spans="1:10" ht="15" customHeight="1" x14ac:dyDescent="0.3">
      <c r="B85" s="484"/>
    </row>
    <row r="86" spans="1:10" ht="15" customHeight="1" x14ac:dyDescent="0.3">
      <c r="B86" s="484"/>
    </row>
    <row r="87" spans="1:10" ht="29.25" customHeight="1" x14ac:dyDescent="0.3">
      <c r="A87" s="1233" t="s">
        <v>252</v>
      </c>
      <c r="B87" s="1233"/>
      <c r="C87" s="1233"/>
      <c r="D87" s="1233"/>
      <c r="E87" s="1233"/>
      <c r="F87" s="1233"/>
      <c r="G87" s="1233"/>
      <c r="H87" s="1233"/>
      <c r="I87" s="1233"/>
      <c r="J87" s="1233"/>
    </row>
    <row r="88" spans="1:10" ht="15" customHeight="1" x14ac:dyDescent="0.3">
      <c r="A88" s="697"/>
      <c r="B88" s="764" t="s">
        <v>509</v>
      </c>
      <c r="C88" s="764"/>
      <c r="D88" s="764"/>
      <c r="E88" s="764"/>
      <c r="F88" s="697"/>
      <c r="G88" s="697"/>
      <c r="H88" s="697"/>
      <c r="I88" s="697"/>
      <c r="J88" s="697"/>
    </row>
    <row r="89" spans="1:10" ht="15" customHeight="1" x14ac:dyDescent="0.3">
      <c r="B89" s="11" t="s">
        <v>486</v>
      </c>
    </row>
    <row r="90" spans="1:10" ht="15" customHeight="1" x14ac:dyDescent="0.3">
      <c r="B90" s="11" t="s">
        <v>442</v>
      </c>
    </row>
    <row r="91" spans="1:10" ht="15" customHeight="1" x14ac:dyDescent="0.3">
      <c r="B91" s="11" t="s">
        <v>487</v>
      </c>
    </row>
    <row r="92" spans="1:10" ht="15" customHeight="1" x14ac:dyDescent="0.3"/>
    <row r="93" spans="1:10" ht="15" customHeight="1" x14ac:dyDescent="0.3">
      <c r="B93" s="702" t="s">
        <v>440</v>
      </c>
    </row>
    <row r="94" spans="1:10" ht="15" customHeight="1" x14ac:dyDescent="0.3">
      <c r="B94" s="11" t="s">
        <v>441</v>
      </c>
    </row>
    <row r="95" spans="1:10" ht="15" customHeight="1" x14ac:dyDescent="0.3">
      <c r="B95" s="11" t="s">
        <v>442</v>
      </c>
    </row>
    <row r="96" spans="1:10" ht="15" customHeight="1" x14ac:dyDescent="0.3">
      <c r="B96" s="11" t="s">
        <v>443</v>
      </c>
    </row>
    <row r="97" spans="2:2" ht="15" customHeight="1" x14ac:dyDescent="0.3"/>
    <row r="98" spans="2:2" ht="15" customHeight="1" x14ac:dyDescent="0.3">
      <c r="B98" s="406" t="s">
        <v>403</v>
      </c>
    </row>
    <row r="99" spans="2:2" ht="15" customHeight="1" x14ac:dyDescent="0.3">
      <c r="B99" s="11" t="s">
        <v>404</v>
      </c>
    </row>
    <row r="100" spans="2:2" ht="15" customHeight="1" x14ac:dyDescent="0.3">
      <c r="B100" s="11" t="s">
        <v>406</v>
      </c>
    </row>
    <row r="101" spans="2:2" ht="15" customHeight="1" x14ac:dyDescent="0.3"/>
    <row r="102" spans="2:2" ht="15" customHeight="1" x14ac:dyDescent="0.3">
      <c r="B102" s="406" t="s">
        <v>369</v>
      </c>
    </row>
    <row r="103" spans="2:2" ht="15" customHeight="1" x14ac:dyDescent="0.3">
      <c r="B103" s="11" t="s">
        <v>368</v>
      </c>
    </row>
    <row r="104" spans="2:2" ht="15" customHeight="1" x14ac:dyDescent="0.3">
      <c r="B104" s="11" t="s">
        <v>330</v>
      </c>
    </row>
    <row r="105" spans="2:2" ht="15" customHeight="1" x14ac:dyDescent="0.3"/>
    <row r="106" spans="2:2" ht="15" customHeight="1" x14ac:dyDescent="0.3">
      <c r="B106" s="406" t="s">
        <v>321</v>
      </c>
    </row>
    <row r="107" spans="2:2" ht="15" customHeight="1" x14ac:dyDescent="0.3">
      <c r="B107" s="11" t="s">
        <v>323</v>
      </c>
    </row>
    <row r="108" spans="2:2" ht="15" customHeight="1" x14ac:dyDescent="0.3">
      <c r="B108" s="11" t="s">
        <v>322</v>
      </c>
    </row>
    <row r="109" spans="2:2" ht="15" customHeight="1" x14ac:dyDescent="0.3"/>
    <row r="110" spans="2:2" ht="15" customHeight="1" x14ac:dyDescent="0.3">
      <c r="B110" s="406" t="s">
        <v>293</v>
      </c>
    </row>
    <row r="111" spans="2:2" ht="15" customHeight="1" x14ac:dyDescent="0.3">
      <c r="B111" s="11" t="s">
        <v>292</v>
      </c>
    </row>
    <row r="112" spans="2:2" ht="15" customHeight="1" x14ac:dyDescent="0.3">
      <c r="B112" s="11" t="s">
        <v>294</v>
      </c>
    </row>
    <row r="113" spans="2:10" ht="15" customHeight="1" x14ac:dyDescent="0.3"/>
    <row r="114" spans="2:10" ht="15" customHeight="1" x14ac:dyDescent="0.3">
      <c r="B114" s="406" t="s">
        <v>283</v>
      </c>
    </row>
    <row r="115" spans="2:10" ht="15" customHeight="1" x14ac:dyDescent="0.3">
      <c r="B115" s="11" t="s">
        <v>291</v>
      </c>
    </row>
    <row r="116" spans="2:10" ht="15" customHeight="1" x14ac:dyDescent="0.3">
      <c r="B116" s="11" t="s">
        <v>295</v>
      </c>
    </row>
    <row r="117" spans="2:10" ht="15" customHeight="1" x14ac:dyDescent="0.3"/>
    <row r="118" spans="2:10" ht="15" customHeight="1" x14ac:dyDescent="0.3">
      <c r="B118" s="1225" t="s">
        <v>281</v>
      </c>
      <c r="C118" s="1226"/>
      <c r="D118" s="1226"/>
      <c r="E118" s="1226"/>
      <c r="F118" s="1226"/>
      <c r="G118" s="1226"/>
      <c r="H118" s="1226"/>
      <c r="I118" s="1226"/>
      <c r="J118" s="1226"/>
    </row>
    <row r="119" spans="2:10" ht="15" customHeight="1" x14ac:dyDescent="0.3">
      <c r="B119" s="1227" t="s">
        <v>253</v>
      </c>
      <c r="C119" s="1227"/>
      <c r="D119" s="1227"/>
      <c r="E119" s="1227"/>
      <c r="F119" s="1227"/>
      <c r="G119" s="1227"/>
      <c r="H119" s="1227"/>
      <c r="I119" s="1227"/>
      <c r="J119" s="1227"/>
    </row>
    <row r="120" spans="2:10" ht="15" customHeight="1" x14ac:dyDescent="0.3">
      <c r="B120" s="1228" t="s">
        <v>282</v>
      </c>
      <c r="C120" s="1227"/>
      <c r="D120" s="1227"/>
      <c r="E120" s="1227"/>
      <c r="F120" s="1227"/>
      <c r="G120" s="1227"/>
      <c r="H120" s="1227"/>
      <c r="I120" s="1227"/>
      <c r="J120" s="1227"/>
    </row>
    <row r="121" spans="2:10" ht="15" customHeight="1" x14ac:dyDescent="0.3"/>
    <row r="122" spans="2:10" ht="15" customHeight="1" x14ac:dyDescent="0.3">
      <c r="B122" s="1237" t="s">
        <v>225</v>
      </c>
      <c r="C122" s="1226"/>
      <c r="D122" s="1226"/>
      <c r="E122" s="1226"/>
      <c r="F122" s="1226"/>
      <c r="G122" s="1226"/>
      <c r="H122" s="1226"/>
      <c r="I122" s="1226"/>
      <c r="J122" s="1226"/>
    </row>
    <row r="123" spans="2:10" ht="15" customHeight="1" x14ac:dyDescent="0.3">
      <c r="B123" s="1228" t="s">
        <v>258</v>
      </c>
      <c r="C123" s="1227"/>
      <c r="D123" s="1227"/>
      <c r="E123" s="1227"/>
      <c r="F123" s="1227"/>
      <c r="G123" s="1227"/>
      <c r="H123" s="1227"/>
      <c r="I123" s="1227"/>
      <c r="J123" s="1227"/>
    </row>
    <row r="124" spans="2:10" ht="15" customHeight="1" x14ac:dyDescent="0.3">
      <c r="B124" s="1227" t="s">
        <v>254</v>
      </c>
      <c r="C124" s="1227"/>
      <c r="D124" s="1227"/>
      <c r="E124" s="1227"/>
      <c r="F124" s="1227"/>
      <c r="G124" s="1227"/>
      <c r="H124" s="1227"/>
      <c r="I124" s="1227"/>
      <c r="J124" s="1227"/>
    </row>
    <row r="125" spans="2:10" ht="15" customHeight="1" x14ac:dyDescent="0.3"/>
    <row r="126" spans="2:10" ht="15" customHeight="1" x14ac:dyDescent="0.3">
      <c r="B126" s="1229" t="s">
        <v>234</v>
      </c>
      <c r="C126" s="1229"/>
      <c r="D126" s="1229"/>
      <c r="E126" s="1230">
        <v>40354</v>
      </c>
      <c r="F126" s="1230"/>
      <c r="G126" s="1227"/>
      <c r="H126" s="1227"/>
      <c r="I126" s="1227"/>
      <c r="J126" s="1227"/>
    </row>
    <row r="127" spans="2:10" ht="15" customHeight="1" x14ac:dyDescent="0.3">
      <c r="B127" s="1227" t="s">
        <v>224</v>
      </c>
      <c r="C127" s="1227"/>
      <c r="D127" s="1227"/>
      <c r="E127" s="1227"/>
      <c r="F127" s="1227"/>
      <c r="G127" s="1227"/>
      <c r="H127" s="1227"/>
      <c r="I127" s="1227"/>
      <c r="J127" s="1227"/>
    </row>
    <row r="128" spans="2:10" ht="15" customHeight="1" x14ac:dyDescent="0.3">
      <c r="B128" s="1227" t="s">
        <v>250</v>
      </c>
      <c r="C128" s="1227"/>
      <c r="D128" s="1227"/>
      <c r="E128" s="1227"/>
      <c r="F128" s="1227"/>
      <c r="G128" s="1227"/>
      <c r="H128" s="1227"/>
      <c r="I128" s="1227"/>
      <c r="J128" s="1227"/>
    </row>
    <row r="129" spans="2:10" ht="15" customHeight="1" x14ac:dyDescent="0.3"/>
    <row r="130" spans="2:10" ht="15" customHeight="1" x14ac:dyDescent="0.3">
      <c r="B130" s="1229" t="s">
        <v>235</v>
      </c>
      <c r="C130" s="1229"/>
      <c r="D130" s="1229"/>
      <c r="E130" s="1230">
        <v>40268</v>
      </c>
      <c r="F130" s="1230"/>
      <c r="G130" s="1227"/>
      <c r="H130" s="1227"/>
      <c r="I130" s="1227"/>
      <c r="J130" s="1227"/>
    </row>
    <row r="131" spans="2:10" ht="15" customHeight="1" x14ac:dyDescent="0.3">
      <c r="B131" s="1229" t="s">
        <v>232</v>
      </c>
      <c r="C131" s="1229"/>
      <c r="D131" s="1229"/>
      <c r="E131" s="1230">
        <v>40256</v>
      </c>
      <c r="F131" s="1230"/>
      <c r="G131" s="1227" t="s">
        <v>251</v>
      </c>
      <c r="H131" s="1227"/>
      <c r="I131" s="1227"/>
      <c r="J131" s="1227"/>
    </row>
    <row r="132" spans="2:10" ht="15" customHeight="1" x14ac:dyDescent="0.3">
      <c r="B132" s="1229" t="s">
        <v>236</v>
      </c>
      <c r="C132" s="1229"/>
      <c r="D132" s="1229"/>
      <c r="E132" s="1230">
        <v>40218</v>
      </c>
      <c r="F132" s="1230"/>
      <c r="G132" s="1227" t="s">
        <v>243</v>
      </c>
      <c r="H132" s="1227"/>
      <c r="I132" s="1227"/>
      <c r="J132" s="1227"/>
    </row>
    <row r="133" spans="2:10" ht="15" customHeight="1" x14ac:dyDescent="0.3">
      <c r="B133" s="1229" t="s">
        <v>230</v>
      </c>
      <c r="C133" s="1229"/>
      <c r="D133" s="1229"/>
      <c r="E133" s="1230">
        <v>40107</v>
      </c>
      <c r="F133" s="1230"/>
      <c r="G133" s="1227"/>
      <c r="H133" s="1227"/>
      <c r="I133" s="1227"/>
      <c r="J133" s="1227"/>
    </row>
    <row r="134" spans="2:10" ht="15" customHeight="1" x14ac:dyDescent="0.3">
      <c r="B134" s="1229" t="s">
        <v>237</v>
      </c>
      <c r="C134" s="1229"/>
      <c r="D134" s="1229"/>
      <c r="E134" s="1230">
        <v>40092</v>
      </c>
      <c r="F134" s="1230"/>
      <c r="G134" s="1227" t="s">
        <v>242</v>
      </c>
      <c r="H134" s="1227"/>
      <c r="I134" s="1227"/>
      <c r="J134" s="1227"/>
    </row>
    <row r="135" spans="2:10" ht="15" customHeight="1" x14ac:dyDescent="0.3">
      <c r="B135" s="1227" t="s">
        <v>224</v>
      </c>
      <c r="C135" s="1227"/>
      <c r="D135" s="1227"/>
      <c r="E135" s="1227"/>
      <c r="F135" s="1227"/>
      <c r="G135" s="1227"/>
      <c r="H135" s="1227"/>
      <c r="I135" s="1227"/>
      <c r="J135" s="1227"/>
    </row>
    <row r="136" spans="2:10" ht="15" customHeight="1" x14ac:dyDescent="0.3">
      <c r="B136" s="101"/>
      <c r="C136" s="101"/>
      <c r="D136" s="101"/>
      <c r="E136" s="102"/>
      <c r="F136" s="102"/>
      <c r="G136" s="100"/>
      <c r="H136" s="100"/>
      <c r="I136" s="100"/>
      <c r="J136" s="100"/>
    </row>
    <row r="137" spans="2:10" ht="15" customHeight="1" x14ac:dyDescent="0.3">
      <c r="B137" s="1229" t="s">
        <v>231</v>
      </c>
      <c r="C137" s="1229"/>
      <c r="D137" s="1229"/>
      <c r="E137" s="1230"/>
      <c r="F137" s="1230"/>
      <c r="G137" s="1227"/>
      <c r="H137" s="1227"/>
      <c r="I137" s="1227"/>
      <c r="J137" s="1227"/>
    </row>
    <row r="138" spans="2:10" ht="15" customHeight="1" x14ac:dyDescent="0.3">
      <c r="B138" s="1227" t="s">
        <v>238</v>
      </c>
      <c r="C138" s="1227"/>
      <c r="D138" s="1227"/>
      <c r="E138" s="1227"/>
      <c r="F138" s="1227"/>
      <c r="G138" s="1227"/>
      <c r="H138" s="1227"/>
      <c r="I138" s="1227"/>
      <c r="J138" s="1227"/>
    </row>
    <row r="139" spans="2:10" ht="45" customHeight="1" x14ac:dyDescent="0.3">
      <c r="B139" s="1223" t="s">
        <v>256</v>
      </c>
      <c r="C139" s="1224"/>
      <c r="D139" s="1224"/>
      <c r="E139" s="1224"/>
      <c r="F139" s="1224"/>
      <c r="G139" s="1224"/>
      <c r="H139" s="1224"/>
      <c r="I139" s="1224"/>
      <c r="J139" s="1224"/>
    </row>
    <row r="140" spans="2:10" ht="15" customHeight="1" x14ac:dyDescent="0.3"/>
    <row r="141" spans="2:10" ht="15" customHeight="1" x14ac:dyDescent="0.3">
      <c r="B141" s="1229" t="s">
        <v>233</v>
      </c>
      <c r="C141" s="1229"/>
      <c r="D141" s="1229"/>
      <c r="E141" s="1230"/>
      <c r="F141" s="1230"/>
      <c r="G141" s="1227"/>
      <c r="H141" s="1227"/>
      <c r="I141" s="1227"/>
      <c r="J141" s="1227"/>
    </row>
    <row r="142" spans="2:10" ht="15" customHeight="1" x14ac:dyDescent="0.3">
      <c r="B142" s="1229" t="s">
        <v>240</v>
      </c>
      <c r="C142" s="1229"/>
      <c r="D142" s="1229"/>
      <c r="E142" s="1230">
        <v>40034</v>
      </c>
      <c r="F142" s="1230"/>
      <c r="G142" s="1227"/>
      <c r="H142" s="1227"/>
      <c r="I142" s="1227"/>
      <c r="J142" s="1227"/>
    </row>
    <row r="143" spans="2:10" ht="15" customHeight="1" x14ac:dyDescent="0.3">
      <c r="B143" s="1227" t="s">
        <v>239</v>
      </c>
      <c r="C143" s="1227"/>
      <c r="D143" s="1227"/>
      <c r="E143" s="1227"/>
      <c r="F143" s="1227"/>
      <c r="G143" s="1227"/>
      <c r="H143" s="1227"/>
      <c r="I143" s="1227"/>
      <c r="J143" s="1227"/>
    </row>
    <row r="144" spans="2:10" ht="30" customHeight="1" x14ac:dyDescent="0.3">
      <c r="B144" s="1231" t="s">
        <v>255</v>
      </c>
      <c r="C144" s="1232"/>
      <c r="D144" s="1232"/>
      <c r="E144" s="1232"/>
      <c r="F144" s="1232"/>
      <c r="G144" s="1232"/>
      <c r="H144" s="1232"/>
      <c r="I144" s="1232"/>
      <c r="J144" s="1232"/>
    </row>
    <row r="145" spans="2:10" ht="15" customHeight="1" x14ac:dyDescent="0.3"/>
    <row r="146" spans="2:10" ht="15" customHeight="1" x14ac:dyDescent="0.3">
      <c r="B146" s="1229" t="s">
        <v>241</v>
      </c>
      <c r="C146" s="1229"/>
      <c r="D146" s="1229"/>
      <c r="E146" s="1230">
        <v>39898</v>
      </c>
      <c r="F146" s="1230"/>
      <c r="G146" s="1227"/>
      <c r="H146" s="1227"/>
      <c r="I146" s="1227"/>
      <c r="J146" s="1227"/>
    </row>
    <row r="147" spans="2:10" ht="15" customHeight="1" x14ac:dyDescent="0.3">
      <c r="B147" s="1227" t="s">
        <v>228</v>
      </c>
      <c r="C147" s="1227"/>
      <c r="D147" s="1227"/>
      <c r="E147" s="1227"/>
      <c r="F147" s="1227"/>
      <c r="G147" s="1227"/>
      <c r="H147" s="1227"/>
      <c r="I147" s="1227"/>
      <c r="J147" s="1227"/>
    </row>
    <row r="148" spans="2:10" ht="60" customHeight="1" x14ac:dyDescent="0.3">
      <c r="B148" s="1224" t="s">
        <v>249</v>
      </c>
      <c r="C148" s="1224"/>
      <c r="D148" s="1224"/>
      <c r="E148" s="1224"/>
      <c r="F148" s="1224"/>
      <c r="G148" s="1224"/>
      <c r="H148" s="1224"/>
      <c r="I148" s="1224"/>
      <c r="J148" s="1224"/>
    </row>
    <row r="149" spans="2:10" ht="15" customHeight="1" x14ac:dyDescent="0.3"/>
    <row r="150" spans="2:10" ht="15" customHeight="1" x14ac:dyDescent="0.3">
      <c r="B150" s="1229" t="s">
        <v>229</v>
      </c>
      <c r="C150" s="1229"/>
      <c r="D150" s="1229"/>
      <c r="E150" s="1230">
        <v>39720</v>
      </c>
      <c r="F150" s="1230"/>
      <c r="G150" s="1227"/>
      <c r="H150" s="1227"/>
      <c r="I150" s="1227"/>
      <c r="J150" s="1227"/>
    </row>
    <row r="151" spans="2:10" ht="15" customHeight="1" x14ac:dyDescent="0.3">
      <c r="B151" s="1227" t="s">
        <v>228</v>
      </c>
      <c r="C151" s="1227"/>
      <c r="D151" s="1227"/>
      <c r="E151" s="1227"/>
      <c r="F151" s="1227"/>
      <c r="G151" s="1227"/>
      <c r="H151" s="1227"/>
      <c r="I151" s="1227"/>
      <c r="J151" s="1227"/>
    </row>
    <row r="152" spans="2:10" ht="15" customHeight="1" x14ac:dyDescent="0.3">
      <c r="B152" s="1227" t="s">
        <v>244</v>
      </c>
      <c r="C152" s="1227"/>
      <c r="D152" s="1227"/>
      <c r="E152" s="1227"/>
      <c r="F152" s="1227"/>
      <c r="G152" s="1227"/>
      <c r="H152" s="1227"/>
      <c r="I152" s="1227"/>
      <c r="J152" s="1227"/>
    </row>
    <row r="153" spans="2:10" ht="15" customHeight="1" x14ac:dyDescent="0.3"/>
    <row r="154" spans="2:10" ht="15" customHeight="1" x14ac:dyDescent="0.3">
      <c r="B154" s="1229" t="s">
        <v>226</v>
      </c>
      <c r="C154" s="1229"/>
      <c r="D154" s="1229"/>
      <c r="E154" s="1230">
        <v>39692</v>
      </c>
      <c r="F154" s="1230"/>
      <c r="G154" s="1227"/>
      <c r="H154" s="1227"/>
      <c r="I154" s="1227"/>
      <c r="J154" s="1227"/>
    </row>
    <row r="155" spans="2:10" ht="15" customHeight="1" x14ac:dyDescent="0.3">
      <c r="B155" s="1227" t="s">
        <v>227</v>
      </c>
      <c r="C155" s="1227"/>
      <c r="D155" s="1227"/>
      <c r="E155" s="1227"/>
      <c r="F155" s="1227"/>
      <c r="G155" s="1227"/>
      <c r="H155" s="1227"/>
      <c r="I155" s="1227"/>
      <c r="J155" s="1227"/>
    </row>
    <row r="156" spans="2:10" ht="15" customHeight="1" x14ac:dyDescent="0.3">
      <c r="B156" s="1227" t="s">
        <v>248</v>
      </c>
      <c r="C156" s="1227"/>
      <c r="D156" s="1227"/>
      <c r="E156" s="1227"/>
      <c r="F156" s="1227"/>
      <c r="G156" s="1227"/>
      <c r="H156" s="1227"/>
      <c r="I156" s="1227"/>
      <c r="J156" s="1227"/>
    </row>
    <row r="157" spans="2:10" ht="15" customHeight="1" x14ac:dyDescent="0.3"/>
    <row r="158" spans="2:10" ht="15" customHeight="1" x14ac:dyDescent="0.3">
      <c r="B158" s="1229" t="s">
        <v>245</v>
      </c>
      <c r="C158" s="1229"/>
      <c r="D158" s="1229"/>
      <c r="E158" s="1230">
        <v>39118</v>
      </c>
      <c r="F158" s="1230"/>
      <c r="G158" s="1227"/>
      <c r="H158" s="1227"/>
      <c r="I158" s="1227"/>
      <c r="J158" s="1227"/>
    </row>
    <row r="159" spans="2:10" ht="15" customHeight="1" x14ac:dyDescent="0.3">
      <c r="B159" s="1227" t="s">
        <v>246</v>
      </c>
      <c r="C159" s="1227"/>
      <c r="D159" s="1227"/>
      <c r="E159" s="1227"/>
      <c r="F159" s="1227"/>
      <c r="G159" s="1227"/>
      <c r="H159" s="1227"/>
      <c r="I159" s="1227"/>
      <c r="J159" s="1227"/>
    </row>
    <row r="160" spans="2:10" ht="15" customHeight="1" x14ac:dyDescent="0.3">
      <c r="B160" s="1227" t="s">
        <v>247</v>
      </c>
      <c r="C160" s="1227"/>
      <c r="D160" s="1227"/>
      <c r="E160" s="1227"/>
      <c r="F160" s="1227"/>
      <c r="G160" s="1227"/>
      <c r="H160" s="1227"/>
      <c r="I160" s="1227"/>
      <c r="J160" s="1227"/>
    </row>
  </sheetData>
  <mergeCells count="87">
    <mergeCell ref="B62:J62"/>
    <mergeCell ref="C63:J63"/>
    <mergeCell ref="C64:J64"/>
    <mergeCell ref="C65:J65"/>
    <mergeCell ref="C21:J21"/>
    <mergeCell ref="B123:J123"/>
    <mergeCell ref="C78:J78"/>
    <mergeCell ref="C81:J81"/>
    <mergeCell ref="C82:J82"/>
    <mergeCell ref="B122:J122"/>
    <mergeCell ref="B80:J80"/>
    <mergeCell ref="C83:J83"/>
    <mergeCell ref="C84:J84"/>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31:D131"/>
    <mergeCell ref="E131:F131"/>
    <mergeCell ref="G131:J131"/>
    <mergeCell ref="B124:J124"/>
    <mergeCell ref="B127:J127"/>
    <mergeCell ref="B128:J128"/>
    <mergeCell ref="B126:D126"/>
    <mergeCell ref="E126:F126"/>
    <mergeCell ref="G126:J126"/>
    <mergeCell ref="B130:D130"/>
    <mergeCell ref="E130:F130"/>
    <mergeCell ref="G130:J130"/>
    <mergeCell ref="B132:D132"/>
    <mergeCell ref="E132:F132"/>
    <mergeCell ref="G132:J132"/>
    <mergeCell ref="B133:D133"/>
    <mergeCell ref="E133:F133"/>
    <mergeCell ref="G133:J133"/>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58:D158"/>
    <mergeCell ref="E158:F158"/>
    <mergeCell ref="G158:J158"/>
    <mergeCell ref="B159:J159"/>
    <mergeCell ref="B142:D142"/>
    <mergeCell ref="E142:F142"/>
    <mergeCell ref="G142:J142"/>
    <mergeCell ref="B156:J156"/>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s>
  <phoneticPr fontId="6"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abSelected="1" zoomScaleNormal="100" zoomScaleSheetLayoutView="100" workbookViewId="0">
      <selection activeCell="D67" sqref="D67"/>
    </sheetView>
  </sheetViews>
  <sheetFormatPr defaultColWidth="8.77734375" defaultRowHeight="13.8" x14ac:dyDescent="0.3"/>
  <cols>
    <col min="1" max="1" width="12.6640625" style="561" customWidth="1"/>
    <col min="2" max="3" width="11.6640625" style="561" customWidth="1"/>
    <col min="4" max="4" width="9.44140625" style="561" customWidth="1"/>
    <col min="5" max="5" width="9.44140625" style="561" hidden="1" customWidth="1"/>
    <col min="6" max="6" width="5.6640625" style="561" customWidth="1"/>
    <col min="7" max="7" width="4.6640625" style="561" customWidth="1"/>
    <col min="8" max="8" width="8.6640625" style="561" customWidth="1"/>
    <col min="9" max="10" width="11.6640625" style="561" customWidth="1"/>
    <col min="11" max="11" width="9.44140625" style="561" customWidth="1"/>
    <col min="12" max="12" width="4.44140625" style="561" customWidth="1"/>
    <col min="13" max="13" width="6.109375" style="561" customWidth="1"/>
    <col min="14" max="14" width="8.77734375" style="560" customWidth="1"/>
    <col min="15" max="15" width="11" style="560" customWidth="1"/>
    <col min="16" max="180" width="8.77734375" style="560" customWidth="1"/>
    <col min="181" max="257" width="11.44140625" style="561" customWidth="1"/>
    <col min="258" max="16384" width="8.77734375" style="561"/>
  </cols>
  <sheetData>
    <row r="1" spans="1:257" s="558" customFormat="1" ht="18.45" customHeight="1" thickBot="1" x14ac:dyDescent="0.3">
      <c r="A1" s="917" t="s">
        <v>296</v>
      </c>
      <c r="B1" s="918"/>
      <c r="C1" s="918"/>
      <c r="D1" s="918"/>
      <c r="E1" s="918"/>
      <c r="F1" s="918"/>
      <c r="G1" s="918"/>
      <c r="H1" s="918"/>
      <c r="I1" s="918"/>
      <c r="J1" s="918"/>
      <c r="K1" s="918"/>
      <c r="L1" s="918"/>
      <c r="M1" s="919"/>
      <c r="FY1" s="559"/>
      <c r="FZ1" s="559"/>
      <c r="GA1" s="559"/>
      <c r="GB1" s="559"/>
      <c r="GC1" s="559"/>
      <c r="GD1" s="559"/>
      <c r="GE1" s="559"/>
      <c r="GF1" s="559"/>
      <c r="GG1" s="559"/>
      <c r="GH1" s="559"/>
      <c r="GI1" s="559"/>
      <c r="GJ1" s="559"/>
      <c r="GK1" s="559"/>
      <c r="GL1" s="559"/>
      <c r="GM1" s="559"/>
      <c r="GN1" s="559"/>
      <c r="GO1" s="559"/>
      <c r="GP1" s="559"/>
      <c r="GQ1" s="559"/>
      <c r="GR1" s="559"/>
      <c r="GS1" s="559"/>
      <c r="GT1" s="559"/>
      <c r="GU1" s="559"/>
      <c r="GV1" s="559"/>
      <c r="GW1" s="559"/>
      <c r="GX1" s="559"/>
      <c r="GY1" s="559"/>
      <c r="GZ1" s="559"/>
      <c r="HA1" s="559"/>
      <c r="HB1" s="559"/>
      <c r="HC1" s="559"/>
      <c r="HD1" s="559"/>
      <c r="HE1" s="559"/>
      <c r="HF1" s="559"/>
      <c r="HG1" s="559"/>
      <c r="HH1" s="559"/>
      <c r="HI1" s="559"/>
      <c r="HJ1" s="559"/>
      <c r="HK1" s="559"/>
      <c r="HL1" s="559"/>
      <c r="HM1" s="559"/>
      <c r="HN1" s="559"/>
      <c r="HO1" s="559"/>
      <c r="HP1" s="559"/>
      <c r="HQ1" s="559"/>
      <c r="HR1" s="559"/>
      <c r="HS1" s="559"/>
      <c r="HT1" s="559"/>
      <c r="HU1" s="559"/>
      <c r="HV1" s="559"/>
      <c r="HW1" s="559"/>
      <c r="HX1" s="559"/>
      <c r="HY1" s="559"/>
      <c r="HZ1" s="559"/>
      <c r="IA1" s="559"/>
      <c r="IB1" s="559"/>
      <c r="IC1" s="559"/>
      <c r="ID1" s="559"/>
      <c r="IE1" s="559"/>
      <c r="IF1" s="559"/>
      <c r="IG1" s="559"/>
      <c r="IH1" s="559"/>
      <c r="II1" s="559"/>
      <c r="IJ1" s="559"/>
      <c r="IK1" s="559"/>
      <c r="IL1" s="559"/>
      <c r="IM1" s="559"/>
      <c r="IN1" s="559"/>
      <c r="IO1" s="559"/>
      <c r="IP1" s="559"/>
      <c r="IQ1" s="559"/>
      <c r="IR1" s="559"/>
      <c r="IS1" s="559"/>
      <c r="IT1" s="559"/>
      <c r="IU1" s="559"/>
      <c r="IV1" s="559"/>
      <c r="IW1" s="559"/>
    </row>
    <row r="2" spans="1:257" ht="12.75" customHeight="1" thickBot="1" x14ac:dyDescent="0.35">
      <c r="A2" s="858" t="s">
        <v>270</v>
      </c>
      <c r="B2" s="859"/>
      <c r="C2" s="859"/>
      <c r="D2" s="859"/>
      <c r="E2" s="859"/>
      <c r="F2" s="859"/>
      <c r="G2" s="859"/>
      <c r="H2" s="859"/>
      <c r="I2" s="860"/>
      <c r="J2" s="860"/>
      <c r="K2" s="860"/>
      <c r="L2" s="859"/>
      <c r="M2" s="861"/>
    </row>
    <row r="3" spans="1:257" ht="14.25" customHeight="1" thickBot="1" x14ac:dyDescent="0.35">
      <c r="A3" s="862" t="s">
        <v>131</v>
      </c>
      <c r="B3" s="864" t="s">
        <v>514</v>
      </c>
      <c r="C3" s="864"/>
      <c r="D3" s="864"/>
      <c r="E3" s="864"/>
      <c r="F3" s="864"/>
      <c r="G3" s="864"/>
      <c r="H3" s="865"/>
      <c r="I3" s="866" t="s">
        <v>515</v>
      </c>
      <c r="J3" s="866"/>
      <c r="K3" s="562" t="s">
        <v>516</v>
      </c>
      <c r="L3" s="867"/>
      <c r="M3" s="868"/>
    </row>
    <row r="4" spans="1:257" s="564" customFormat="1" ht="12.75" customHeight="1" thickBot="1" x14ac:dyDescent="0.3">
      <c r="A4" s="863"/>
      <c r="B4" s="869" t="s">
        <v>358</v>
      </c>
      <c r="C4" s="869"/>
      <c r="D4" s="869"/>
      <c r="E4" s="870"/>
      <c r="F4" s="869"/>
      <c r="G4" s="869"/>
      <c r="H4" s="869"/>
      <c r="I4" s="871" t="s">
        <v>359</v>
      </c>
      <c r="J4" s="871"/>
      <c r="K4" s="563" t="s">
        <v>132</v>
      </c>
      <c r="L4" s="872" t="s">
        <v>341</v>
      </c>
      <c r="M4" s="873"/>
      <c r="FY4" s="565"/>
      <c r="FZ4" s="565"/>
      <c r="GA4" s="565"/>
      <c r="GB4" s="565"/>
      <c r="GC4" s="565"/>
      <c r="GD4" s="565"/>
      <c r="GE4" s="565"/>
      <c r="GF4" s="565"/>
      <c r="GG4" s="565"/>
      <c r="GH4" s="565"/>
      <c r="GI4" s="565"/>
      <c r="GJ4" s="565"/>
      <c r="GK4" s="565"/>
      <c r="GL4" s="565"/>
      <c r="GM4" s="565"/>
      <c r="GN4" s="565"/>
      <c r="GO4" s="565"/>
      <c r="GP4" s="565"/>
      <c r="GQ4" s="565"/>
      <c r="GR4" s="565"/>
      <c r="GS4" s="565"/>
      <c r="GT4" s="565"/>
      <c r="GU4" s="565"/>
      <c r="GV4" s="565"/>
      <c r="GW4" s="565"/>
      <c r="GX4" s="565"/>
      <c r="GY4" s="565"/>
      <c r="GZ4" s="565"/>
      <c r="HA4" s="565"/>
      <c r="HB4" s="565"/>
      <c r="HC4" s="565"/>
      <c r="HD4" s="565"/>
      <c r="HE4" s="565"/>
      <c r="HF4" s="565"/>
      <c r="HG4" s="565"/>
      <c r="HH4" s="565"/>
      <c r="HI4" s="565"/>
      <c r="HJ4" s="565"/>
      <c r="HK4" s="565"/>
      <c r="HL4" s="565"/>
      <c r="HM4" s="565"/>
      <c r="HN4" s="565"/>
      <c r="HO4" s="565"/>
      <c r="HP4" s="565"/>
      <c r="HQ4" s="565"/>
      <c r="HR4" s="565"/>
      <c r="HS4" s="565"/>
      <c r="HT4" s="565"/>
      <c r="HU4" s="565"/>
      <c r="HV4" s="565"/>
      <c r="HW4" s="565"/>
      <c r="HX4" s="565"/>
      <c r="HY4" s="565"/>
      <c r="HZ4" s="565"/>
      <c r="IA4" s="565"/>
      <c r="IB4" s="565"/>
      <c r="IC4" s="565"/>
      <c r="ID4" s="565"/>
      <c r="IE4" s="565"/>
      <c r="IF4" s="565"/>
      <c r="IG4" s="565"/>
      <c r="IH4" s="565"/>
      <c r="II4" s="565"/>
      <c r="IJ4" s="565"/>
      <c r="IK4" s="565"/>
      <c r="IL4" s="565"/>
      <c r="IM4" s="565"/>
      <c r="IN4" s="565"/>
      <c r="IO4" s="565"/>
      <c r="IP4" s="565"/>
      <c r="IQ4" s="565"/>
      <c r="IR4" s="565"/>
      <c r="IS4" s="565"/>
      <c r="IT4" s="565"/>
      <c r="IU4" s="565"/>
      <c r="IV4" s="565"/>
      <c r="IW4" s="565"/>
    </row>
    <row r="5" spans="1:257" s="564" customFormat="1" ht="12.75" customHeight="1" x14ac:dyDescent="0.25">
      <c r="A5" s="890" t="s">
        <v>342</v>
      </c>
      <c r="B5" s="879"/>
      <c r="C5" s="880"/>
      <c r="D5" s="880"/>
      <c r="E5" s="880"/>
      <c r="F5" s="880"/>
      <c r="G5" s="880"/>
      <c r="H5" s="880"/>
      <c r="I5" s="881" t="s">
        <v>517</v>
      </c>
      <c r="J5" s="882"/>
      <c r="K5" s="882"/>
      <c r="L5" s="882"/>
      <c r="M5" s="883"/>
      <c r="FY5" s="565"/>
      <c r="FZ5" s="565"/>
      <c r="GA5" s="565"/>
      <c r="GB5" s="565"/>
      <c r="GC5" s="565"/>
      <c r="GD5" s="565"/>
      <c r="GE5" s="565"/>
      <c r="GF5" s="565"/>
      <c r="GG5" s="565"/>
      <c r="GH5" s="565"/>
      <c r="GI5" s="565"/>
      <c r="GJ5" s="565"/>
      <c r="GK5" s="565"/>
      <c r="GL5" s="565"/>
      <c r="GM5" s="565"/>
      <c r="GN5" s="565"/>
      <c r="GO5" s="565"/>
      <c r="GP5" s="565"/>
      <c r="GQ5" s="565"/>
      <c r="GR5" s="565"/>
      <c r="GS5" s="565"/>
      <c r="GT5" s="565"/>
      <c r="GU5" s="565"/>
      <c r="GV5" s="565"/>
      <c r="GW5" s="565"/>
      <c r="GX5" s="565"/>
      <c r="GY5" s="565"/>
      <c r="GZ5" s="565"/>
      <c r="HA5" s="565"/>
      <c r="HB5" s="565"/>
      <c r="HC5" s="565"/>
      <c r="HD5" s="565"/>
      <c r="HE5" s="565"/>
      <c r="HF5" s="565"/>
      <c r="HG5" s="565"/>
      <c r="HH5" s="565"/>
      <c r="HI5" s="565"/>
      <c r="HJ5" s="565"/>
      <c r="HK5" s="565"/>
      <c r="HL5" s="565"/>
      <c r="HM5" s="565"/>
      <c r="HN5" s="565"/>
      <c r="HO5" s="565"/>
      <c r="HP5" s="565"/>
      <c r="HQ5" s="565"/>
      <c r="HR5" s="565"/>
      <c r="HS5" s="565"/>
      <c r="HT5" s="565"/>
      <c r="HU5" s="565"/>
      <c r="HV5" s="565"/>
      <c r="HW5" s="565"/>
      <c r="HX5" s="565"/>
      <c r="HY5" s="565"/>
      <c r="HZ5" s="565"/>
      <c r="IA5" s="565"/>
      <c r="IB5" s="565"/>
      <c r="IC5" s="565"/>
      <c r="ID5" s="565"/>
      <c r="IE5" s="565"/>
      <c r="IF5" s="565"/>
      <c r="IG5" s="565"/>
      <c r="IH5" s="565"/>
      <c r="II5" s="565"/>
      <c r="IJ5" s="565"/>
      <c r="IK5" s="565"/>
      <c r="IL5" s="565"/>
      <c r="IM5" s="565"/>
      <c r="IN5" s="565"/>
      <c r="IO5" s="565"/>
      <c r="IP5" s="565"/>
      <c r="IQ5" s="565"/>
      <c r="IR5" s="565"/>
      <c r="IS5" s="565"/>
      <c r="IT5" s="565"/>
      <c r="IU5" s="565"/>
      <c r="IV5" s="565"/>
      <c r="IW5" s="565"/>
    </row>
    <row r="6" spans="1:257" s="564" customFormat="1" ht="12.75" customHeight="1" thickBot="1" x14ac:dyDescent="0.3">
      <c r="A6" s="891"/>
      <c r="B6" s="887" t="s">
        <v>357</v>
      </c>
      <c r="C6" s="888"/>
      <c r="D6" s="888"/>
      <c r="E6" s="889"/>
      <c r="F6" s="888"/>
      <c r="G6" s="888"/>
      <c r="H6" s="888"/>
      <c r="I6" s="884" t="s">
        <v>360</v>
      </c>
      <c r="J6" s="885"/>
      <c r="K6" s="885"/>
      <c r="L6" s="885"/>
      <c r="M6" s="886"/>
      <c r="FY6" s="565"/>
      <c r="FZ6" s="565"/>
      <c r="GA6" s="565"/>
      <c r="GB6" s="565"/>
      <c r="GC6" s="565"/>
      <c r="GD6" s="565"/>
      <c r="GE6" s="565"/>
      <c r="GF6" s="565"/>
      <c r="GG6" s="565"/>
      <c r="GH6" s="565"/>
      <c r="GI6" s="565"/>
      <c r="GJ6" s="565"/>
      <c r="GK6" s="565"/>
      <c r="GL6" s="565"/>
      <c r="GM6" s="565"/>
      <c r="GN6" s="565"/>
      <c r="GO6" s="565"/>
      <c r="GP6" s="565"/>
      <c r="GQ6" s="565"/>
      <c r="GR6" s="565"/>
      <c r="GS6" s="565"/>
      <c r="GT6" s="565"/>
      <c r="GU6" s="565"/>
      <c r="GV6" s="565"/>
      <c r="GW6" s="565"/>
      <c r="GX6" s="565"/>
      <c r="GY6" s="565"/>
      <c r="GZ6" s="565"/>
      <c r="HA6" s="565"/>
      <c r="HB6" s="565"/>
      <c r="HC6" s="565"/>
      <c r="HD6" s="565"/>
      <c r="HE6" s="565"/>
      <c r="HF6" s="565"/>
      <c r="HG6" s="565"/>
      <c r="HH6" s="565"/>
      <c r="HI6" s="565"/>
      <c r="HJ6" s="565"/>
      <c r="HK6" s="565"/>
      <c r="HL6" s="565"/>
      <c r="HM6" s="565"/>
      <c r="HN6" s="565"/>
      <c r="HO6" s="565"/>
      <c r="HP6" s="565"/>
      <c r="HQ6" s="565"/>
      <c r="HR6" s="565"/>
      <c r="HS6" s="565"/>
      <c r="HT6" s="565"/>
      <c r="HU6" s="565"/>
      <c r="HV6" s="565"/>
      <c r="HW6" s="565"/>
      <c r="HX6" s="565"/>
      <c r="HY6" s="565"/>
      <c r="HZ6" s="565"/>
      <c r="IA6" s="565"/>
      <c r="IB6" s="565"/>
      <c r="IC6" s="565"/>
      <c r="ID6" s="565"/>
      <c r="IE6" s="565"/>
      <c r="IF6" s="565"/>
      <c r="IG6" s="565"/>
      <c r="IH6" s="565"/>
      <c r="II6" s="565"/>
      <c r="IJ6" s="565"/>
      <c r="IK6" s="565"/>
      <c r="IL6" s="565"/>
      <c r="IM6" s="565"/>
      <c r="IN6" s="565"/>
      <c r="IO6" s="565"/>
      <c r="IP6" s="565"/>
      <c r="IQ6" s="565"/>
      <c r="IR6" s="565"/>
      <c r="IS6" s="565"/>
      <c r="IT6" s="565"/>
      <c r="IU6" s="565"/>
      <c r="IV6" s="565"/>
      <c r="IW6" s="565"/>
    </row>
    <row r="7" spans="1:257" s="560" customFormat="1" ht="14.25" customHeight="1" thickBot="1" x14ac:dyDescent="0.35">
      <c r="A7" s="566" t="s">
        <v>133</v>
      </c>
      <c r="B7" s="874">
        <v>45144</v>
      </c>
      <c r="C7" s="874"/>
      <c r="D7" s="874"/>
      <c r="E7" s="874"/>
      <c r="F7" s="874"/>
      <c r="G7" s="875" t="s">
        <v>134</v>
      </c>
      <c r="H7" s="875"/>
      <c r="I7" s="876">
        <v>45144.583333333336</v>
      </c>
      <c r="J7" s="876"/>
      <c r="K7" s="567" t="s">
        <v>344</v>
      </c>
      <c r="L7" s="877" t="s">
        <v>518</v>
      </c>
      <c r="M7" s="878"/>
      <c r="FY7" s="561"/>
      <c r="FZ7" s="561"/>
      <c r="GA7" s="561"/>
      <c r="GB7" s="561"/>
      <c r="GC7" s="561"/>
      <c r="GD7" s="561"/>
      <c r="GE7" s="561"/>
      <c r="GF7" s="561"/>
      <c r="GG7" s="561"/>
      <c r="GH7" s="561"/>
      <c r="GI7" s="561"/>
      <c r="GJ7" s="561"/>
      <c r="GK7" s="561"/>
      <c r="GL7" s="561"/>
      <c r="GM7" s="561"/>
      <c r="GN7" s="561"/>
      <c r="GO7" s="561"/>
      <c r="GP7" s="561"/>
      <c r="GQ7" s="561"/>
      <c r="GR7" s="561"/>
      <c r="GS7" s="561"/>
      <c r="GT7" s="561"/>
      <c r="GU7" s="561"/>
      <c r="GV7" s="561"/>
      <c r="GW7" s="561"/>
      <c r="GX7" s="561"/>
      <c r="GY7" s="561"/>
      <c r="GZ7" s="561"/>
      <c r="HA7" s="561"/>
      <c r="HB7" s="561"/>
      <c r="HC7" s="561"/>
      <c r="HD7" s="561"/>
      <c r="HE7" s="561"/>
      <c r="HF7" s="561"/>
      <c r="HG7" s="561"/>
      <c r="HH7" s="561"/>
      <c r="HI7" s="561"/>
      <c r="HJ7" s="561"/>
      <c r="HK7" s="561"/>
      <c r="HL7" s="561"/>
      <c r="HM7" s="561"/>
      <c r="HN7" s="561"/>
      <c r="HO7" s="561"/>
      <c r="HP7" s="561"/>
      <c r="HQ7" s="561"/>
      <c r="HR7" s="561"/>
      <c r="HS7" s="561"/>
      <c r="HT7" s="561"/>
      <c r="HU7" s="561"/>
      <c r="HV7" s="561"/>
      <c r="HW7" s="561"/>
      <c r="HX7" s="561"/>
      <c r="HY7" s="561"/>
      <c r="HZ7" s="561"/>
      <c r="IA7" s="561"/>
      <c r="IB7" s="561"/>
      <c r="IC7" s="561"/>
      <c r="ID7" s="561"/>
      <c r="IE7" s="561"/>
      <c r="IF7" s="561"/>
      <c r="IG7" s="561"/>
      <c r="IH7" s="561"/>
      <c r="II7" s="561"/>
      <c r="IJ7" s="561"/>
      <c r="IK7" s="561"/>
      <c r="IL7" s="561"/>
      <c r="IM7" s="561"/>
      <c r="IN7" s="561"/>
      <c r="IO7" s="561"/>
      <c r="IP7" s="561"/>
      <c r="IQ7" s="561"/>
      <c r="IR7" s="561"/>
      <c r="IS7" s="561"/>
      <c r="IT7" s="561"/>
      <c r="IU7" s="561"/>
      <c r="IV7" s="561"/>
      <c r="IW7" s="561"/>
    </row>
    <row r="8" spans="1:257" ht="14.4" thickBot="1" x14ac:dyDescent="0.35">
      <c r="A8" s="821" t="s">
        <v>349</v>
      </c>
      <c r="B8" s="822"/>
      <c r="C8" s="822"/>
      <c r="D8" s="822"/>
      <c r="E8" s="823"/>
      <c r="F8" s="822"/>
      <c r="G8" s="824"/>
      <c r="H8" s="824"/>
      <c r="I8" s="824"/>
      <c r="J8" s="824"/>
      <c r="K8" s="824"/>
      <c r="L8" s="824"/>
      <c r="M8" s="825"/>
    </row>
    <row r="9" spans="1:257" ht="13.5" customHeight="1" x14ac:dyDescent="0.3">
      <c r="A9" s="826" t="s">
        <v>135</v>
      </c>
      <c r="B9" s="827"/>
      <c r="C9" s="827"/>
      <c r="D9" s="827"/>
      <c r="E9" s="828"/>
      <c r="F9" s="828"/>
      <c r="G9" s="829" t="s">
        <v>136</v>
      </c>
      <c r="H9" s="830"/>
      <c r="I9" s="830"/>
      <c r="J9" s="830"/>
      <c r="K9" s="830"/>
      <c r="L9" s="830"/>
      <c r="M9" s="831"/>
    </row>
    <row r="10" spans="1:257" ht="16.95" customHeight="1" x14ac:dyDescent="0.3">
      <c r="A10" s="568" t="s">
        <v>137</v>
      </c>
      <c r="B10" s="832" t="s">
        <v>517</v>
      </c>
      <c r="C10" s="833"/>
      <c r="D10" s="833"/>
      <c r="E10" s="834"/>
      <c r="F10" s="835"/>
      <c r="G10" s="836" t="s">
        <v>137</v>
      </c>
      <c r="H10" s="837"/>
      <c r="I10" s="838" t="s">
        <v>522</v>
      </c>
      <c r="J10" s="839"/>
      <c r="K10" s="839"/>
      <c r="L10" s="839"/>
      <c r="M10" s="840"/>
    </row>
    <row r="11" spans="1:257" ht="16.95" customHeight="1" x14ac:dyDescent="0.3">
      <c r="A11" s="569" t="s">
        <v>138</v>
      </c>
      <c r="B11" s="832" t="s">
        <v>543</v>
      </c>
      <c r="C11" s="833"/>
      <c r="D11" s="833"/>
      <c r="E11" s="834"/>
      <c r="F11" s="835"/>
      <c r="G11" s="836" t="s">
        <v>138</v>
      </c>
      <c r="H11" s="837"/>
      <c r="I11" s="838" t="s">
        <v>546</v>
      </c>
      <c r="J11" s="839"/>
      <c r="K11" s="839"/>
      <c r="L11" s="839"/>
      <c r="M11" s="840"/>
    </row>
    <row r="12" spans="1:257" ht="16.95" customHeight="1" x14ac:dyDescent="0.3">
      <c r="A12" s="570" t="s">
        <v>343</v>
      </c>
      <c r="B12" s="848" t="s">
        <v>544</v>
      </c>
      <c r="C12" s="849"/>
      <c r="D12" s="849"/>
      <c r="E12" s="850"/>
      <c r="F12" s="851"/>
      <c r="G12" s="852" t="s">
        <v>343</v>
      </c>
      <c r="H12" s="853"/>
      <c r="I12" s="838" t="s">
        <v>547</v>
      </c>
      <c r="J12" s="839"/>
      <c r="K12" s="839"/>
      <c r="L12" s="839"/>
      <c r="M12" s="840"/>
    </row>
    <row r="13" spans="1:257" ht="16.95" customHeight="1" x14ac:dyDescent="0.3">
      <c r="A13" s="571" t="s">
        <v>139</v>
      </c>
      <c r="B13" s="572" t="s">
        <v>355</v>
      </c>
      <c r="C13" s="841" t="s">
        <v>356</v>
      </c>
      <c r="D13" s="841"/>
      <c r="E13" s="842"/>
      <c r="F13" s="843"/>
      <c r="G13" s="844" t="s">
        <v>139</v>
      </c>
      <c r="H13" s="845"/>
      <c r="I13" s="573" t="s">
        <v>355</v>
      </c>
      <c r="J13" s="846" t="s">
        <v>356</v>
      </c>
      <c r="K13" s="846"/>
      <c r="L13" s="846"/>
      <c r="M13" s="847"/>
    </row>
    <row r="14" spans="1:257" ht="16.95" customHeight="1" x14ac:dyDescent="0.3">
      <c r="A14" s="574">
        <v>1</v>
      </c>
      <c r="B14" s="653" t="s">
        <v>549</v>
      </c>
      <c r="C14" s="575" t="s">
        <v>550</v>
      </c>
      <c r="D14" s="576"/>
      <c r="E14" s="577"/>
      <c r="F14" s="578"/>
      <c r="G14" s="854">
        <v>1</v>
      </c>
      <c r="H14" s="855"/>
      <c r="I14" s="682" t="s">
        <v>582</v>
      </c>
      <c r="J14" s="579" t="s">
        <v>583</v>
      </c>
      <c r="K14" s="580"/>
      <c r="L14" s="580"/>
      <c r="M14" s="581"/>
    </row>
    <row r="15" spans="1:257" ht="16.95" customHeight="1" x14ac:dyDescent="0.3">
      <c r="A15" s="574">
        <v>2</v>
      </c>
      <c r="B15" s="653" t="s">
        <v>551</v>
      </c>
      <c r="C15" s="575" t="s">
        <v>552</v>
      </c>
      <c r="D15" s="576"/>
      <c r="E15" s="577"/>
      <c r="F15" s="578"/>
      <c r="G15" s="854">
        <v>2</v>
      </c>
      <c r="H15" s="855"/>
      <c r="I15" s="683" t="s">
        <v>584</v>
      </c>
      <c r="J15" s="579" t="s">
        <v>585</v>
      </c>
      <c r="K15" s="580"/>
      <c r="L15" s="580"/>
      <c r="M15" s="581"/>
    </row>
    <row r="16" spans="1:257" ht="16.95" customHeight="1" x14ac:dyDescent="0.3">
      <c r="A16" s="574">
        <v>3</v>
      </c>
      <c r="B16" s="653" t="s">
        <v>553</v>
      </c>
      <c r="C16" s="575" t="s">
        <v>545</v>
      </c>
      <c r="D16" s="576"/>
      <c r="E16" s="577"/>
      <c r="F16" s="578"/>
      <c r="G16" s="856">
        <v>3</v>
      </c>
      <c r="H16" s="857"/>
      <c r="I16" s="682" t="s">
        <v>586</v>
      </c>
      <c r="J16" s="579" t="s">
        <v>587</v>
      </c>
      <c r="K16" s="580"/>
      <c r="L16" s="580"/>
      <c r="M16" s="581"/>
    </row>
    <row r="17" spans="1:18" ht="16.95" customHeight="1" x14ac:dyDescent="0.3">
      <c r="A17" s="574">
        <v>4</v>
      </c>
      <c r="B17" s="653" t="s">
        <v>554</v>
      </c>
      <c r="C17" s="575" t="s">
        <v>555</v>
      </c>
      <c r="D17" s="576"/>
      <c r="E17" s="577"/>
      <c r="F17" s="578"/>
      <c r="G17" s="856">
        <v>4</v>
      </c>
      <c r="H17" s="857"/>
      <c r="I17" s="683" t="s">
        <v>588</v>
      </c>
      <c r="J17" s="579" t="s">
        <v>589</v>
      </c>
      <c r="K17" s="580"/>
      <c r="L17" s="580"/>
      <c r="M17" s="581"/>
    </row>
    <row r="18" spans="1:18" ht="16.95" customHeight="1" x14ac:dyDescent="0.3">
      <c r="A18" s="574">
        <v>5</v>
      </c>
      <c r="B18" s="653" t="s">
        <v>556</v>
      </c>
      <c r="C18" s="575" t="s">
        <v>557</v>
      </c>
      <c r="D18" s="576"/>
      <c r="E18" s="577"/>
      <c r="F18" s="578"/>
      <c r="G18" s="856">
        <v>5</v>
      </c>
      <c r="H18" s="857"/>
      <c r="I18" s="682" t="s">
        <v>590</v>
      </c>
      <c r="J18" s="579" t="s">
        <v>591</v>
      </c>
      <c r="K18" s="580"/>
      <c r="L18" s="580"/>
      <c r="M18" s="581"/>
    </row>
    <row r="19" spans="1:18" ht="16.95" customHeight="1" x14ac:dyDescent="0.3">
      <c r="A19" s="574">
        <v>6</v>
      </c>
      <c r="B19" s="765" t="s">
        <v>558</v>
      </c>
      <c r="C19" s="766" t="s">
        <v>559</v>
      </c>
      <c r="D19" s="576"/>
      <c r="E19" s="577"/>
      <c r="F19" s="578"/>
      <c r="G19" s="856">
        <v>6</v>
      </c>
      <c r="H19" s="857"/>
      <c r="I19" s="683" t="s">
        <v>556</v>
      </c>
      <c r="J19" s="579" t="s">
        <v>592</v>
      </c>
      <c r="K19" s="580"/>
      <c r="L19" s="580"/>
      <c r="M19" s="581"/>
      <c r="O19" s="582"/>
      <c r="P19" s="582"/>
      <c r="Q19" s="582"/>
      <c r="R19" s="582"/>
    </row>
    <row r="20" spans="1:18" ht="16.95" customHeight="1" x14ac:dyDescent="0.3">
      <c r="A20" s="574">
        <v>7</v>
      </c>
      <c r="B20" s="653" t="s">
        <v>560</v>
      </c>
      <c r="C20" s="575" t="s">
        <v>561</v>
      </c>
      <c r="D20" s="576"/>
      <c r="E20" s="577"/>
      <c r="F20" s="578"/>
      <c r="G20" s="856">
        <v>7</v>
      </c>
      <c r="H20" s="857"/>
      <c r="I20" s="682" t="s">
        <v>593</v>
      </c>
      <c r="J20" s="579" t="s">
        <v>594</v>
      </c>
      <c r="K20" s="580"/>
      <c r="L20" s="580"/>
      <c r="M20" s="581"/>
    </row>
    <row r="21" spans="1:18" ht="16.95" customHeight="1" x14ac:dyDescent="0.3">
      <c r="A21" s="574">
        <v>8</v>
      </c>
      <c r="B21" s="653" t="s">
        <v>562</v>
      </c>
      <c r="C21" s="575" t="s">
        <v>563</v>
      </c>
      <c r="D21" s="576"/>
      <c r="E21" s="577"/>
      <c r="F21" s="578"/>
      <c r="G21" s="856">
        <v>8</v>
      </c>
      <c r="H21" s="857"/>
      <c r="I21" s="683" t="s">
        <v>595</v>
      </c>
      <c r="J21" s="579" t="s">
        <v>596</v>
      </c>
      <c r="K21" s="580"/>
      <c r="L21" s="580"/>
      <c r="M21" s="581"/>
    </row>
    <row r="22" spans="1:18" ht="16.95" customHeight="1" x14ac:dyDescent="0.3">
      <c r="A22" s="574">
        <v>9</v>
      </c>
      <c r="B22" s="765" t="s">
        <v>564</v>
      </c>
      <c r="C22" s="766" t="s">
        <v>565</v>
      </c>
      <c r="D22" s="576"/>
      <c r="E22" s="577"/>
      <c r="F22" s="578"/>
      <c r="G22" s="856">
        <v>9</v>
      </c>
      <c r="H22" s="857"/>
      <c r="I22" s="682" t="s">
        <v>597</v>
      </c>
      <c r="J22" s="579" t="s">
        <v>598</v>
      </c>
      <c r="K22" s="580"/>
      <c r="L22" s="580"/>
      <c r="M22" s="581"/>
    </row>
    <row r="23" spans="1:18" ht="16.95" customHeight="1" x14ac:dyDescent="0.3">
      <c r="A23" s="574">
        <v>10</v>
      </c>
      <c r="B23" s="653" t="s">
        <v>566</v>
      </c>
      <c r="C23" s="575" t="s">
        <v>567</v>
      </c>
      <c r="D23" s="576"/>
      <c r="E23" s="577"/>
      <c r="F23" s="578"/>
      <c r="G23" s="856">
        <v>10</v>
      </c>
      <c r="H23" s="857"/>
      <c r="I23" s="683" t="s">
        <v>599</v>
      </c>
      <c r="J23" s="579" t="s">
        <v>548</v>
      </c>
      <c r="K23" s="580"/>
      <c r="L23" s="580"/>
      <c r="M23" s="581"/>
    </row>
    <row r="24" spans="1:18" ht="16.95" customHeight="1" x14ac:dyDescent="0.3">
      <c r="A24" s="574">
        <v>11</v>
      </c>
      <c r="B24" s="653" t="s">
        <v>568</v>
      </c>
      <c r="C24" s="575" t="s">
        <v>569</v>
      </c>
      <c r="D24" s="576"/>
      <c r="E24" s="577"/>
      <c r="F24" s="578"/>
      <c r="G24" s="856">
        <v>11</v>
      </c>
      <c r="H24" s="857"/>
      <c r="I24" s="682" t="s">
        <v>600</v>
      </c>
      <c r="J24" s="579" t="s">
        <v>601</v>
      </c>
      <c r="K24" s="580"/>
      <c r="L24" s="580"/>
      <c r="M24" s="581"/>
    </row>
    <row r="25" spans="1:18" ht="16.95" customHeight="1" x14ac:dyDescent="0.3">
      <c r="A25" s="574">
        <v>12</v>
      </c>
      <c r="B25" s="653" t="s">
        <v>570</v>
      </c>
      <c r="C25" s="575" t="s">
        <v>571</v>
      </c>
      <c r="D25" s="576"/>
      <c r="E25" s="577"/>
      <c r="F25" s="578"/>
      <c r="G25" s="856">
        <v>12</v>
      </c>
      <c r="H25" s="857"/>
      <c r="I25" s="683" t="s">
        <v>602</v>
      </c>
      <c r="J25" s="579" t="s">
        <v>603</v>
      </c>
      <c r="K25" s="580"/>
      <c r="L25" s="580"/>
      <c r="M25" s="581"/>
    </row>
    <row r="26" spans="1:18" ht="16.95" customHeight="1" x14ac:dyDescent="0.3">
      <c r="A26" s="574">
        <v>13</v>
      </c>
      <c r="B26" s="653" t="s">
        <v>572</v>
      </c>
      <c r="C26" s="575" t="s">
        <v>573</v>
      </c>
      <c r="D26" s="576"/>
      <c r="E26" s="577"/>
      <c r="F26" s="578"/>
      <c r="G26" s="856">
        <v>13</v>
      </c>
      <c r="H26" s="857"/>
      <c r="I26" s="765" t="s">
        <v>604</v>
      </c>
      <c r="J26" s="766" t="s">
        <v>605</v>
      </c>
      <c r="K26" s="580"/>
      <c r="L26" s="580"/>
      <c r="M26" s="581"/>
    </row>
    <row r="27" spans="1:18" ht="16.95" customHeight="1" x14ac:dyDescent="0.3">
      <c r="A27" s="583">
        <v>14</v>
      </c>
      <c r="B27" s="653" t="s">
        <v>574</v>
      </c>
      <c r="C27" s="575" t="s">
        <v>575</v>
      </c>
      <c r="D27" s="576"/>
      <c r="E27" s="577"/>
      <c r="F27" s="578"/>
      <c r="G27" s="892">
        <v>14</v>
      </c>
      <c r="H27" s="893"/>
      <c r="I27" s="683" t="s">
        <v>606</v>
      </c>
      <c r="J27" s="579" t="s">
        <v>607</v>
      </c>
      <c r="K27" s="580"/>
      <c r="L27" s="580"/>
      <c r="M27" s="581"/>
      <c r="O27" s="582"/>
      <c r="P27" s="582"/>
      <c r="Q27" s="582"/>
      <c r="R27" s="582"/>
    </row>
    <row r="28" spans="1:18" ht="16.95" customHeight="1" x14ac:dyDescent="0.3">
      <c r="A28" s="574">
        <v>15</v>
      </c>
      <c r="B28" s="653" t="s">
        <v>576</v>
      </c>
      <c r="C28" s="575" t="s">
        <v>577</v>
      </c>
      <c r="D28" s="576"/>
      <c r="E28" s="577"/>
      <c r="F28" s="578"/>
      <c r="G28" s="856">
        <v>15</v>
      </c>
      <c r="H28" s="857"/>
      <c r="I28" s="765" t="s">
        <v>608</v>
      </c>
      <c r="J28" s="766" t="s">
        <v>609</v>
      </c>
      <c r="K28" s="580"/>
      <c r="L28" s="580"/>
      <c r="M28" s="581"/>
    </row>
    <row r="29" spans="1:18" ht="16.95" customHeight="1" x14ac:dyDescent="0.3">
      <c r="A29" s="574">
        <v>16</v>
      </c>
      <c r="B29" s="653" t="s">
        <v>578</v>
      </c>
      <c r="C29" s="575" t="s">
        <v>579</v>
      </c>
      <c r="D29" s="576"/>
      <c r="E29" s="577"/>
      <c r="F29" s="578"/>
      <c r="G29" s="856">
        <v>16</v>
      </c>
      <c r="H29" s="857"/>
      <c r="I29" s="683" t="s">
        <v>610</v>
      </c>
      <c r="J29" s="579" t="s">
        <v>611</v>
      </c>
      <c r="K29" s="584"/>
      <c r="L29" s="584"/>
      <c r="M29" s="585"/>
    </row>
    <row r="30" spans="1:18" ht="16.95" customHeight="1" x14ac:dyDescent="0.3">
      <c r="A30" s="586">
        <v>17</v>
      </c>
      <c r="B30" s="653" t="s">
        <v>580</v>
      </c>
      <c r="C30" s="575" t="s">
        <v>581</v>
      </c>
      <c r="D30" s="587"/>
      <c r="E30" s="588"/>
      <c r="F30" s="589"/>
      <c r="G30" s="927">
        <v>17</v>
      </c>
      <c r="H30" s="927"/>
      <c r="I30" s="682" t="s">
        <v>612</v>
      </c>
      <c r="J30" s="579" t="s">
        <v>613</v>
      </c>
      <c r="K30" s="587"/>
      <c r="L30" s="587"/>
      <c r="M30" s="590"/>
    </row>
    <row r="31" spans="1:18" ht="16.95" customHeight="1" x14ac:dyDescent="0.3">
      <c r="A31" s="574">
        <v>18</v>
      </c>
      <c r="B31" s="653"/>
      <c r="C31" s="575"/>
      <c r="D31" s="591"/>
      <c r="E31" s="592"/>
      <c r="F31" s="593"/>
      <c r="G31" s="857">
        <v>18</v>
      </c>
      <c r="H31" s="857"/>
      <c r="I31" s="683"/>
      <c r="J31" s="579"/>
      <c r="K31" s="591"/>
      <c r="L31" s="591"/>
      <c r="M31" s="594"/>
    </row>
    <row r="32" spans="1:18" ht="16.95" customHeight="1" x14ac:dyDescent="0.3">
      <c r="A32" s="574">
        <v>19</v>
      </c>
      <c r="B32" s="653"/>
      <c r="C32" s="575"/>
      <c r="D32" s="595"/>
      <c r="E32" s="596"/>
      <c r="F32" s="597"/>
      <c r="G32" s="857">
        <v>19</v>
      </c>
      <c r="H32" s="857"/>
      <c r="I32" s="682"/>
      <c r="J32" s="579"/>
      <c r="K32" s="595"/>
      <c r="L32" s="595"/>
      <c r="M32" s="598"/>
    </row>
    <row r="33" spans="1:257" ht="16.95" customHeight="1" thickBot="1" x14ac:dyDescent="0.35">
      <c r="A33" s="583">
        <v>20</v>
      </c>
      <c r="B33" s="653"/>
      <c r="C33" s="575"/>
      <c r="D33" s="599"/>
      <c r="E33" s="600"/>
      <c r="F33" s="601"/>
      <c r="G33" s="893">
        <v>20</v>
      </c>
      <c r="H33" s="893"/>
      <c r="I33" s="683"/>
      <c r="J33" s="579"/>
      <c r="K33" s="599"/>
      <c r="L33" s="599"/>
      <c r="M33" s="602"/>
      <c r="O33" s="582"/>
      <c r="P33" s="582"/>
      <c r="Q33" s="582"/>
      <c r="R33" s="582"/>
    </row>
    <row r="34" spans="1:257" ht="14.4" thickBot="1" x14ac:dyDescent="0.35">
      <c r="A34" s="811" t="s">
        <v>335</v>
      </c>
      <c r="B34" s="812"/>
      <c r="C34" s="812"/>
      <c r="D34" s="812"/>
      <c r="E34" s="813"/>
      <c r="F34" s="812"/>
      <c r="G34" s="812"/>
      <c r="H34" s="812"/>
      <c r="I34" s="812"/>
      <c r="J34" s="812"/>
      <c r="K34" s="812"/>
      <c r="L34" s="812"/>
      <c r="M34" s="814"/>
    </row>
    <row r="35" spans="1:257" ht="15" customHeight="1" x14ac:dyDescent="0.3">
      <c r="A35" s="898" t="s">
        <v>141</v>
      </c>
      <c r="B35" s="899"/>
      <c r="C35" s="899"/>
      <c r="D35" s="899"/>
      <c r="E35" s="899"/>
      <c r="F35" s="899"/>
      <c r="G35" s="900"/>
      <c r="H35" s="898" t="s">
        <v>142</v>
      </c>
      <c r="I35" s="899"/>
      <c r="J35" s="899"/>
      <c r="K35" s="899"/>
      <c r="L35" s="899"/>
      <c r="M35" s="900"/>
    </row>
    <row r="36" spans="1:257" ht="15" customHeight="1" x14ac:dyDescent="0.3">
      <c r="A36" s="603" t="s">
        <v>143</v>
      </c>
      <c r="B36" s="604" t="s">
        <v>354</v>
      </c>
      <c r="C36" s="605">
        <f>IF(COUNT(Score!A4:A41)=0,"",Score!R42)</f>
        <v>70</v>
      </c>
      <c r="D36" s="606" t="s">
        <v>162</v>
      </c>
      <c r="E36" s="607"/>
      <c r="F36" s="901">
        <f>IF(COUNT(Score!A4:A41)=0,"",Penalties!L44)</f>
        <v>12</v>
      </c>
      <c r="G36" s="902"/>
      <c r="H36" s="603" t="s">
        <v>143</v>
      </c>
      <c r="I36" s="604" t="s">
        <v>354</v>
      </c>
      <c r="J36" s="605">
        <f>IF(COUNT(Score!T4:T41)=0,"",Score!AK42)</f>
        <v>42</v>
      </c>
      <c r="K36" s="606" t="s">
        <v>162</v>
      </c>
      <c r="L36" s="901">
        <f>IF(COUNT(Score!T4:T41)=0,"",Penalties!AA44)</f>
        <v>4</v>
      </c>
      <c r="M36" s="902"/>
    </row>
    <row r="37" spans="1:257" ht="15" customHeight="1" x14ac:dyDescent="0.3">
      <c r="A37" s="603" t="s">
        <v>145</v>
      </c>
      <c r="B37" s="604" t="s">
        <v>354</v>
      </c>
      <c r="C37" s="605">
        <f>IF(COUNT(Score!A46:A83)=0,"",Score!R84-C36)</f>
        <v>97</v>
      </c>
      <c r="D37" s="606" t="s">
        <v>162</v>
      </c>
      <c r="E37" s="607"/>
      <c r="F37" s="901">
        <f>IF(COUNT(Score!A46:A83)=0,"",Penalties!AN44)</f>
        <v>16</v>
      </c>
      <c r="G37" s="902"/>
      <c r="H37" s="603" t="s">
        <v>145</v>
      </c>
      <c r="I37" s="604" t="s">
        <v>354</v>
      </c>
      <c r="J37" s="605">
        <f>IF(COUNT(Score!T46:T83)=0,"",Score!AK84-J36)</f>
        <v>60</v>
      </c>
      <c r="K37" s="606" t="s">
        <v>162</v>
      </c>
      <c r="L37" s="901">
        <f>IF(COUNT(Score!T46:T83)=0,"",Penalties!BC44)</f>
        <v>12</v>
      </c>
      <c r="M37" s="902"/>
    </row>
    <row r="38" spans="1:257" ht="15" customHeight="1" thickBot="1" x14ac:dyDescent="0.35">
      <c r="A38" s="894" t="s">
        <v>147</v>
      </c>
      <c r="B38" s="895"/>
      <c r="C38" s="608">
        <f>IF(COUNT(Score!A4:A41)=0,"",SUM(C36:C37))</f>
        <v>167</v>
      </c>
      <c r="D38" s="609" t="s">
        <v>146</v>
      </c>
      <c r="E38" s="610"/>
      <c r="F38" s="903">
        <f>IF(COUNT(Score!A4:A41)=0,"",SUM(F36:F37))</f>
        <v>28</v>
      </c>
      <c r="G38" s="904"/>
      <c r="H38" s="896" t="s">
        <v>147</v>
      </c>
      <c r="I38" s="897"/>
      <c r="J38" s="608">
        <f>IF(COUNT(Score!T4:T41)=0,"",SUM(J36:J37))</f>
        <v>102</v>
      </c>
      <c r="K38" s="609" t="s">
        <v>146</v>
      </c>
      <c r="L38" s="903">
        <f>IF(COUNT(Score!T4:T41)=0,"",SUM(L36:L37))</f>
        <v>16</v>
      </c>
      <c r="M38" s="904"/>
    </row>
    <row r="39" spans="1:257" ht="15" customHeight="1" thickBot="1" x14ac:dyDescent="0.35">
      <c r="A39" s="611" t="s">
        <v>361</v>
      </c>
      <c r="B39" s="612"/>
      <c r="C39" s="613"/>
      <c r="D39" s="614"/>
      <c r="E39" s="615"/>
      <c r="F39" s="820" t="s">
        <v>365</v>
      </c>
      <c r="G39" s="818"/>
      <c r="H39" s="818"/>
      <c r="I39" s="817"/>
      <c r="J39" s="818"/>
      <c r="K39" s="818"/>
      <c r="L39" s="818"/>
      <c r="M39" s="819"/>
    </row>
    <row r="40" spans="1:257" s="582" customFormat="1" ht="16.95" customHeight="1" x14ac:dyDescent="0.3">
      <c r="A40" s="807" t="s">
        <v>348</v>
      </c>
      <c r="B40" s="808"/>
      <c r="C40" s="809" t="s">
        <v>352</v>
      </c>
      <c r="D40" s="810"/>
      <c r="E40" s="616"/>
      <c r="F40" s="617"/>
      <c r="G40" s="617"/>
      <c r="H40" s="617"/>
      <c r="I40" s="617"/>
      <c r="J40" s="617"/>
      <c r="K40" s="617"/>
      <c r="L40" s="617"/>
      <c r="M40" s="618"/>
      <c r="O40" s="560"/>
      <c r="P40" s="560"/>
      <c r="Q40" s="560"/>
      <c r="R40" s="560"/>
      <c r="FY40" s="619"/>
      <c r="FZ40" s="619"/>
      <c r="GA40" s="619"/>
      <c r="GB40" s="619"/>
      <c r="GC40" s="619"/>
      <c r="GD40" s="619"/>
      <c r="GE40" s="619"/>
      <c r="GF40" s="619"/>
      <c r="GG40" s="619"/>
      <c r="GH40" s="619"/>
      <c r="GI40" s="619"/>
      <c r="GJ40" s="619"/>
      <c r="GK40" s="619"/>
      <c r="GL40" s="619"/>
      <c r="GM40" s="619"/>
      <c r="GN40" s="619"/>
      <c r="GO40" s="619"/>
      <c r="GP40" s="619"/>
      <c r="GQ40" s="619"/>
      <c r="GR40" s="619"/>
      <c r="GS40" s="619"/>
      <c r="GT40" s="619"/>
      <c r="GU40" s="619"/>
      <c r="GV40" s="619"/>
      <c r="GW40" s="619"/>
      <c r="GX40" s="619"/>
      <c r="GY40" s="619"/>
      <c r="GZ40" s="619"/>
      <c r="HA40" s="619"/>
      <c r="HB40" s="619"/>
      <c r="HC40" s="619"/>
      <c r="HD40" s="619"/>
      <c r="HE40" s="619"/>
      <c r="HF40" s="619"/>
      <c r="HG40" s="619"/>
      <c r="HH40" s="619"/>
      <c r="HI40" s="619"/>
      <c r="HJ40" s="619"/>
      <c r="HK40" s="619"/>
      <c r="HL40" s="619"/>
      <c r="HM40" s="619"/>
      <c r="HN40" s="619"/>
      <c r="HO40" s="619"/>
      <c r="HP40" s="619"/>
      <c r="HQ40" s="619"/>
      <c r="HR40" s="619"/>
      <c r="HS40" s="619"/>
      <c r="HT40" s="619"/>
      <c r="HU40" s="619"/>
      <c r="HV40" s="619"/>
      <c r="HW40" s="619"/>
      <c r="HX40" s="619"/>
      <c r="HY40" s="619"/>
      <c r="HZ40" s="619"/>
      <c r="IA40" s="619"/>
      <c r="IB40" s="619"/>
      <c r="IC40" s="619"/>
      <c r="ID40" s="619"/>
      <c r="IE40" s="619"/>
      <c r="IF40" s="619"/>
      <c r="IG40" s="619"/>
      <c r="IH40" s="619"/>
      <c r="II40" s="619"/>
      <c r="IJ40" s="619"/>
      <c r="IK40" s="619"/>
      <c r="IL40" s="619"/>
      <c r="IM40" s="619"/>
      <c r="IN40" s="619"/>
      <c r="IO40" s="619"/>
      <c r="IP40" s="619"/>
      <c r="IQ40" s="619"/>
      <c r="IR40" s="619"/>
      <c r="IS40" s="619"/>
      <c r="IT40" s="619"/>
      <c r="IU40" s="619"/>
      <c r="IV40" s="619"/>
      <c r="IW40" s="619"/>
    </row>
    <row r="41" spans="1:257" x14ac:dyDescent="0.3">
      <c r="A41" s="799" t="s">
        <v>364</v>
      </c>
      <c r="B41" s="800"/>
      <c r="C41" s="800"/>
      <c r="D41" s="800"/>
      <c r="E41" s="800"/>
      <c r="F41" s="800"/>
      <c r="G41" s="800"/>
      <c r="H41" s="800"/>
      <c r="I41" s="800"/>
      <c r="J41" s="800"/>
      <c r="K41" s="620" t="s">
        <v>344</v>
      </c>
      <c r="L41" s="815" t="s">
        <v>345</v>
      </c>
      <c r="M41" s="816"/>
    </row>
    <row r="42" spans="1:257" ht="15" customHeight="1" x14ac:dyDescent="0.3">
      <c r="A42" s="801"/>
      <c r="B42" s="802"/>
      <c r="C42" s="802"/>
      <c r="D42" s="802"/>
      <c r="E42" s="803"/>
      <c r="F42" s="802"/>
      <c r="G42" s="802"/>
      <c r="H42" s="802"/>
      <c r="I42" s="802"/>
      <c r="J42" s="802"/>
      <c r="K42" s="621"/>
      <c r="L42" s="621"/>
      <c r="M42" s="622"/>
    </row>
    <row r="43" spans="1:257" ht="15" customHeight="1" x14ac:dyDescent="0.3">
      <c r="A43" s="799" t="s">
        <v>364</v>
      </c>
      <c r="B43" s="800"/>
      <c r="C43" s="800"/>
      <c r="D43" s="800"/>
      <c r="E43" s="800"/>
      <c r="F43" s="800"/>
      <c r="G43" s="800"/>
      <c r="H43" s="800"/>
      <c r="I43" s="800"/>
      <c r="J43" s="800"/>
      <c r="K43" s="620" t="s">
        <v>344</v>
      </c>
      <c r="L43" s="815" t="s">
        <v>345</v>
      </c>
      <c r="M43" s="816"/>
    </row>
    <row r="44" spans="1:257" ht="15" customHeight="1" x14ac:dyDescent="0.3">
      <c r="A44" s="801"/>
      <c r="B44" s="802"/>
      <c r="C44" s="802"/>
      <c r="D44" s="802"/>
      <c r="E44" s="803"/>
      <c r="F44" s="802"/>
      <c r="G44" s="802"/>
      <c r="H44" s="802"/>
      <c r="I44" s="802"/>
      <c r="J44" s="802"/>
      <c r="K44" s="621"/>
      <c r="L44" s="621"/>
      <c r="M44" s="622"/>
    </row>
    <row r="45" spans="1:257" ht="15" customHeight="1" x14ac:dyDescent="0.3">
      <c r="A45" s="799" t="s">
        <v>364</v>
      </c>
      <c r="B45" s="800"/>
      <c r="C45" s="800"/>
      <c r="D45" s="800"/>
      <c r="E45" s="800"/>
      <c r="F45" s="800"/>
      <c r="G45" s="800"/>
      <c r="H45" s="800"/>
      <c r="I45" s="800"/>
      <c r="J45" s="800"/>
      <c r="K45" s="620" t="s">
        <v>344</v>
      </c>
      <c r="L45" s="815" t="s">
        <v>345</v>
      </c>
      <c r="M45" s="816"/>
      <c r="FP45" s="561"/>
      <c r="FQ45" s="561"/>
      <c r="FR45" s="561"/>
      <c r="FS45" s="561"/>
      <c r="FT45" s="561"/>
      <c r="FU45" s="561"/>
      <c r="FV45" s="561"/>
      <c r="FW45" s="561"/>
      <c r="FX45" s="561"/>
    </row>
    <row r="46" spans="1:257" ht="15" customHeight="1" thickBot="1" x14ac:dyDescent="0.35">
      <c r="A46" s="804"/>
      <c r="B46" s="805"/>
      <c r="C46" s="805"/>
      <c r="D46" s="805"/>
      <c r="E46" s="806"/>
      <c r="F46" s="805"/>
      <c r="G46" s="805"/>
      <c r="H46" s="805"/>
      <c r="I46" s="805"/>
      <c r="J46" s="805"/>
      <c r="K46" s="623"/>
      <c r="L46" s="623"/>
      <c r="M46" s="624"/>
      <c r="FP46" s="561"/>
      <c r="FQ46" s="561"/>
      <c r="FR46" s="561"/>
      <c r="FS46" s="561"/>
      <c r="FT46" s="561"/>
      <c r="FU46" s="561"/>
      <c r="FV46" s="561"/>
      <c r="FW46" s="561"/>
      <c r="FX46" s="561"/>
    </row>
    <row r="47" spans="1:257" s="582" customFormat="1" ht="12" customHeight="1" thickBot="1" x14ac:dyDescent="0.35">
      <c r="A47" s="920" t="s">
        <v>336</v>
      </c>
      <c r="B47" s="921"/>
      <c r="C47" s="921"/>
      <c r="D47" s="921"/>
      <c r="E47" s="921"/>
      <c r="F47" s="921"/>
      <c r="G47" s="921"/>
      <c r="H47" s="921"/>
      <c r="I47" s="921"/>
      <c r="J47" s="921"/>
      <c r="K47" s="921"/>
      <c r="L47" s="921"/>
      <c r="M47" s="922"/>
      <c r="O47" s="560"/>
      <c r="P47" s="560"/>
      <c r="Q47" s="560"/>
      <c r="R47" s="560"/>
      <c r="FY47" s="619"/>
      <c r="FZ47" s="619"/>
      <c r="GA47" s="619"/>
      <c r="GB47" s="619"/>
      <c r="GC47" s="619"/>
      <c r="GD47" s="619"/>
      <c r="GE47" s="619"/>
      <c r="GF47" s="619"/>
      <c r="GG47" s="619"/>
      <c r="GH47" s="619"/>
      <c r="GI47" s="619"/>
      <c r="GJ47" s="619"/>
      <c r="GK47" s="619"/>
      <c r="GL47" s="619"/>
      <c r="GM47" s="619"/>
      <c r="GN47" s="619"/>
      <c r="GO47" s="619"/>
      <c r="GP47" s="619"/>
      <c r="GQ47" s="619"/>
      <c r="GR47" s="619"/>
      <c r="GS47" s="619"/>
      <c r="GT47" s="619"/>
      <c r="GU47" s="619"/>
      <c r="GV47" s="619"/>
      <c r="GW47" s="619"/>
      <c r="GX47" s="619"/>
      <c r="GY47" s="619"/>
      <c r="GZ47" s="619"/>
      <c r="HA47" s="619"/>
      <c r="HB47" s="619"/>
      <c r="HC47" s="619"/>
      <c r="HD47" s="619"/>
      <c r="HE47" s="619"/>
      <c r="HF47" s="619"/>
      <c r="HG47" s="619"/>
      <c r="HH47" s="619"/>
      <c r="HI47" s="619"/>
      <c r="HJ47" s="619"/>
      <c r="HK47" s="619"/>
      <c r="HL47" s="619"/>
      <c r="HM47" s="619"/>
      <c r="HN47" s="619"/>
      <c r="HO47" s="619"/>
      <c r="HP47" s="619"/>
      <c r="HQ47" s="619"/>
      <c r="HR47" s="619"/>
      <c r="HS47" s="619"/>
      <c r="HT47" s="619"/>
      <c r="HU47" s="619"/>
      <c r="HV47" s="619"/>
      <c r="HW47" s="619"/>
      <c r="HX47" s="619"/>
      <c r="HY47" s="619"/>
      <c r="HZ47" s="619"/>
      <c r="IA47" s="619"/>
      <c r="IB47" s="619"/>
      <c r="IC47" s="619"/>
      <c r="ID47" s="619"/>
      <c r="IE47" s="619"/>
      <c r="IF47" s="619"/>
      <c r="IG47" s="619"/>
      <c r="IH47" s="619"/>
      <c r="II47" s="619"/>
      <c r="IJ47" s="619"/>
      <c r="IK47" s="619"/>
      <c r="IL47" s="619"/>
      <c r="IM47" s="619"/>
      <c r="IN47" s="619"/>
      <c r="IO47" s="619"/>
      <c r="IP47" s="619"/>
      <c r="IQ47" s="619"/>
      <c r="IR47" s="619"/>
      <c r="IS47" s="619"/>
      <c r="IT47" s="619"/>
      <c r="IU47" s="619"/>
      <c r="IV47" s="619"/>
      <c r="IW47" s="619"/>
    </row>
    <row r="48" spans="1:257" ht="12" customHeight="1" x14ac:dyDescent="0.3">
      <c r="A48" s="923" t="s">
        <v>148</v>
      </c>
      <c r="B48" s="924"/>
      <c r="C48" s="924"/>
      <c r="D48" s="924"/>
      <c r="E48" s="924"/>
      <c r="F48" s="924"/>
      <c r="G48" s="925" t="s">
        <v>149</v>
      </c>
      <c r="H48" s="925"/>
      <c r="I48" s="925"/>
      <c r="J48" s="925"/>
      <c r="K48" s="925"/>
      <c r="L48" s="925"/>
      <c r="M48" s="926"/>
    </row>
    <row r="49" spans="1:180" x14ac:dyDescent="0.3">
      <c r="A49" s="571" t="s">
        <v>150</v>
      </c>
      <c r="B49" s="833" t="s">
        <v>545</v>
      </c>
      <c r="C49" s="833"/>
      <c r="D49" s="833"/>
      <c r="E49" s="914"/>
      <c r="F49" s="833"/>
      <c r="G49" s="915" t="s">
        <v>150</v>
      </c>
      <c r="H49" s="915"/>
      <c r="I49" s="833" t="s">
        <v>548</v>
      </c>
      <c r="J49" s="833"/>
      <c r="K49" s="833"/>
      <c r="L49" s="833"/>
      <c r="M49" s="916"/>
    </row>
    <row r="50" spans="1:180" x14ac:dyDescent="0.3">
      <c r="A50" s="571" t="s">
        <v>151</v>
      </c>
      <c r="B50" s="833"/>
      <c r="C50" s="833"/>
      <c r="D50" s="833"/>
      <c r="E50" s="914"/>
      <c r="F50" s="833"/>
      <c r="G50" s="915" t="s">
        <v>151</v>
      </c>
      <c r="H50" s="915"/>
      <c r="I50" s="833"/>
      <c r="J50" s="833"/>
      <c r="K50" s="833"/>
      <c r="L50" s="833"/>
      <c r="M50" s="916"/>
    </row>
    <row r="51" spans="1:180" ht="18" customHeight="1" thickBot="1" x14ac:dyDescent="0.35">
      <c r="A51" s="625" t="s">
        <v>152</v>
      </c>
      <c r="B51" s="905"/>
      <c r="C51" s="905"/>
      <c r="D51" s="905"/>
      <c r="E51" s="906"/>
      <c r="F51" s="905"/>
      <c r="G51" s="907" t="s">
        <v>152</v>
      </c>
      <c r="H51" s="907"/>
      <c r="I51" s="905"/>
      <c r="J51" s="905"/>
      <c r="K51" s="905"/>
      <c r="L51" s="905"/>
      <c r="M51" s="908"/>
    </row>
    <row r="52" spans="1:180" ht="12" customHeight="1" x14ac:dyDescent="0.3">
      <c r="A52" s="909" t="s">
        <v>153</v>
      </c>
      <c r="B52" s="910"/>
      <c r="C52" s="910"/>
      <c r="D52" s="910"/>
      <c r="E52" s="911"/>
      <c r="F52" s="910"/>
      <c r="G52" s="912" t="s">
        <v>407</v>
      </c>
      <c r="H52" s="912"/>
      <c r="I52" s="912"/>
      <c r="J52" s="912"/>
      <c r="K52" s="912"/>
      <c r="L52" s="912"/>
      <c r="M52" s="913"/>
    </row>
    <row r="53" spans="1:180" x14ac:dyDescent="0.3">
      <c r="A53" s="571" t="s">
        <v>150</v>
      </c>
      <c r="B53" s="833" t="str">
        <f>IF(ISBLANK(C80), "", C80)</f>
        <v>Registered Curse</v>
      </c>
      <c r="C53" s="833"/>
      <c r="D53" s="833"/>
      <c r="E53" s="914"/>
      <c r="F53" s="833"/>
      <c r="G53" s="915" t="s">
        <v>150</v>
      </c>
      <c r="H53" s="915"/>
      <c r="I53" s="833" t="str">
        <f>IF(ISBLANK(C60), "", C60)</f>
        <v>Double Demonz</v>
      </c>
      <c r="J53" s="833"/>
      <c r="K53" s="833"/>
      <c r="L53" s="833"/>
      <c r="M53" s="916"/>
    </row>
    <row r="54" spans="1:180" x14ac:dyDescent="0.3">
      <c r="A54" s="571" t="s">
        <v>151</v>
      </c>
      <c r="B54" s="833"/>
      <c r="C54" s="833"/>
      <c r="D54" s="833"/>
      <c r="E54" s="914"/>
      <c r="F54" s="833"/>
      <c r="G54" s="915" t="s">
        <v>151</v>
      </c>
      <c r="H54" s="915"/>
      <c r="I54" s="833"/>
      <c r="J54" s="833"/>
      <c r="K54" s="833"/>
      <c r="L54" s="833"/>
      <c r="M54" s="916"/>
    </row>
    <row r="55" spans="1:180" ht="18" customHeight="1" thickBot="1" x14ac:dyDescent="0.35">
      <c r="A55" s="625" t="s">
        <v>152</v>
      </c>
      <c r="B55" s="905"/>
      <c r="C55" s="905"/>
      <c r="D55" s="905"/>
      <c r="E55" s="906"/>
      <c r="F55" s="905"/>
      <c r="G55" s="907" t="s">
        <v>152</v>
      </c>
      <c r="H55" s="907"/>
      <c r="I55" s="905"/>
      <c r="J55" s="905"/>
      <c r="K55" s="905"/>
      <c r="L55" s="905"/>
      <c r="M55" s="908"/>
    </row>
    <row r="56" spans="1:180" ht="33.75" customHeight="1" x14ac:dyDescent="0.3">
      <c r="A56" s="934" t="s">
        <v>510</v>
      </c>
      <c r="B56" s="935"/>
      <c r="C56" s="935"/>
      <c r="D56" s="935"/>
      <c r="E56" s="936"/>
      <c r="F56" s="935"/>
      <c r="G56" s="935"/>
      <c r="H56" s="935"/>
      <c r="I56" s="935"/>
      <c r="J56" s="935"/>
      <c r="K56" s="935"/>
      <c r="L56" s="935"/>
      <c r="M56" s="937"/>
    </row>
    <row r="57" spans="1:180" ht="15" customHeight="1" thickBot="1" x14ac:dyDescent="0.35">
      <c r="A57" s="928" t="s">
        <v>507</v>
      </c>
      <c r="B57" s="929"/>
      <c r="C57" s="929"/>
      <c r="D57" s="929"/>
      <c r="E57" s="930"/>
      <c r="F57" s="929"/>
      <c r="G57" s="929"/>
      <c r="H57" s="929"/>
      <c r="I57" s="929"/>
      <c r="J57" s="929"/>
      <c r="K57" s="929"/>
      <c r="L57" s="929"/>
      <c r="M57" s="931"/>
      <c r="FU57" s="561"/>
      <c r="FV57" s="561"/>
      <c r="FW57" s="561"/>
      <c r="FX57" s="561"/>
    </row>
    <row r="58" spans="1:180" ht="18.45" customHeight="1" x14ac:dyDescent="0.3">
      <c r="A58" s="938" t="s">
        <v>362</v>
      </c>
      <c r="B58" s="939"/>
      <c r="C58" s="939"/>
      <c r="D58" s="939"/>
      <c r="E58" s="939"/>
      <c r="F58" s="939"/>
      <c r="G58" s="939"/>
      <c r="H58" s="939"/>
      <c r="I58" s="939"/>
      <c r="J58" s="939"/>
      <c r="K58" s="939"/>
      <c r="L58" s="939"/>
      <c r="M58" s="940"/>
    </row>
    <row r="59" spans="1:180" x14ac:dyDescent="0.3">
      <c r="A59" s="946" t="s">
        <v>408</v>
      </c>
      <c r="B59" s="947"/>
      <c r="C59" s="842" t="s">
        <v>353</v>
      </c>
      <c r="D59" s="948"/>
      <c r="E59" s="948"/>
      <c r="F59" s="948"/>
      <c r="G59" s="948"/>
      <c r="H59" s="842" t="s">
        <v>351</v>
      </c>
      <c r="I59" s="948"/>
      <c r="J59" s="947"/>
      <c r="K59" s="941" t="s">
        <v>350</v>
      </c>
      <c r="L59" s="941"/>
      <c r="M59" s="942"/>
    </row>
    <row r="60" spans="1:180" x14ac:dyDescent="0.3">
      <c r="A60" s="685" t="s">
        <v>426</v>
      </c>
      <c r="B60" s="686"/>
      <c r="C60" s="763" t="s">
        <v>519</v>
      </c>
      <c r="D60" s="626"/>
      <c r="E60" s="626"/>
      <c r="F60" s="626"/>
      <c r="G60" s="626"/>
      <c r="H60" s="627" t="s">
        <v>520</v>
      </c>
      <c r="I60" s="626"/>
      <c r="J60" s="628"/>
      <c r="K60" s="627"/>
      <c r="L60" s="626"/>
      <c r="M60" s="629"/>
    </row>
    <row r="61" spans="1:180" x14ac:dyDescent="0.3">
      <c r="A61" s="684" t="s">
        <v>521</v>
      </c>
      <c r="B61" s="687"/>
      <c r="C61" s="767" t="s">
        <v>636</v>
      </c>
      <c r="D61" s="630"/>
      <c r="E61" s="630"/>
      <c r="F61" s="630"/>
      <c r="G61" s="630"/>
      <c r="H61" s="631" t="s">
        <v>522</v>
      </c>
      <c r="I61" s="630"/>
      <c r="J61" s="632"/>
      <c r="K61" s="631"/>
      <c r="L61" s="630"/>
      <c r="M61" s="633"/>
    </row>
    <row r="62" spans="1:180" x14ac:dyDescent="0.3">
      <c r="A62" s="688" t="s">
        <v>521</v>
      </c>
      <c r="B62" s="689"/>
      <c r="C62" s="635" t="s">
        <v>523</v>
      </c>
      <c r="D62" s="636"/>
      <c r="E62" s="636"/>
      <c r="F62" s="634"/>
      <c r="G62" s="626"/>
      <c r="H62" s="627" t="s">
        <v>520</v>
      </c>
      <c r="I62" s="626"/>
      <c r="J62" s="628"/>
      <c r="K62" s="627"/>
      <c r="L62" s="626"/>
      <c r="M62" s="629"/>
    </row>
    <row r="63" spans="1:180" x14ac:dyDescent="0.3">
      <c r="A63" s="690" t="s">
        <v>175</v>
      </c>
      <c r="B63" s="691"/>
      <c r="C63" s="767" t="s">
        <v>637</v>
      </c>
      <c r="D63" s="638"/>
      <c r="E63" s="638"/>
      <c r="F63" s="637"/>
      <c r="G63" s="630"/>
      <c r="H63" s="631"/>
      <c r="I63" s="630"/>
      <c r="J63" s="632"/>
      <c r="K63" s="631"/>
      <c r="L63" s="630"/>
      <c r="M63" s="633"/>
    </row>
    <row r="64" spans="1:180" x14ac:dyDescent="0.3">
      <c r="A64" s="688" t="s">
        <v>410</v>
      </c>
      <c r="B64" s="689"/>
      <c r="C64" s="635" t="s">
        <v>519</v>
      </c>
      <c r="D64" s="634"/>
      <c r="E64" s="634"/>
      <c r="F64" s="634"/>
      <c r="G64" s="626"/>
      <c r="H64" s="627" t="s">
        <v>520</v>
      </c>
      <c r="I64" s="626"/>
      <c r="J64" s="628"/>
      <c r="K64" s="627"/>
      <c r="L64" s="626"/>
      <c r="M64" s="629"/>
    </row>
    <row r="65" spans="1:13" x14ac:dyDescent="0.3">
      <c r="A65" s="684" t="s">
        <v>346</v>
      </c>
      <c r="B65" s="687"/>
      <c r="C65" s="631" t="s">
        <v>525</v>
      </c>
      <c r="D65" s="630"/>
      <c r="E65" s="630"/>
      <c r="F65" s="630"/>
      <c r="G65" s="630"/>
      <c r="H65" s="631" t="s">
        <v>526</v>
      </c>
      <c r="I65" s="630"/>
      <c r="J65" s="632"/>
      <c r="K65" s="631"/>
      <c r="L65" s="630"/>
      <c r="M65" s="633"/>
    </row>
    <row r="66" spans="1:13" x14ac:dyDescent="0.3">
      <c r="A66" s="685" t="s">
        <v>174</v>
      </c>
      <c r="B66" s="686"/>
      <c r="C66" s="635" t="s">
        <v>527</v>
      </c>
      <c r="D66" s="639"/>
      <c r="E66" s="639"/>
      <c r="F66" s="626"/>
      <c r="G66" s="626"/>
      <c r="H66" s="627" t="s">
        <v>517</v>
      </c>
      <c r="I66" s="626"/>
      <c r="J66" s="628"/>
      <c r="K66" s="627"/>
      <c r="L66" s="626"/>
      <c r="M66" s="629"/>
    </row>
    <row r="67" spans="1:13" x14ac:dyDescent="0.3">
      <c r="A67" s="684" t="s">
        <v>174</v>
      </c>
      <c r="B67" s="687"/>
      <c r="C67" s="631" t="s">
        <v>528</v>
      </c>
      <c r="D67" s="630"/>
      <c r="E67" s="630"/>
      <c r="F67" s="630"/>
      <c r="G67" s="630"/>
      <c r="H67" s="631" t="s">
        <v>517</v>
      </c>
      <c r="I67" s="630"/>
      <c r="J67" s="632"/>
      <c r="K67" s="631"/>
      <c r="L67" s="630"/>
      <c r="M67" s="633"/>
    </row>
    <row r="68" spans="1:13" x14ac:dyDescent="0.3">
      <c r="A68" s="685" t="s">
        <v>464</v>
      </c>
      <c r="B68" s="686"/>
      <c r="C68" s="635" t="s">
        <v>529</v>
      </c>
      <c r="D68" s="639"/>
      <c r="E68" s="639"/>
      <c r="F68" s="626"/>
      <c r="G68" s="626"/>
      <c r="H68" s="627" t="s">
        <v>517</v>
      </c>
      <c r="I68" s="626"/>
      <c r="J68" s="628"/>
      <c r="K68" s="627"/>
      <c r="L68" s="626"/>
      <c r="M68" s="629"/>
    </row>
    <row r="69" spans="1:13" x14ac:dyDescent="0.3">
      <c r="A69" s="684" t="s">
        <v>347</v>
      </c>
      <c r="B69" s="687"/>
      <c r="C69" s="631" t="s">
        <v>530</v>
      </c>
      <c r="D69" s="630"/>
      <c r="E69" s="630"/>
      <c r="F69" s="630"/>
      <c r="G69" s="630"/>
      <c r="H69" s="631" t="s">
        <v>522</v>
      </c>
      <c r="I69" s="630"/>
      <c r="J69" s="632"/>
      <c r="K69" s="631"/>
      <c r="L69" s="630"/>
      <c r="M69" s="633"/>
    </row>
    <row r="70" spans="1:13" x14ac:dyDescent="0.3">
      <c r="A70" s="685" t="s">
        <v>178</v>
      </c>
      <c r="B70" s="686"/>
      <c r="C70" s="635" t="s">
        <v>531</v>
      </c>
      <c r="D70" s="626"/>
      <c r="E70" s="626"/>
      <c r="F70" s="626"/>
      <c r="G70" s="626"/>
      <c r="H70" s="627" t="s">
        <v>517</v>
      </c>
      <c r="I70" s="626"/>
      <c r="J70" s="628"/>
      <c r="K70" s="627"/>
      <c r="L70" s="626"/>
      <c r="M70" s="629"/>
    </row>
    <row r="71" spans="1:13" x14ac:dyDescent="0.3">
      <c r="A71" s="684" t="s">
        <v>178</v>
      </c>
      <c r="B71" s="687"/>
      <c r="C71" s="631" t="s">
        <v>532</v>
      </c>
      <c r="D71" s="640"/>
      <c r="E71" s="640"/>
      <c r="F71" s="630"/>
      <c r="G71" s="630"/>
      <c r="H71" s="631" t="s">
        <v>517</v>
      </c>
      <c r="I71" s="630"/>
      <c r="J71" s="632"/>
      <c r="K71" s="631"/>
      <c r="L71" s="630"/>
      <c r="M71" s="633"/>
    </row>
    <row r="72" spans="1:13" x14ac:dyDescent="0.3">
      <c r="A72" s="685" t="s">
        <v>176</v>
      </c>
      <c r="B72" s="686"/>
      <c r="C72" s="635" t="s">
        <v>533</v>
      </c>
      <c r="D72" s="639"/>
      <c r="E72" s="639"/>
      <c r="F72" s="626"/>
      <c r="G72" s="626"/>
      <c r="H72" s="627" t="s">
        <v>517</v>
      </c>
      <c r="I72" s="626"/>
      <c r="J72" s="628"/>
      <c r="K72" s="627"/>
      <c r="L72" s="626"/>
      <c r="M72" s="629"/>
    </row>
    <row r="73" spans="1:13" x14ac:dyDescent="0.3">
      <c r="A73" s="684" t="s">
        <v>176</v>
      </c>
      <c r="B73" s="687"/>
      <c r="C73" s="631" t="s">
        <v>534</v>
      </c>
      <c r="D73" s="640"/>
      <c r="E73" s="640"/>
      <c r="F73" s="630"/>
      <c r="G73" s="630"/>
      <c r="H73" s="631" t="s">
        <v>517</v>
      </c>
      <c r="I73" s="630"/>
      <c r="J73" s="632"/>
      <c r="K73" s="631"/>
      <c r="L73" s="630"/>
      <c r="M73" s="633"/>
    </row>
    <row r="74" spans="1:13" x14ac:dyDescent="0.3">
      <c r="A74" s="685" t="s">
        <v>179</v>
      </c>
      <c r="B74" s="686"/>
      <c r="C74" s="635"/>
      <c r="D74" s="639"/>
      <c r="E74" s="639"/>
      <c r="F74" s="626"/>
      <c r="G74" s="626"/>
      <c r="H74" s="627"/>
      <c r="I74" s="626"/>
      <c r="J74" s="628"/>
      <c r="K74" s="627"/>
      <c r="L74" s="626"/>
      <c r="M74" s="629"/>
    </row>
    <row r="75" spans="1:13" x14ac:dyDescent="0.3">
      <c r="A75" s="684"/>
      <c r="B75" s="687"/>
      <c r="C75" s="631"/>
      <c r="D75" s="630"/>
      <c r="E75" s="630"/>
      <c r="F75" s="630"/>
      <c r="G75" s="630"/>
      <c r="H75" s="631"/>
      <c r="I75" s="630"/>
      <c r="J75" s="632"/>
      <c r="K75" s="631"/>
      <c r="L75" s="630"/>
      <c r="M75" s="633"/>
    </row>
    <row r="76" spans="1:13" x14ac:dyDescent="0.3">
      <c r="A76" s="688"/>
      <c r="B76" s="686"/>
      <c r="C76" s="627"/>
      <c r="D76" s="626"/>
      <c r="E76" s="626"/>
      <c r="F76" s="626"/>
      <c r="G76" s="626"/>
      <c r="H76" s="627"/>
      <c r="I76" s="626"/>
      <c r="J76" s="628"/>
      <c r="K76" s="627"/>
      <c r="L76" s="626"/>
      <c r="M76" s="629"/>
    </row>
    <row r="77" spans="1:13" x14ac:dyDescent="0.3">
      <c r="A77" s="684"/>
      <c r="B77" s="687"/>
      <c r="C77" s="631"/>
      <c r="D77" s="630"/>
      <c r="E77" s="630"/>
      <c r="F77" s="630"/>
      <c r="G77" s="630"/>
      <c r="H77" s="631"/>
      <c r="I77" s="630"/>
      <c r="J77" s="632"/>
      <c r="K77" s="631"/>
      <c r="L77" s="630"/>
      <c r="M77" s="633"/>
    </row>
    <row r="78" spans="1:13" x14ac:dyDescent="0.3">
      <c r="A78" s="688"/>
      <c r="B78" s="686"/>
      <c r="C78" s="627"/>
      <c r="D78" s="626"/>
      <c r="E78" s="626"/>
      <c r="F78" s="626"/>
      <c r="G78" s="626"/>
      <c r="H78" s="627"/>
      <c r="I78" s="626"/>
      <c r="J78" s="628"/>
      <c r="K78" s="627"/>
      <c r="L78" s="626"/>
      <c r="M78" s="629"/>
    </row>
    <row r="79" spans="1:13" x14ac:dyDescent="0.3">
      <c r="A79" s="684"/>
      <c r="B79" s="687"/>
      <c r="C79" s="631"/>
      <c r="D79" s="630"/>
      <c r="E79" s="630"/>
      <c r="F79" s="630"/>
      <c r="G79" s="630"/>
      <c r="H79" s="631"/>
      <c r="I79" s="630"/>
      <c r="J79" s="632"/>
      <c r="K79" s="631"/>
      <c r="L79" s="630"/>
      <c r="M79" s="633"/>
    </row>
    <row r="80" spans="1:13" x14ac:dyDescent="0.3">
      <c r="A80" s="685" t="s">
        <v>337</v>
      </c>
      <c r="B80" s="686"/>
      <c r="C80" s="763" t="s">
        <v>535</v>
      </c>
      <c r="D80" s="626"/>
      <c r="E80" s="626"/>
      <c r="F80" s="626"/>
      <c r="G80" s="626"/>
      <c r="H80" s="627" t="s">
        <v>520</v>
      </c>
      <c r="I80" s="626"/>
      <c r="J80" s="628"/>
      <c r="K80" s="627"/>
      <c r="L80" s="626"/>
      <c r="M80" s="629"/>
    </row>
    <row r="81" spans="1:13" x14ac:dyDescent="0.3">
      <c r="A81" s="684" t="s">
        <v>337</v>
      </c>
      <c r="B81" s="687"/>
      <c r="C81" s="631" t="s">
        <v>536</v>
      </c>
      <c r="D81" s="640"/>
      <c r="E81" s="640"/>
      <c r="F81" s="630"/>
      <c r="G81" s="630"/>
      <c r="H81" s="631" t="s">
        <v>517</v>
      </c>
      <c r="I81" s="630"/>
      <c r="J81" s="632"/>
      <c r="K81" s="631"/>
      <c r="L81" s="630"/>
      <c r="M81" s="633"/>
    </row>
    <row r="82" spans="1:13" x14ac:dyDescent="0.3">
      <c r="A82" s="685" t="s">
        <v>338</v>
      </c>
      <c r="B82" s="686"/>
      <c r="C82" s="627" t="s">
        <v>537</v>
      </c>
      <c r="D82" s="626"/>
      <c r="E82" s="626"/>
      <c r="F82" s="626"/>
      <c r="G82" s="626"/>
      <c r="H82" s="627"/>
      <c r="I82" s="626"/>
      <c r="J82" s="628"/>
      <c r="K82" s="627"/>
      <c r="L82" s="626"/>
      <c r="M82" s="629"/>
    </row>
    <row r="83" spans="1:13" x14ac:dyDescent="0.3">
      <c r="A83" s="684" t="s">
        <v>338</v>
      </c>
      <c r="B83" s="687"/>
      <c r="C83" s="631" t="s">
        <v>538</v>
      </c>
      <c r="D83" s="630"/>
      <c r="E83" s="630"/>
      <c r="F83" s="630"/>
      <c r="G83" s="630"/>
      <c r="H83" s="631" t="s">
        <v>539</v>
      </c>
      <c r="I83" s="630"/>
      <c r="J83" s="632"/>
      <c r="K83" s="631"/>
      <c r="L83" s="630"/>
      <c r="M83" s="633"/>
    </row>
    <row r="84" spans="1:13" x14ac:dyDescent="0.3">
      <c r="A84" s="685" t="s">
        <v>339</v>
      </c>
      <c r="B84" s="686"/>
      <c r="C84" s="627" t="s">
        <v>540</v>
      </c>
      <c r="D84" s="639"/>
      <c r="E84" s="639"/>
      <c r="F84" s="626"/>
      <c r="G84" s="626"/>
      <c r="H84" s="627" t="s">
        <v>520</v>
      </c>
      <c r="I84" s="626"/>
      <c r="J84" s="628"/>
      <c r="K84" s="627"/>
      <c r="L84" s="626"/>
      <c r="M84" s="629"/>
    </row>
    <row r="85" spans="1:13" x14ac:dyDescent="0.3">
      <c r="A85" s="684" t="s">
        <v>339</v>
      </c>
      <c r="B85" s="687"/>
      <c r="C85" s="631" t="s">
        <v>541</v>
      </c>
      <c r="D85" s="640"/>
      <c r="E85" s="640"/>
      <c r="F85" s="630"/>
      <c r="G85" s="630"/>
      <c r="H85" s="631" t="s">
        <v>526</v>
      </c>
      <c r="I85" s="630"/>
      <c r="J85" s="632"/>
      <c r="K85" s="631"/>
      <c r="L85" s="630"/>
      <c r="M85" s="633"/>
    </row>
    <row r="86" spans="1:13" x14ac:dyDescent="0.3">
      <c r="A86" s="685" t="s">
        <v>339</v>
      </c>
      <c r="B86" s="686"/>
      <c r="C86" s="627" t="s">
        <v>542</v>
      </c>
      <c r="D86" s="639"/>
      <c r="E86" s="639"/>
      <c r="F86" s="626"/>
      <c r="G86" s="626"/>
      <c r="H86" s="627" t="s">
        <v>520</v>
      </c>
      <c r="I86" s="626"/>
      <c r="J86" s="628"/>
      <c r="K86" s="627"/>
      <c r="L86" s="626"/>
      <c r="M86" s="629"/>
    </row>
    <row r="87" spans="1:13" ht="14.4" thickBot="1" x14ac:dyDescent="0.35">
      <c r="A87" s="692" t="s">
        <v>340</v>
      </c>
      <c r="B87" s="693"/>
      <c r="C87" s="631"/>
      <c r="D87" s="642"/>
      <c r="E87" s="643"/>
      <c r="F87" s="641"/>
      <c r="G87" s="641"/>
      <c r="H87" s="631"/>
      <c r="I87" s="644"/>
      <c r="J87" s="645"/>
      <c r="K87" s="646"/>
      <c r="L87" s="641"/>
      <c r="M87" s="647"/>
    </row>
    <row r="88" spans="1:13" ht="14.4" thickBot="1" x14ac:dyDescent="0.35">
      <c r="A88" s="943" t="s">
        <v>466</v>
      </c>
      <c r="B88" s="944"/>
      <c r="C88" s="944"/>
      <c r="D88" s="944"/>
      <c r="E88" s="944"/>
      <c r="F88" s="944"/>
      <c r="G88" s="944"/>
      <c r="H88" s="944"/>
      <c r="I88" s="944"/>
      <c r="J88" s="944"/>
      <c r="K88" s="944"/>
      <c r="L88" s="944"/>
      <c r="M88" s="945"/>
    </row>
    <row r="89" spans="1:13" ht="39" customHeight="1" x14ac:dyDescent="0.3">
      <c r="A89" s="933" t="str">
        <f>A56</f>
        <v>For Sanctioned games only: The host team follows the timeline and process for submitting required sanctioning data described in the WFTDA Sanctioning policy The current WFTDA Sanctioning policy may be found at https://wftda.org/sanctioning-policy</v>
      </c>
      <c r="B89" s="933"/>
      <c r="C89" s="933"/>
      <c r="D89" s="933"/>
      <c r="E89" s="933"/>
      <c r="F89" s="933"/>
      <c r="G89" s="933"/>
      <c r="H89" s="933"/>
      <c r="I89" s="933"/>
      <c r="J89" s="933"/>
      <c r="K89" s="933"/>
      <c r="L89" s="933"/>
      <c r="M89" s="933"/>
    </row>
    <row r="90" spans="1:13" ht="15" customHeight="1" x14ac:dyDescent="0.3">
      <c r="A90" s="932" t="str">
        <f>A57</f>
        <v>IGRF Rev. 190101 © 2019 Women's Flat Track Derby Association (WFTDA)</v>
      </c>
      <c r="B90" s="932"/>
      <c r="C90" s="932"/>
      <c r="D90" s="932"/>
      <c r="E90" s="932"/>
      <c r="F90" s="932"/>
      <c r="G90" s="932"/>
      <c r="H90" s="932"/>
      <c r="I90" s="932"/>
      <c r="J90" s="932"/>
      <c r="K90" s="932"/>
      <c r="L90" s="932"/>
      <c r="M90" s="932"/>
    </row>
    <row r="91" spans="1:13" x14ac:dyDescent="0.3">
      <c r="A91" s="560"/>
      <c r="B91" s="560"/>
      <c r="C91" s="560"/>
      <c r="D91" s="560"/>
      <c r="E91" s="560"/>
      <c r="F91" s="560"/>
      <c r="G91" s="560"/>
      <c r="H91" s="560"/>
      <c r="I91" s="560"/>
      <c r="J91" s="560"/>
      <c r="K91" s="560"/>
      <c r="L91" s="560"/>
      <c r="M91" s="560"/>
    </row>
    <row r="92" spans="1:13" x14ac:dyDescent="0.3">
      <c r="A92" s="560"/>
      <c r="B92" s="560"/>
      <c r="C92" s="560"/>
      <c r="D92" s="560"/>
      <c r="E92" s="560"/>
      <c r="F92" s="560"/>
      <c r="G92" s="560"/>
      <c r="H92" s="560"/>
      <c r="I92" s="560"/>
      <c r="J92" s="560"/>
      <c r="K92" s="560"/>
      <c r="L92" s="560"/>
      <c r="M92" s="560"/>
    </row>
    <row r="93" spans="1:13" x14ac:dyDescent="0.3">
      <c r="A93" s="560"/>
      <c r="B93" s="560"/>
      <c r="C93" s="560"/>
      <c r="D93" s="560"/>
      <c r="E93" s="560"/>
      <c r="F93" s="560"/>
      <c r="G93" s="560"/>
      <c r="H93" s="560"/>
      <c r="I93" s="560"/>
      <c r="J93" s="560"/>
      <c r="K93" s="560"/>
      <c r="L93" s="560"/>
      <c r="M93" s="560"/>
    </row>
    <row r="94" spans="1:13" x14ac:dyDescent="0.3">
      <c r="A94" s="560"/>
      <c r="B94" s="560"/>
      <c r="C94" s="560"/>
      <c r="D94" s="560"/>
      <c r="E94" s="560"/>
      <c r="F94" s="560"/>
      <c r="G94" s="560"/>
      <c r="H94" s="560"/>
      <c r="I94" s="560"/>
      <c r="J94" s="560"/>
      <c r="K94" s="560"/>
      <c r="L94" s="560"/>
      <c r="M94" s="560"/>
    </row>
    <row r="95" spans="1:13" x14ac:dyDescent="0.3">
      <c r="A95" s="560"/>
      <c r="B95" s="560"/>
      <c r="C95" s="560"/>
      <c r="D95" s="560"/>
      <c r="E95" s="560"/>
      <c r="F95" s="560"/>
      <c r="G95" s="560"/>
      <c r="H95" s="560"/>
      <c r="I95" s="560"/>
      <c r="J95" s="560"/>
      <c r="K95" s="560"/>
      <c r="L95" s="560"/>
      <c r="M95" s="560"/>
    </row>
    <row r="96" spans="1:13" x14ac:dyDescent="0.3">
      <c r="A96" s="560"/>
      <c r="B96" s="560"/>
      <c r="C96" s="560"/>
      <c r="D96" s="560"/>
      <c r="E96" s="560"/>
      <c r="F96" s="560"/>
      <c r="G96" s="560"/>
      <c r="H96" s="560"/>
      <c r="I96" s="560"/>
      <c r="J96" s="560"/>
      <c r="K96" s="560"/>
      <c r="L96" s="560"/>
      <c r="M96" s="560"/>
    </row>
    <row r="97" spans="1:13" x14ac:dyDescent="0.3">
      <c r="A97" s="560"/>
      <c r="B97" s="560"/>
      <c r="C97" s="560"/>
      <c r="D97" s="560"/>
      <c r="E97" s="560"/>
      <c r="F97" s="560"/>
      <c r="G97" s="560"/>
      <c r="H97" s="560"/>
      <c r="I97" s="560"/>
      <c r="J97" s="560"/>
      <c r="K97" s="560"/>
      <c r="L97" s="560"/>
      <c r="M97" s="560"/>
    </row>
    <row r="98" spans="1:13" x14ac:dyDescent="0.3">
      <c r="A98" s="560"/>
      <c r="B98" s="560"/>
      <c r="C98" s="560"/>
      <c r="D98" s="560"/>
      <c r="E98" s="560"/>
      <c r="F98" s="560"/>
      <c r="G98" s="560"/>
      <c r="H98" s="560"/>
      <c r="I98" s="560"/>
      <c r="J98" s="560"/>
      <c r="K98" s="560"/>
      <c r="L98" s="560"/>
      <c r="M98" s="560"/>
    </row>
    <row r="99" spans="1:13" x14ac:dyDescent="0.3">
      <c r="A99" s="560"/>
      <c r="B99" s="560"/>
      <c r="C99" s="560"/>
      <c r="D99" s="560"/>
      <c r="E99" s="560"/>
      <c r="F99" s="560"/>
      <c r="G99" s="560"/>
      <c r="H99" s="560"/>
      <c r="I99" s="560"/>
      <c r="J99" s="560"/>
      <c r="K99" s="560"/>
      <c r="L99" s="560"/>
      <c r="M99" s="560"/>
    </row>
    <row r="100" spans="1:13" x14ac:dyDescent="0.3">
      <c r="A100" s="560"/>
      <c r="B100" s="560"/>
      <c r="C100" s="560"/>
      <c r="D100" s="560"/>
      <c r="E100" s="560"/>
      <c r="F100" s="560"/>
      <c r="G100" s="560"/>
      <c r="H100" s="560"/>
      <c r="I100" s="560"/>
      <c r="J100" s="560"/>
      <c r="K100" s="560"/>
      <c r="L100" s="560"/>
      <c r="M100" s="560"/>
    </row>
    <row r="101" spans="1:13" x14ac:dyDescent="0.3">
      <c r="A101" s="560"/>
      <c r="B101" s="560"/>
      <c r="C101" s="560"/>
      <c r="D101" s="560"/>
      <c r="E101" s="560"/>
      <c r="F101" s="560"/>
      <c r="G101" s="560"/>
      <c r="H101" s="560"/>
      <c r="I101" s="560"/>
      <c r="J101" s="560"/>
      <c r="K101" s="560"/>
      <c r="L101" s="560"/>
      <c r="M101" s="560"/>
    </row>
    <row r="102" spans="1:13" x14ac:dyDescent="0.3">
      <c r="A102" s="560"/>
      <c r="B102" s="560"/>
      <c r="C102" s="560"/>
      <c r="D102" s="560"/>
      <c r="E102" s="560"/>
      <c r="F102" s="560"/>
      <c r="G102" s="560"/>
      <c r="H102" s="560"/>
      <c r="I102" s="560"/>
      <c r="J102" s="560"/>
      <c r="K102" s="560"/>
      <c r="L102" s="560"/>
      <c r="M102" s="560"/>
    </row>
    <row r="103" spans="1:13" x14ac:dyDescent="0.3">
      <c r="A103" s="560"/>
      <c r="B103" s="560"/>
      <c r="C103" s="560"/>
      <c r="D103" s="560"/>
      <c r="E103" s="560"/>
      <c r="F103" s="560"/>
      <c r="G103" s="560"/>
      <c r="H103" s="560"/>
      <c r="I103" s="560"/>
      <c r="J103" s="560"/>
      <c r="K103" s="560"/>
      <c r="L103" s="560"/>
      <c r="M103" s="560"/>
    </row>
    <row r="104" spans="1:13" x14ac:dyDescent="0.3">
      <c r="A104" s="560"/>
      <c r="B104" s="560"/>
      <c r="C104" s="560"/>
      <c r="D104" s="560"/>
      <c r="E104" s="560"/>
      <c r="F104" s="560"/>
      <c r="G104" s="560"/>
      <c r="H104" s="560"/>
      <c r="I104" s="560"/>
      <c r="J104" s="560"/>
      <c r="K104" s="560"/>
      <c r="L104" s="560"/>
      <c r="M104" s="560"/>
    </row>
    <row r="105" spans="1:13" x14ac:dyDescent="0.3">
      <c r="A105" s="560"/>
      <c r="B105" s="560"/>
      <c r="C105" s="560"/>
      <c r="D105" s="560"/>
      <c r="E105" s="560"/>
      <c r="F105" s="560"/>
      <c r="G105" s="560"/>
      <c r="H105" s="560"/>
      <c r="I105" s="560"/>
      <c r="J105" s="560"/>
      <c r="K105" s="560"/>
      <c r="L105" s="560"/>
      <c r="M105" s="560"/>
    </row>
    <row r="106" spans="1:13" x14ac:dyDescent="0.3">
      <c r="A106" s="560"/>
      <c r="B106" s="560"/>
      <c r="C106" s="560"/>
      <c r="D106" s="560"/>
      <c r="E106" s="560"/>
      <c r="F106" s="560"/>
      <c r="G106" s="560"/>
      <c r="H106" s="560"/>
      <c r="I106" s="560"/>
      <c r="J106" s="560"/>
      <c r="K106" s="560"/>
      <c r="L106" s="560"/>
      <c r="M106" s="560"/>
    </row>
    <row r="107" spans="1:13" x14ac:dyDescent="0.3">
      <c r="A107" s="560"/>
      <c r="B107" s="560"/>
      <c r="C107" s="560"/>
      <c r="D107" s="560"/>
      <c r="E107" s="560"/>
      <c r="F107" s="560"/>
      <c r="G107" s="560"/>
      <c r="H107" s="560"/>
      <c r="I107" s="560"/>
      <c r="J107" s="560"/>
      <c r="K107" s="560"/>
      <c r="L107" s="560"/>
      <c r="M107" s="560"/>
    </row>
    <row r="108" spans="1:13" x14ac:dyDescent="0.3">
      <c r="A108" s="560"/>
      <c r="B108" s="560"/>
      <c r="C108" s="560"/>
      <c r="D108" s="560"/>
      <c r="E108" s="560"/>
      <c r="F108" s="560"/>
      <c r="G108" s="560"/>
      <c r="H108" s="560"/>
      <c r="I108" s="560"/>
      <c r="J108" s="560"/>
      <c r="K108" s="560"/>
      <c r="L108" s="560"/>
      <c r="M108" s="560"/>
    </row>
    <row r="109" spans="1:13" x14ac:dyDescent="0.3">
      <c r="A109" s="560"/>
      <c r="B109" s="560"/>
      <c r="C109" s="560"/>
      <c r="D109" s="560"/>
      <c r="E109" s="560"/>
      <c r="F109" s="560"/>
      <c r="G109" s="560"/>
      <c r="H109" s="560"/>
      <c r="I109" s="560"/>
      <c r="J109" s="560"/>
      <c r="K109" s="560"/>
      <c r="L109" s="560"/>
      <c r="M109" s="560"/>
    </row>
    <row r="110" spans="1:13" x14ac:dyDescent="0.3">
      <c r="A110" s="560"/>
      <c r="B110" s="560"/>
      <c r="C110" s="560"/>
      <c r="D110" s="560"/>
      <c r="E110" s="560"/>
      <c r="F110" s="560"/>
      <c r="G110" s="560"/>
      <c r="H110" s="560"/>
      <c r="I110" s="560"/>
      <c r="J110" s="560"/>
      <c r="K110" s="560"/>
      <c r="L110" s="560"/>
      <c r="M110" s="560"/>
    </row>
    <row r="111" spans="1:13" x14ac:dyDescent="0.3">
      <c r="A111" s="560"/>
      <c r="B111" s="560"/>
      <c r="C111" s="560"/>
      <c r="D111" s="560"/>
      <c r="E111" s="560"/>
      <c r="F111" s="560"/>
      <c r="G111" s="560"/>
      <c r="H111" s="560"/>
      <c r="I111" s="560"/>
      <c r="J111" s="560"/>
      <c r="K111" s="560"/>
      <c r="L111" s="560"/>
      <c r="M111" s="560"/>
    </row>
    <row r="112" spans="1:13" x14ac:dyDescent="0.3">
      <c r="A112" s="560"/>
      <c r="B112" s="560"/>
      <c r="C112" s="560"/>
      <c r="D112" s="560"/>
      <c r="E112" s="560"/>
      <c r="F112" s="560"/>
      <c r="G112" s="560"/>
      <c r="H112" s="560"/>
      <c r="I112" s="560"/>
      <c r="J112" s="560"/>
      <c r="K112" s="560"/>
      <c r="L112" s="560"/>
      <c r="M112" s="560"/>
    </row>
    <row r="113" spans="1:13" x14ac:dyDescent="0.3">
      <c r="A113" s="560"/>
      <c r="B113" s="560"/>
      <c r="C113" s="560"/>
      <c r="D113" s="560"/>
      <c r="E113" s="560"/>
      <c r="F113" s="560"/>
      <c r="G113" s="560"/>
      <c r="H113" s="560"/>
      <c r="I113" s="560"/>
      <c r="J113" s="560"/>
      <c r="K113" s="560"/>
      <c r="L113" s="560"/>
      <c r="M113" s="560"/>
    </row>
    <row r="114" spans="1:13" x14ac:dyDescent="0.3">
      <c r="A114" s="560"/>
      <c r="B114" s="560"/>
      <c r="C114" s="560"/>
      <c r="D114" s="560"/>
      <c r="E114" s="560"/>
      <c r="F114" s="560"/>
      <c r="G114" s="560"/>
      <c r="H114" s="560"/>
      <c r="I114" s="560"/>
      <c r="J114" s="560"/>
      <c r="K114" s="560"/>
      <c r="L114" s="560"/>
      <c r="M114" s="560"/>
    </row>
    <row r="115" spans="1:13" x14ac:dyDescent="0.3">
      <c r="A115" s="560"/>
      <c r="B115" s="560"/>
      <c r="C115" s="560"/>
      <c r="D115" s="560"/>
      <c r="E115" s="560"/>
      <c r="F115" s="560"/>
      <c r="G115" s="560"/>
      <c r="H115" s="560"/>
      <c r="I115" s="560"/>
      <c r="J115" s="560"/>
      <c r="K115" s="560"/>
      <c r="L115" s="560"/>
      <c r="M115" s="560"/>
    </row>
    <row r="116" spans="1:13" x14ac:dyDescent="0.3">
      <c r="A116" s="560"/>
      <c r="B116" s="560"/>
      <c r="C116" s="560"/>
      <c r="D116" s="560"/>
      <c r="E116" s="560"/>
      <c r="F116" s="560"/>
      <c r="G116" s="560"/>
      <c r="H116" s="560"/>
      <c r="I116" s="560"/>
      <c r="J116" s="560"/>
      <c r="K116" s="560"/>
      <c r="L116" s="560"/>
      <c r="M116" s="560"/>
    </row>
  </sheetData>
  <mergeCells count="107">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43:J44"/>
    <mergeCell ref="A45:J46"/>
    <mergeCell ref="A40:B40"/>
    <mergeCell ref="C40:D40"/>
    <mergeCell ref="A34:M34"/>
    <mergeCell ref="L41:M41"/>
    <mergeCell ref="L43:M43"/>
    <mergeCell ref="L45:M45"/>
    <mergeCell ref="I39:M39"/>
    <mergeCell ref="F39:H39"/>
  </mergeCells>
  <phoneticPr fontId="8"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N62" zoomScaleNormal="100" zoomScaleSheetLayoutView="75" workbookViewId="0">
      <selection activeCell="C68" sqref="C68"/>
    </sheetView>
  </sheetViews>
  <sheetFormatPr defaultColWidth="8.77734375" defaultRowHeight="12" customHeight="1" x14ac:dyDescent="0.3"/>
  <cols>
    <col min="1" max="1" width="7.6640625" style="3" customWidth="1"/>
    <col min="2" max="2" width="15.6640625" style="3" customWidth="1"/>
    <col min="3" max="7" width="3.6640625" style="3" customWidth="1"/>
    <col min="8" max="12" width="13.6640625" style="3" customWidth="1"/>
    <col min="13" max="18" width="12.6640625" style="3" customWidth="1"/>
    <col min="19" max="19" width="9.109375" style="3" hidden="1" customWidth="1"/>
    <col min="20" max="20" width="7.6640625" style="3" customWidth="1"/>
    <col min="21" max="21" width="15.6640625" style="3" customWidth="1"/>
    <col min="22" max="26" width="3.6640625" style="3" customWidth="1"/>
    <col min="27" max="31" width="13.6640625" style="3" customWidth="1"/>
    <col min="32" max="37" width="12.6640625" style="3" customWidth="1"/>
    <col min="38" max="38" width="9.109375" style="3" hidden="1" customWidth="1"/>
    <col min="39" max="208" width="11.44140625" style="3" customWidth="1"/>
    <col min="209" max="16384" width="8.77734375" style="3"/>
  </cols>
  <sheetData>
    <row r="1" spans="1:38" s="2" customFormat="1" ht="30" customHeight="1" x14ac:dyDescent="0.45">
      <c r="A1" s="951" t="str">
        <f>IF(IGRF!B11="","Home Team",IF(IGRF!B10=IGRF!I10,IGRF!B11,IF(IGRF!B10=IGRF!B11,IGRF!B10,IF(OR(IGRF!L3="A",IGRF!L3="B"),IGRF!B10&amp;" "&amp;IGRF!L3,IGRF!B10&amp;" / "&amp;IGRF!B11))))</f>
        <v>Black Rose Rollers / All Stars</v>
      </c>
      <c r="B1" s="951"/>
      <c r="C1" s="951"/>
      <c r="D1" s="951"/>
      <c r="E1" s="951"/>
      <c r="F1" s="951"/>
      <c r="G1" s="951"/>
      <c r="H1" s="951"/>
      <c r="I1" s="955" t="str">
        <f>IF(ISBLANK(IGRF!$B$12), "", IGRF!$B$12)</f>
        <v>Black</v>
      </c>
      <c r="J1" s="955"/>
      <c r="K1" s="164">
        <f>IF(ISBLANK(IGRF!$B$7), "", IGRF!$B$7)</f>
        <v>45144</v>
      </c>
      <c r="L1" s="949" t="s">
        <v>527</v>
      </c>
      <c r="M1" s="949"/>
      <c r="N1" s="949"/>
      <c r="O1" s="950" t="s">
        <v>538</v>
      </c>
      <c r="P1" s="950"/>
      <c r="Q1" s="950"/>
      <c r="R1" s="1">
        <v>1</v>
      </c>
      <c r="T1" s="951" t="str">
        <f>IF(IGRF!$I$11="","Away Team",IF(IGRF!$B$10=IGRF!$I$10,IGRF!$I$11,IF(IGRF!$I$10=IGRF!$I$11,IGRF!$I$11,IF(OR(IGRF!$L$3="A",IGRF!$L$3="B"),IGRF!$I$10&amp;" "&amp;IGRF!$L$3,IGRF!$I$10&amp;" / "&amp;IGRF!$I$11))))</f>
        <v>Steel City Roller Derby / Steel Hurtin'</v>
      </c>
      <c r="U1" s="951"/>
      <c r="V1" s="951"/>
      <c r="W1" s="951"/>
      <c r="X1" s="951"/>
      <c r="Y1" s="951"/>
      <c r="Z1" s="951"/>
      <c r="AA1" s="951"/>
      <c r="AB1" s="955" t="str">
        <f>IF(ISBLANK(IGRF!$I$12), "", IGRF!$I$12)</f>
        <v>Yellow</v>
      </c>
      <c r="AC1" s="955"/>
      <c r="AD1" s="164">
        <f>IF(ISBLANK(IGRF!$B$7), "", IGRF!$B$7)</f>
        <v>45144</v>
      </c>
      <c r="AE1" s="949" t="s">
        <v>528</v>
      </c>
      <c r="AF1" s="949"/>
      <c r="AG1" s="949"/>
      <c r="AH1" s="950" t="s">
        <v>537</v>
      </c>
      <c r="AI1" s="950"/>
      <c r="AJ1" s="950"/>
      <c r="AK1" s="1">
        <v>1</v>
      </c>
    </row>
    <row r="2" spans="1:38" s="2" customFormat="1" ht="15" customHeight="1" thickBot="1" x14ac:dyDescent="0.35">
      <c r="A2" s="952"/>
      <c r="B2" s="952"/>
      <c r="C2" s="952"/>
      <c r="D2" s="952"/>
      <c r="E2" s="952"/>
      <c r="F2" s="952"/>
      <c r="G2" s="952"/>
      <c r="H2" s="952"/>
      <c r="I2" s="953" t="s">
        <v>181</v>
      </c>
      <c r="J2" s="953"/>
      <c r="K2" s="516" t="s">
        <v>184</v>
      </c>
      <c r="L2" s="953" t="s">
        <v>174</v>
      </c>
      <c r="M2" s="953"/>
      <c r="N2" s="953"/>
      <c r="O2" s="954" t="s">
        <v>183</v>
      </c>
      <c r="P2" s="954"/>
      <c r="Q2" s="954"/>
      <c r="R2" s="4" t="str">
        <f>IF(ISBLANK(IGRF!$L$3), "", "GAME " &amp; IGRF!$L$3)</f>
        <v/>
      </c>
      <c r="T2" s="952"/>
      <c r="U2" s="952"/>
      <c r="V2" s="952"/>
      <c r="W2" s="952"/>
      <c r="X2" s="952"/>
      <c r="Y2" s="952"/>
      <c r="Z2" s="952"/>
      <c r="AA2" s="952"/>
      <c r="AB2" s="953" t="s">
        <v>181</v>
      </c>
      <c r="AC2" s="953"/>
      <c r="AD2" s="516" t="s">
        <v>184</v>
      </c>
      <c r="AE2" s="953" t="s">
        <v>174</v>
      </c>
      <c r="AF2" s="953"/>
      <c r="AG2" s="953"/>
      <c r="AH2" s="954" t="s">
        <v>183</v>
      </c>
      <c r="AI2" s="954"/>
      <c r="AJ2" s="954"/>
      <c r="AK2" s="4" t="str">
        <f>IF(ISBLANK(IGRF!$L$3), "", "GAME " &amp; IGRF!$L$3)</f>
        <v/>
      </c>
    </row>
    <row r="3" spans="1:38" ht="35.25" customHeight="1" thickBot="1" x14ac:dyDescent="0.35">
      <c r="A3" s="504" t="s">
        <v>154</v>
      </c>
      <c r="B3" s="190" t="s">
        <v>155</v>
      </c>
      <c r="C3" s="191" t="s">
        <v>156</v>
      </c>
      <c r="D3" s="192" t="s">
        <v>157</v>
      </c>
      <c r="E3" s="192" t="s">
        <v>158</v>
      </c>
      <c r="F3" s="192" t="s">
        <v>159</v>
      </c>
      <c r="G3" s="193" t="s">
        <v>389</v>
      </c>
      <c r="H3" s="194" t="s">
        <v>379</v>
      </c>
      <c r="I3" s="195" t="s">
        <v>380</v>
      </c>
      <c r="J3" s="195" t="s">
        <v>381</v>
      </c>
      <c r="K3" s="195" t="s">
        <v>382</v>
      </c>
      <c r="L3" s="195" t="s">
        <v>383</v>
      </c>
      <c r="M3" s="195" t="s">
        <v>384</v>
      </c>
      <c r="N3" s="195" t="s">
        <v>385</v>
      </c>
      <c r="O3" s="195" t="s">
        <v>386</v>
      </c>
      <c r="P3" s="195" t="s">
        <v>387</v>
      </c>
      <c r="Q3" s="196" t="s">
        <v>106</v>
      </c>
      <c r="R3" s="197" t="s">
        <v>107</v>
      </c>
      <c r="S3" s="5" t="s">
        <v>388</v>
      </c>
      <c r="T3" s="504" t="s">
        <v>154</v>
      </c>
      <c r="U3" s="190" t="s">
        <v>155</v>
      </c>
      <c r="V3" s="191" t="s">
        <v>156</v>
      </c>
      <c r="W3" s="192" t="s">
        <v>157</v>
      </c>
      <c r="X3" s="192" t="s">
        <v>158</v>
      </c>
      <c r="Y3" s="192" t="s">
        <v>159</v>
      </c>
      <c r="Z3" s="193" t="s">
        <v>389</v>
      </c>
      <c r="AA3" s="194" t="s">
        <v>379</v>
      </c>
      <c r="AB3" s="195" t="s">
        <v>380</v>
      </c>
      <c r="AC3" s="195" t="s">
        <v>381</v>
      </c>
      <c r="AD3" s="195" t="s">
        <v>382</v>
      </c>
      <c r="AE3" s="195" t="s">
        <v>383</v>
      </c>
      <c r="AF3" s="195" t="s">
        <v>384</v>
      </c>
      <c r="AG3" s="195" t="s">
        <v>385</v>
      </c>
      <c r="AH3" s="195" t="s">
        <v>386</v>
      </c>
      <c r="AI3" s="195" t="s">
        <v>387</v>
      </c>
      <c r="AJ3" s="196" t="s">
        <v>106</v>
      </c>
      <c r="AK3" s="197" t="s">
        <v>107</v>
      </c>
      <c r="AL3" s="5" t="s">
        <v>388</v>
      </c>
    </row>
    <row r="4" spans="1:38" ht="34.049999999999997" customHeight="1" x14ac:dyDescent="0.45">
      <c r="A4" s="234">
        <v>1</v>
      </c>
      <c r="B4" s="283" t="s">
        <v>568</v>
      </c>
      <c r="C4" s="282"/>
      <c r="D4" s="284"/>
      <c r="E4" s="284"/>
      <c r="F4" s="284"/>
      <c r="G4" s="285" t="s">
        <v>114</v>
      </c>
      <c r="H4" s="286"/>
      <c r="I4" s="287"/>
      <c r="J4" s="287"/>
      <c r="K4" s="287"/>
      <c r="L4" s="287"/>
      <c r="M4" s="287"/>
      <c r="N4" s="287"/>
      <c r="O4" s="287"/>
      <c r="P4" s="288"/>
      <c r="Q4" s="289">
        <f t="shared" ref="Q4:Q41" si="0">IF(ISBLANK(A4),"",IF(ISBLANK(G4),SUM(H4:P4),0))</f>
        <v>0</v>
      </c>
      <c r="R4" s="290">
        <f>IF(Q4="","",Q4+'OS Offset'!B4)</f>
        <v>0</v>
      </c>
      <c r="S4" s="291">
        <f t="shared" ref="S4:S41" si="1">IF(G4="X",0,COUNT(H4:P4))</f>
        <v>0</v>
      </c>
      <c r="T4" s="234">
        <v>1</v>
      </c>
      <c r="U4" s="292" t="s">
        <v>582</v>
      </c>
      <c r="V4" s="282"/>
      <c r="W4" s="284" t="s">
        <v>114</v>
      </c>
      <c r="X4" s="284" t="s">
        <v>114</v>
      </c>
      <c r="Y4" s="284"/>
      <c r="Z4" s="285"/>
      <c r="AA4" s="286">
        <v>4</v>
      </c>
      <c r="AB4" s="287"/>
      <c r="AC4" s="287"/>
      <c r="AD4" s="287"/>
      <c r="AE4" s="287"/>
      <c r="AF4" s="287"/>
      <c r="AG4" s="287"/>
      <c r="AH4" s="287"/>
      <c r="AI4" s="288"/>
      <c r="AJ4" s="289">
        <f t="shared" ref="AJ4:AJ41" si="2">IF(ISBLANK(T4),"",IF(ISBLANK(Z4),SUM(AA4:AI4),0))</f>
        <v>4</v>
      </c>
      <c r="AK4" s="290">
        <f>IF(AJ4="","",AJ4+'OS Offset'!I4)</f>
        <v>4</v>
      </c>
      <c r="AL4" s="291">
        <f t="shared" ref="AL4:AL41" si="3">IF(Z4="X",0,COUNT(AA4:AI4))</f>
        <v>1</v>
      </c>
    </row>
    <row r="5" spans="1:38" ht="34.049999999999997" customHeight="1" x14ac:dyDescent="0.45">
      <c r="A5" s="242" t="s">
        <v>615</v>
      </c>
      <c r="B5" s="243" t="s">
        <v>578</v>
      </c>
      <c r="C5" s="242"/>
      <c r="D5" s="244"/>
      <c r="E5" s="244"/>
      <c r="F5" s="244"/>
      <c r="G5" s="233"/>
      <c r="H5" s="234">
        <v>0</v>
      </c>
      <c r="I5" s="235"/>
      <c r="J5" s="235"/>
      <c r="K5" s="235"/>
      <c r="L5" s="235"/>
      <c r="M5" s="235"/>
      <c r="N5" s="235"/>
      <c r="O5" s="235"/>
      <c r="P5" s="205"/>
      <c r="Q5" s="206">
        <f t="shared" si="0"/>
        <v>0</v>
      </c>
      <c r="R5" s="247">
        <f>IF(Q5="","",Q5+R4+'OS Offset'!B5)</f>
        <v>0</v>
      </c>
      <c r="S5" s="208">
        <f t="shared" si="1"/>
        <v>1</v>
      </c>
      <c r="T5" s="211" t="s">
        <v>616</v>
      </c>
      <c r="U5" s="210"/>
      <c r="V5" s="211"/>
      <c r="W5" s="212"/>
      <c r="X5" s="212"/>
      <c r="Y5" s="212"/>
      <c r="Z5" s="213"/>
      <c r="AA5" s="214"/>
      <c r="AB5" s="204"/>
      <c r="AC5" s="204"/>
      <c r="AD5" s="204"/>
      <c r="AE5" s="204"/>
      <c r="AF5" s="204"/>
      <c r="AG5" s="204"/>
      <c r="AH5" s="204"/>
      <c r="AI5" s="205"/>
      <c r="AJ5" s="206">
        <f t="shared" si="2"/>
        <v>0</v>
      </c>
      <c r="AK5" s="207">
        <f>IF(AJ5="","",AJ5+AK4+'OS Offset'!I5)</f>
        <v>4</v>
      </c>
      <c r="AL5" s="208">
        <f t="shared" si="3"/>
        <v>0</v>
      </c>
    </row>
    <row r="6" spans="1:38" ht="34.049999999999997" customHeight="1" x14ac:dyDescent="0.45">
      <c r="A6" s="234">
        <v>2</v>
      </c>
      <c r="B6" s="249" t="s">
        <v>551</v>
      </c>
      <c r="C6" s="234"/>
      <c r="D6" s="235"/>
      <c r="E6" s="235"/>
      <c r="F6" s="235"/>
      <c r="G6" s="248"/>
      <c r="H6" s="236">
        <v>0</v>
      </c>
      <c r="I6" s="237"/>
      <c r="J6" s="237"/>
      <c r="K6" s="237"/>
      <c r="L6" s="237"/>
      <c r="M6" s="237"/>
      <c r="N6" s="237"/>
      <c r="O6" s="237"/>
      <c r="P6" s="216"/>
      <c r="Q6" s="238">
        <f t="shared" si="0"/>
        <v>0</v>
      </c>
      <c r="R6" s="247">
        <f>IF(Q6="","",Q6+R5+'OS Offset'!B6)</f>
        <v>0</v>
      </c>
      <c r="S6" s="208">
        <f t="shared" si="1"/>
        <v>1</v>
      </c>
      <c r="T6" s="234">
        <v>2</v>
      </c>
      <c r="U6" s="239" t="s">
        <v>595</v>
      </c>
      <c r="V6" s="230"/>
      <c r="W6" s="228" t="s">
        <v>114</v>
      </c>
      <c r="X6" s="228" t="s">
        <v>114</v>
      </c>
      <c r="Y6" s="228"/>
      <c r="Z6" s="240"/>
      <c r="AA6" s="232">
        <v>2</v>
      </c>
      <c r="AB6" s="227"/>
      <c r="AC6" s="227"/>
      <c r="AD6" s="227"/>
      <c r="AE6" s="227"/>
      <c r="AF6" s="227"/>
      <c r="AG6" s="227"/>
      <c r="AH6" s="227"/>
      <c r="AI6" s="231"/>
      <c r="AJ6" s="224">
        <f t="shared" si="2"/>
        <v>2</v>
      </c>
      <c r="AK6" s="207">
        <f>IF(AJ6="","",AJ6+AK5+'OS Offset'!I6)</f>
        <v>6</v>
      </c>
      <c r="AL6" s="208">
        <f t="shared" si="3"/>
        <v>1</v>
      </c>
    </row>
    <row r="7" spans="1:38" ht="34.049999999999997" customHeight="1" x14ac:dyDescent="0.45">
      <c r="A7" s="242">
        <v>3</v>
      </c>
      <c r="B7" s="243" t="s">
        <v>568</v>
      </c>
      <c r="C7" s="242"/>
      <c r="D7" s="244" t="s">
        <v>114</v>
      </c>
      <c r="E7" s="244" t="s">
        <v>114</v>
      </c>
      <c r="F7" s="244"/>
      <c r="G7" s="233"/>
      <c r="H7" s="234">
        <v>3</v>
      </c>
      <c r="I7" s="235"/>
      <c r="J7" s="235"/>
      <c r="K7" s="235"/>
      <c r="L7" s="235"/>
      <c r="M7" s="235"/>
      <c r="N7" s="235"/>
      <c r="O7" s="235"/>
      <c r="P7" s="205"/>
      <c r="Q7" s="206">
        <f t="shared" si="0"/>
        <v>3</v>
      </c>
      <c r="R7" s="247">
        <f>IF(Q7="","",Q7+R6+'OS Offset'!B7)</f>
        <v>3</v>
      </c>
      <c r="S7" s="208">
        <f t="shared" si="1"/>
        <v>1</v>
      </c>
      <c r="T7" s="241">
        <v>3</v>
      </c>
      <c r="U7" s="245" t="s">
        <v>600</v>
      </c>
      <c r="V7" s="241"/>
      <c r="W7" s="246"/>
      <c r="X7" s="246"/>
      <c r="Y7" s="246"/>
      <c r="Z7" s="256"/>
      <c r="AA7" s="230">
        <v>0</v>
      </c>
      <c r="AB7" s="228"/>
      <c r="AC7" s="228"/>
      <c r="AD7" s="228"/>
      <c r="AE7" s="228"/>
      <c r="AF7" s="228"/>
      <c r="AG7" s="228"/>
      <c r="AH7" s="228"/>
      <c r="AI7" s="229"/>
      <c r="AJ7" s="223">
        <f t="shared" si="2"/>
        <v>0</v>
      </c>
      <c r="AK7" s="207">
        <f>IF(AJ7="","",AJ7+AK6+'OS Offset'!I7)</f>
        <v>6</v>
      </c>
      <c r="AL7" s="208">
        <f t="shared" si="3"/>
        <v>1</v>
      </c>
    </row>
    <row r="8" spans="1:38" ht="34.049999999999997" customHeight="1" x14ac:dyDescent="0.45">
      <c r="A8" s="234">
        <v>4</v>
      </c>
      <c r="B8" s="249" t="s">
        <v>554</v>
      </c>
      <c r="C8" s="234" t="s">
        <v>114</v>
      </c>
      <c r="D8" s="235" t="s">
        <v>114</v>
      </c>
      <c r="E8" s="235"/>
      <c r="F8" s="235"/>
      <c r="G8" s="248"/>
      <c r="H8" s="236">
        <v>4</v>
      </c>
      <c r="I8" s="237">
        <v>4</v>
      </c>
      <c r="J8" s="237">
        <v>0</v>
      </c>
      <c r="K8" s="237"/>
      <c r="L8" s="237"/>
      <c r="M8" s="237"/>
      <c r="N8" s="237"/>
      <c r="O8" s="237"/>
      <c r="P8" s="216"/>
      <c r="Q8" s="238">
        <f t="shared" si="0"/>
        <v>8</v>
      </c>
      <c r="R8" s="247">
        <f>IF(Q8="","",Q8+R7+'OS Offset'!B8)</f>
        <v>11</v>
      </c>
      <c r="S8" s="208">
        <f t="shared" si="1"/>
        <v>3</v>
      </c>
      <c r="T8" s="234">
        <v>4</v>
      </c>
      <c r="U8" s="239" t="s">
        <v>593</v>
      </c>
      <c r="V8" s="230"/>
      <c r="W8" s="228"/>
      <c r="X8" s="228"/>
      <c r="Y8" s="228"/>
      <c r="Z8" s="240" t="s">
        <v>114</v>
      </c>
      <c r="AA8" s="232"/>
      <c r="AB8" s="227"/>
      <c r="AC8" s="227"/>
      <c r="AD8" s="227"/>
      <c r="AE8" s="227"/>
      <c r="AF8" s="227"/>
      <c r="AG8" s="227"/>
      <c r="AH8" s="227"/>
      <c r="AI8" s="231"/>
      <c r="AJ8" s="224">
        <f t="shared" si="2"/>
        <v>0</v>
      </c>
      <c r="AK8" s="207">
        <f>IF(AJ8="","",AJ8+AK7+'OS Offset'!I8)</f>
        <v>6</v>
      </c>
      <c r="AL8" s="208">
        <f t="shared" si="3"/>
        <v>0</v>
      </c>
    </row>
    <row r="9" spans="1:38" ht="34.049999999999997" customHeight="1" x14ac:dyDescent="0.45">
      <c r="A9" s="242" t="s">
        <v>616</v>
      </c>
      <c r="B9" s="243"/>
      <c r="C9" s="242"/>
      <c r="D9" s="244"/>
      <c r="E9" s="244"/>
      <c r="F9" s="244"/>
      <c r="G9" s="233"/>
      <c r="H9" s="234"/>
      <c r="I9" s="235"/>
      <c r="J9" s="235"/>
      <c r="K9" s="235"/>
      <c r="L9" s="235"/>
      <c r="M9" s="235"/>
      <c r="N9" s="235"/>
      <c r="O9" s="235"/>
      <c r="P9" s="205"/>
      <c r="Q9" s="206">
        <f t="shared" si="0"/>
        <v>0</v>
      </c>
      <c r="R9" s="247">
        <f>IF(Q9="","",Q9+R8+'OS Offset'!B9)</f>
        <v>11</v>
      </c>
      <c r="S9" s="208">
        <f t="shared" si="1"/>
        <v>0</v>
      </c>
      <c r="T9" s="241" t="s">
        <v>615</v>
      </c>
      <c r="U9" s="245" t="s">
        <v>590</v>
      </c>
      <c r="V9" s="241"/>
      <c r="W9" s="246"/>
      <c r="X9" s="246"/>
      <c r="Y9" s="246"/>
      <c r="Z9" s="256"/>
      <c r="AA9" s="230">
        <v>4</v>
      </c>
      <c r="AB9" s="228">
        <v>0</v>
      </c>
      <c r="AC9" s="228"/>
      <c r="AD9" s="228"/>
      <c r="AE9" s="228"/>
      <c r="AF9" s="228"/>
      <c r="AG9" s="228"/>
      <c r="AH9" s="228"/>
      <c r="AI9" s="229"/>
      <c r="AJ9" s="223">
        <f t="shared" si="2"/>
        <v>4</v>
      </c>
      <c r="AK9" s="207">
        <f>IF(AJ9="","",AJ9+AK8+'OS Offset'!I9)</f>
        <v>10</v>
      </c>
      <c r="AL9" s="208">
        <f t="shared" si="3"/>
        <v>2</v>
      </c>
    </row>
    <row r="10" spans="1:38" ht="34.049999999999997" customHeight="1" x14ac:dyDescent="0.45">
      <c r="A10" s="234">
        <v>5</v>
      </c>
      <c r="B10" s="249" t="s">
        <v>551</v>
      </c>
      <c r="C10" s="234"/>
      <c r="D10" s="235" t="s">
        <v>114</v>
      </c>
      <c r="E10" s="235"/>
      <c r="F10" s="235"/>
      <c r="G10" s="248"/>
      <c r="H10" s="236">
        <v>4</v>
      </c>
      <c r="I10" s="237">
        <v>4</v>
      </c>
      <c r="J10" s="237">
        <v>0</v>
      </c>
      <c r="K10" s="237"/>
      <c r="L10" s="237"/>
      <c r="M10" s="237"/>
      <c r="N10" s="237"/>
      <c r="O10" s="237"/>
      <c r="P10" s="216"/>
      <c r="Q10" s="238">
        <f t="shared" si="0"/>
        <v>8</v>
      </c>
      <c r="R10" s="247">
        <f>IF(Q10="","",Q10+R9+'OS Offset'!B10)</f>
        <v>19</v>
      </c>
      <c r="S10" s="208">
        <f t="shared" si="1"/>
        <v>3</v>
      </c>
      <c r="T10" s="234">
        <v>5</v>
      </c>
      <c r="U10" s="239" t="s">
        <v>595</v>
      </c>
      <c r="V10" s="230"/>
      <c r="W10" s="228"/>
      <c r="X10" s="228"/>
      <c r="Y10" s="228"/>
      <c r="Z10" s="240" t="s">
        <v>114</v>
      </c>
      <c r="AA10" s="232"/>
      <c r="AB10" s="227"/>
      <c r="AC10" s="227"/>
      <c r="AD10" s="227"/>
      <c r="AE10" s="227"/>
      <c r="AF10" s="227"/>
      <c r="AG10" s="227"/>
      <c r="AH10" s="227"/>
      <c r="AI10" s="231"/>
      <c r="AJ10" s="224">
        <f t="shared" si="2"/>
        <v>0</v>
      </c>
      <c r="AK10" s="207">
        <f>IF(AJ10="","",AJ10+AK9+'OS Offset'!I10)</f>
        <v>10</v>
      </c>
      <c r="AL10" s="208">
        <f t="shared" si="3"/>
        <v>0</v>
      </c>
    </row>
    <row r="11" spans="1:38" ht="34.049999999999997" customHeight="1" x14ac:dyDescent="0.45">
      <c r="A11" s="242">
        <v>6</v>
      </c>
      <c r="B11" s="243" t="s">
        <v>568</v>
      </c>
      <c r="C11" s="242"/>
      <c r="D11" s="244" t="s">
        <v>114</v>
      </c>
      <c r="E11" s="244" t="s">
        <v>114</v>
      </c>
      <c r="F11" s="244"/>
      <c r="G11" s="233"/>
      <c r="H11" s="234">
        <v>0</v>
      </c>
      <c r="I11" s="235"/>
      <c r="J11" s="235"/>
      <c r="K11" s="235"/>
      <c r="L11" s="235"/>
      <c r="M11" s="235"/>
      <c r="N11" s="235"/>
      <c r="O11" s="235"/>
      <c r="P11" s="205"/>
      <c r="Q11" s="206">
        <f t="shared" si="0"/>
        <v>0</v>
      </c>
      <c r="R11" s="247">
        <f>IF(Q11="","",Q11+R10+'OS Offset'!B11)</f>
        <v>19</v>
      </c>
      <c r="S11" s="208">
        <f t="shared" si="1"/>
        <v>1</v>
      </c>
      <c r="T11" s="241">
        <v>6</v>
      </c>
      <c r="U11" s="245" t="s">
        <v>582</v>
      </c>
      <c r="V11" s="241"/>
      <c r="W11" s="246"/>
      <c r="X11" s="246"/>
      <c r="Y11" s="246"/>
      <c r="Z11" s="256"/>
      <c r="AA11" s="230">
        <v>0</v>
      </c>
      <c r="AB11" s="228"/>
      <c r="AC11" s="228"/>
      <c r="AD11" s="228"/>
      <c r="AE11" s="228"/>
      <c r="AF11" s="228"/>
      <c r="AG11" s="228"/>
      <c r="AH11" s="228"/>
      <c r="AI11" s="229"/>
      <c r="AJ11" s="223">
        <f t="shared" si="2"/>
        <v>0</v>
      </c>
      <c r="AK11" s="207">
        <f>IF(AJ11="","",AJ11+AK10+'OS Offset'!I11)</f>
        <v>10</v>
      </c>
      <c r="AL11" s="208">
        <f t="shared" si="3"/>
        <v>1</v>
      </c>
    </row>
    <row r="12" spans="1:38" ht="34.049999999999997" customHeight="1" x14ac:dyDescent="0.45">
      <c r="A12" s="234">
        <v>7</v>
      </c>
      <c r="B12" s="249" t="s">
        <v>554</v>
      </c>
      <c r="C12" s="234"/>
      <c r="D12" s="235" t="s">
        <v>114</v>
      </c>
      <c r="E12" s="235"/>
      <c r="F12" s="235"/>
      <c r="G12" s="248"/>
      <c r="H12" s="236">
        <v>4</v>
      </c>
      <c r="I12" s="237">
        <v>4</v>
      </c>
      <c r="J12" s="237"/>
      <c r="K12" s="237"/>
      <c r="L12" s="237"/>
      <c r="M12" s="237"/>
      <c r="N12" s="237"/>
      <c r="O12" s="237"/>
      <c r="P12" s="216"/>
      <c r="Q12" s="238">
        <f t="shared" si="0"/>
        <v>8</v>
      </c>
      <c r="R12" s="247">
        <f>IF(Q12="","",Q12+R11+'OS Offset'!B12)</f>
        <v>27</v>
      </c>
      <c r="S12" s="208">
        <f t="shared" si="1"/>
        <v>2</v>
      </c>
      <c r="T12" s="234">
        <v>7</v>
      </c>
      <c r="U12" s="239" t="s">
        <v>600</v>
      </c>
      <c r="V12" s="230"/>
      <c r="W12" s="228"/>
      <c r="X12" s="228"/>
      <c r="Y12" s="228"/>
      <c r="Z12" s="240" t="s">
        <v>114</v>
      </c>
      <c r="AA12" s="232"/>
      <c r="AB12" s="227"/>
      <c r="AC12" s="227"/>
      <c r="AD12" s="227"/>
      <c r="AE12" s="227"/>
      <c r="AF12" s="227"/>
      <c r="AG12" s="227"/>
      <c r="AH12" s="227"/>
      <c r="AI12" s="231"/>
      <c r="AJ12" s="224">
        <f t="shared" si="2"/>
        <v>0</v>
      </c>
      <c r="AK12" s="207">
        <f>IF(AJ12="","",AJ12+AK11+'OS Offset'!I12)</f>
        <v>10</v>
      </c>
      <c r="AL12" s="208">
        <f t="shared" si="3"/>
        <v>0</v>
      </c>
    </row>
    <row r="13" spans="1:38" ht="34.049999999999997" customHeight="1" x14ac:dyDescent="0.45">
      <c r="A13" s="242" t="s">
        <v>616</v>
      </c>
      <c r="B13" s="243"/>
      <c r="C13" s="242"/>
      <c r="D13" s="244"/>
      <c r="E13" s="244"/>
      <c r="F13" s="244"/>
      <c r="G13" s="233"/>
      <c r="H13" s="234"/>
      <c r="I13" s="235"/>
      <c r="J13" s="235"/>
      <c r="K13" s="235"/>
      <c r="L13" s="235"/>
      <c r="M13" s="235"/>
      <c r="N13" s="235"/>
      <c r="O13" s="235"/>
      <c r="P13" s="205"/>
      <c r="Q13" s="206">
        <f t="shared" si="0"/>
        <v>0</v>
      </c>
      <c r="R13" s="247">
        <f>IF(Q13="","",Q13+R12+'OS Offset'!B13)</f>
        <v>27</v>
      </c>
      <c r="S13" s="208">
        <f t="shared" si="1"/>
        <v>0</v>
      </c>
      <c r="T13" s="241" t="s">
        <v>615</v>
      </c>
      <c r="U13" s="245" t="s">
        <v>606</v>
      </c>
      <c r="V13" s="241"/>
      <c r="W13" s="246"/>
      <c r="X13" s="246"/>
      <c r="Y13" s="246"/>
      <c r="Z13" s="256" t="s">
        <v>114</v>
      </c>
      <c r="AA13" s="230"/>
      <c r="AB13" s="228"/>
      <c r="AC13" s="228"/>
      <c r="AD13" s="228"/>
      <c r="AE13" s="228"/>
      <c r="AF13" s="228"/>
      <c r="AG13" s="228"/>
      <c r="AH13" s="228"/>
      <c r="AI13" s="229"/>
      <c r="AJ13" s="223">
        <f t="shared" si="2"/>
        <v>0</v>
      </c>
      <c r="AK13" s="207">
        <f>IF(AJ13="","",AJ13+AK12+'OS Offset'!I13)</f>
        <v>10</v>
      </c>
      <c r="AL13" s="208">
        <f t="shared" si="3"/>
        <v>0</v>
      </c>
    </row>
    <row r="14" spans="1:38" ht="34.049999999999997" customHeight="1" x14ac:dyDescent="0.45">
      <c r="A14" s="234">
        <v>8</v>
      </c>
      <c r="B14" s="249" t="s">
        <v>556</v>
      </c>
      <c r="C14" s="234"/>
      <c r="D14" s="235"/>
      <c r="E14" s="235"/>
      <c r="F14" s="235"/>
      <c r="G14" s="248" t="s">
        <v>114</v>
      </c>
      <c r="H14" s="236"/>
      <c r="I14" s="237"/>
      <c r="J14" s="237"/>
      <c r="K14" s="237"/>
      <c r="L14" s="237"/>
      <c r="M14" s="237"/>
      <c r="N14" s="237"/>
      <c r="O14" s="237"/>
      <c r="P14" s="216"/>
      <c r="Q14" s="238">
        <f t="shared" si="0"/>
        <v>0</v>
      </c>
      <c r="R14" s="247">
        <f>IF(Q14="","",Q14+R13+'OS Offset'!B14)</f>
        <v>27</v>
      </c>
      <c r="S14" s="208">
        <f t="shared" si="1"/>
        <v>0</v>
      </c>
      <c r="T14" s="234">
        <v>8</v>
      </c>
      <c r="U14" s="239" t="s">
        <v>595</v>
      </c>
      <c r="V14" s="230"/>
      <c r="W14" s="228" t="s">
        <v>114</v>
      </c>
      <c r="X14" s="228" t="s">
        <v>114</v>
      </c>
      <c r="Y14" s="228"/>
      <c r="Z14" s="240"/>
      <c r="AA14" s="232">
        <v>4</v>
      </c>
      <c r="AB14" s="227"/>
      <c r="AC14" s="227"/>
      <c r="AD14" s="227"/>
      <c r="AE14" s="227"/>
      <c r="AF14" s="227"/>
      <c r="AG14" s="227"/>
      <c r="AH14" s="227"/>
      <c r="AI14" s="231"/>
      <c r="AJ14" s="224">
        <f t="shared" si="2"/>
        <v>4</v>
      </c>
      <c r="AK14" s="207">
        <f>IF(AJ14="","",AJ14+AK13+'OS Offset'!I14)</f>
        <v>14</v>
      </c>
      <c r="AL14" s="208">
        <f t="shared" si="3"/>
        <v>1</v>
      </c>
    </row>
    <row r="15" spans="1:38" ht="34.049999999999997" customHeight="1" x14ac:dyDescent="0.45">
      <c r="A15" s="242" t="s">
        <v>615</v>
      </c>
      <c r="B15" s="243" t="s">
        <v>578</v>
      </c>
      <c r="C15" s="242"/>
      <c r="D15" s="244"/>
      <c r="E15" s="244"/>
      <c r="F15" s="244"/>
      <c r="G15" s="233" t="s">
        <v>114</v>
      </c>
      <c r="H15" s="234"/>
      <c r="I15" s="235"/>
      <c r="J15" s="235"/>
      <c r="K15" s="235"/>
      <c r="L15" s="235"/>
      <c r="M15" s="235"/>
      <c r="N15" s="235"/>
      <c r="O15" s="235"/>
      <c r="P15" s="205"/>
      <c r="Q15" s="206">
        <f t="shared" si="0"/>
        <v>0</v>
      </c>
      <c r="R15" s="247">
        <f>IF(Q15="","",Q15+R14+'OS Offset'!B15)</f>
        <v>27</v>
      </c>
      <c r="S15" s="208">
        <f t="shared" si="1"/>
        <v>0</v>
      </c>
      <c r="T15" s="241" t="s">
        <v>616</v>
      </c>
      <c r="U15" s="245"/>
      <c r="V15" s="241"/>
      <c r="W15" s="246"/>
      <c r="X15" s="246"/>
      <c r="Y15" s="246"/>
      <c r="Z15" s="256"/>
      <c r="AA15" s="230"/>
      <c r="AB15" s="228"/>
      <c r="AC15" s="228"/>
      <c r="AD15" s="228"/>
      <c r="AE15" s="228"/>
      <c r="AF15" s="228"/>
      <c r="AG15" s="228"/>
      <c r="AH15" s="228"/>
      <c r="AI15" s="229"/>
      <c r="AJ15" s="223">
        <f t="shared" si="2"/>
        <v>0</v>
      </c>
      <c r="AK15" s="207">
        <f>IF(AJ15="","",AJ15+AK14+'OS Offset'!I15)</f>
        <v>14</v>
      </c>
      <c r="AL15" s="208">
        <f t="shared" si="3"/>
        <v>0</v>
      </c>
    </row>
    <row r="16" spans="1:38" ht="34.049999999999997" customHeight="1" x14ac:dyDescent="0.45">
      <c r="A16" s="234">
        <v>9</v>
      </c>
      <c r="B16" s="249" t="s">
        <v>568</v>
      </c>
      <c r="C16" s="234"/>
      <c r="D16" s="235"/>
      <c r="E16" s="235"/>
      <c r="F16" s="235"/>
      <c r="G16" s="248"/>
      <c r="H16" s="236">
        <v>0</v>
      </c>
      <c r="I16" s="237"/>
      <c r="J16" s="237"/>
      <c r="K16" s="237"/>
      <c r="L16" s="237"/>
      <c r="M16" s="237"/>
      <c r="N16" s="237"/>
      <c r="O16" s="237"/>
      <c r="P16" s="216"/>
      <c r="Q16" s="238">
        <f t="shared" si="0"/>
        <v>0</v>
      </c>
      <c r="R16" s="247">
        <f>IF(Q16="","",Q16+R15+'OS Offset'!B16)</f>
        <v>27</v>
      </c>
      <c r="S16" s="208">
        <f t="shared" si="1"/>
        <v>1</v>
      </c>
      <c r="T16" s="234">
        <v>9</v>
      </c>
      <c r="U16" s="239" t="s">
        <v>582</v>
      </c>
      <c r="V16" s="230"/>
      <c r="W16" s="228" t="s">
        <v>114</v>
      </c>
      <c r="X16" s="228" t="s">
        <v>114</v>
      </c>
      <c r="Y16" s="228"/>
      <c r="Z16" s="240"/>
      <c r="AA16" s="232">
        <v>4</v>
      </c>
      <c r="AB16" s="227"/>
      <c r="AC16" s="227"/>
      <c r="AD16" s="227"/>
      <c r="AE16" s="227"/>
      <c r="AF16" s="227"/>
      <c r="AG16" s="227"/>
      <c r="AH16" s="227"/>
      <c r="AI16" s="231"/>
      <c r="AJ16" s="224">
        <f t="shared" si="2"/>
        <v>4</v>
      </c>
      <c r="AK16" s="207">
        <f>IF(AJ16="","",AJ16+AK15+'OS Offset'!I16)</f>
        <v>18</v>
      </c>
      <c r="AL16" s="208">
        <f t="shared" si="3"/>
        <v>1</v>
      </c>
    </row>
    <row r="17" spans="1:38" ht="34.049999999999997" customHeight="1" x14ac:dyDescent="0.45">
      <c r="A17" s="242">
        <v>10</v>
      </c>
      <c r="B17" s="243" t="s">
        <v>551</v>
      </c>
      <c r="C17" s="242"/>
      <c r="D17" s="244" t="s">
        <v>114</v>
      </c>
      <c r="E17" s="244" t="s">
        <v>114</v>
      </c>
      <c r="F17" s="244"/>
      <c r="G17" s="233"/>
      <c r="H17" s="234">
        <v>4</v>
      </c>
      <c r="I17" s="235">
        <v>0</v>
      </c>
      <c r="J17" s="235"/>
      <c r="K17" s="235"/>
      <c r="L17" s="235"/>
      <c r="M17" s="235"/>
      <c r="N17" s="235"/>
      <c r="O17" s="235"/>
      <c r="P17" s="205"/>
      <c r="Q17" s="206">
        <f t="shared" si="0"/>
        <v>4</v>
      </c>
      <c r="R17" s="247">
        <f>IF(Q17="","",Q17+R16+'OS Offset'!B17)</f>
        <v>31</v>
      </c>
      <c r="S17" s="208">
        <f t="shared" si="1"/>
        <v>2</v>
      </c>
      <c r="T17" s="241">
        <v>10</v>
      </c>
      <c r="U17" s="245" t="s">
        <v>600</v>
      </c>
      <c r="V17" s="241"/>
      <c r="W17" s="246"/>
      <c r="X17" s="246"/>
      <c r="Y17" s="246"/>
      <c r="Z17" s="256" t="s">
        <v>114</v>
      </c>
      <c r="AA17" s="230"/>
      <c r="AB17" s="228"/>
      <c r="AC17" s="228"/>
      <c r="AD17" s="228"/>
      <c r="AE17" s="228"/>
      <c r="AF17" s="228"/>
      <c r="AG17" s="228"/>
      <c r="AH17" s="228"/>
      <c r="AI17" s="229"/>
      <c r="AJ17" s="223">
        <f t="shared" si="2"/>
        <v>0</v>
      </c>
      <c r="AK17" s="207">
        <f>IF(AJ17="","",AJ17+AK16+'OS Offset'!I17)</f>
        <v>18</v>
      </c>
      <c r="AL17" s="208">
        <f t="shared" si="3"/>
        <v>0</v>
      </c>
    </row>
    <row r="18" spans="1:38" ht="34.049999999999997" customHeight="1" x14ac:dyDescent="0.45">
      <c r="A18" s="234" t="s">
        <v>616</v>
      </c>
      <c r="B18" s="249"/>
      <c r="C18" s="234"/>
      <c r="D18" s="235"/>
      <c r="E18" s="235"/>
      <c r="F18" s="235"/>
      <c r="G18" s="248"/>
      <c r="H18" s="236"/>
      <c r="I18" s="237"/>
      <c r="J18" s="237"/>
      <c r="K18" s="237"/>
      <c r="L18" s="237"/>
      <c r="M18" s="237"/>
      <c r="N18" s="237"/>
      <c r="O18" s="237"/>
      <c r="P18" s="216"/>
      <c r="Q18" s="238">
        <f t="shared" si="0"/>
        <v>0</v>
      </c>
      <c r="R18" s="247">
        <f>IF(Q18="","",Q18+R17+'OS Offset'!B18)</f>
        <v>31</v>
      </c>
      <c r="S18" s="208">
        <f t="shared" si="1"/>
        <v>0</v>
      </c>
      <c r="T18" s="234" t="s">
        <v>615</v>
      </c>
      <c r="U18" s="239" t="s">
        <v>597</v>
      </c>
      <c r="V18" s="230"/>
      <c r="W18" s="228"/>
      <c r="X18" s="228"/>
      <c r="Y18" s="228"/>
      <c r="Z18" s="240"/>
      <c r="AA18" s="232">
        <v>0</v>
      </c>
      <c r="AB18" s="227"/>
      <c r="AC18" s="227"/>
      <c r="AD18" s="227"/>
      <c r="AE18" s="227"/>
      <c r="AF18" s="227"/>
      <c r="AG18" s="227"/>
      <c r="AH18" s="227"/>
      <c r="AI18" s="231"/>
      <c r="AJ18" s="224">
        <f t="shared" si="2"/>
        <v>0</v>
      </c>
      <c r="AK18" s="207">
        <f>IF(AJ18="","",AJ18+AK17+'OS Offset'!I18)</f>
        <v>18</v>
      </c>
      <c r="AL18" s="208">
        <f t="shared" si="3"/>
        <v>1</v>
      </c>
    </row>
    <row r="19" spans="1:38" ht="34.049999999999997" customHeight="1" x14ac:dyDescent="0.45">
      <c r="A19" s="242">
        <v>11</v>
      </c>
      <c r="B19" s="243" t="s">
        <v>554</v>
      </c>
      <c r="C19" s="242"/>
      <c r="D19" s="244" t="s">
        <v>114</v>
      </c>
      <c r="E19" s="244" t="s">
        <v>114</v>
      </c>
      <c r="F19" s="244"/>
      <c r="G19" s="233"/>
      <c r="H19" s="234">
        <v>0</v>
      </c>
      <c r="I19" s="235"/>
      <c r="J19" s="235"/>
      <c r="K19" s="235"/>
      <c r="L19" s="235"/>
      <c r="M19" s="235"/>
      <c r="N19" s="235"/>
      <c r="O19" s="235"/>
      <c r="P19" s="205"/>
      <c r="Q19" s="206">
        <f t="shared" si="0"/>
        <v>0</v>
      </c>
      <c r="R19" s="247">
        <f>IF(Q19="","",Q19+R18+'OS Offset'!B19)</f>
        <v>31</v>
      </c>
      <c r="S19" s="208">
        <f t="shared" si="1"/>
        <v>1</v>
      </c>
      <c r="T19" s="241">
        <v>11</v>
      </c>
      <c r="U19" s="245" t="s">
        <v>595</v>
      </c>
      <c r="V19" s="241"/>
      <c r="W19" s="246"/>
      <c r="X19" s="246"/>
      <c r="Y19" s="246"/>
      <c r="Z19" s="256" t="s">
        <v>114</v>
      </c>
      <c r="AA19" s="230"/>
      <c r="AB19" s="228"/>
      <c r="AC19" s="228"/>
      <c r="AD19" s="228"/>
      <c r="AE19" s="228"/>
      <c r="AF19" s="228"/>
      <c r="AG19" s="228"/>
      <c r="AH19" s="228"/>
      <c r="AI19" s="229"/>
      <c r="AJ19" s="223">
        <f t="shared" si="2"/>
        <v>0</v>
      </c>
      <c r="AK19" s="207">
        <f>IF(AJ19="","",AJ19+AK18+'OS Offset'!I19)</f>
        <v>18</v>
      </c>
      <c r="AL19" s="208">
        <f t="shared" si="3"/>
        <v>0</v>
      </c>
    </row>
    <row r="20" spans="1:38" ht="34.049999999999997" customHeight="1" x14ac:dyDescent="0.45">
      <c r="A20" s="234">
        <v>12</v>
      </c>
      <c r="B20" s="249" t="s">
        <v>551</v>
      </c>
      <c r="C20" s="234"/>
      <c r="D20" s="235" t="s">
        <v>114</v>
      </c>
      <c r="E20" s="235" t="s">
        <v>114</v>
      </c>
      <c r="F20" s="235"/>
      <c r="G20" s="248"/>
      <c r="H20" s="236">
        <v>4</v>
      </c>
      <c r="I20" s="237"/>
      <c r="J20" s="237"/>
      <c r="K20" s="237"/>
      <c r="L20" s="237"/>
      <c r="M20" s="237"/>
      <c r="N20" s="237"/>
      <c r="O20" s="237"/>
      <c r="P20" s="216"/>
      <c r="Q20" s="238">
        <f t="shared" si="0"/>
        <v>4</v>
      </c>
      <c r="R20" s="247">
        <f>IF(Q20="","",Q20+R19+'OS Offset'!B20)</f>
        <v>35</v>
      </c>
      <c r="S20" s="208">
        <f t="shared" si="1"/>
        <v>1</v>
      </c>
      <c r="T20" s="234">
        <v>12</v>
      </c>
      <c r="U20" s="239" t="s">
        <v>582</v>
      </c>
      <c r="V20" s="230"/>
      <c r="W20" s="228"/>
      <c r="X20" s="228"/>
      <c r="Y20" s="228"/>
      <c r="Z20" s="240"/>
      <c r="AA20" s="232">
        <v>0</v>
      </c>
      <c r="AB20" s="227"/>
      <c r="AC20" s="227"/>
      <c r="AD20" s="227"/>
      <c r="AE20" s="227"/>
      <c r="AF20" s="227"/>
      <c r="AG20" s="227"/>
      <c r="AH20" s="227"/>
      <c r="AI20" s="231"/>
      <c r="AJ20" s="224">
        <f t="shared" si="2"/>
        <v>0</v>
      </c>
      <c r="AK20" s="207">
        <f>IF(AJ20="","",AJ20+AK19+'OS Offset'!I20)</f>
        <v>18</v>
      </c>
      <c r="AL20" s="208">
        <f t="shared" si="3"/>
        <v>1</v>
      </c>
    </row>
    <row r="21" spans="1:38" ht="34.049999999999997" customHeight="1" x14ac:dyDescent="0.45">
      <c r="A21" s="242">
        <v>13</v>
      </c>
      <c r="B21" s="243" t="s">
        <v>568</v>
      </c>
      <c r="C21" s="242"/>
      <c r="D21" s="244"/>
      <c r="E21" s="244"/>
      <c r="F21" s="244"/>
      <c r="G21" s="233" t="s">
        <v>114</v>
      </c>
      <c r="H21" s="234"/>
      <c r="I21" s="235"/>
      <c r="J21" s="235"/>
      <c r="K21" s="235"/>
      <c r="L21" s="235"/>
      <c r="M21" s="235"/>
      <c r="N21" s="235"/>
      <c r="O21" s="235"/>
      <c r="P21" s="205"/>
      <c r="Q21" s="206">
        <f t="shared" si="0"/>
        <v>0</v>
      </c>
      <c r="R21" s="247">
        <f>IF(Q21="","",Q21+R20+'OS Offset'!B21)</f>
        <v>35</v>
      </c>
      <c r="S21" s="208">
        <f t="shared" si="1"/>
        <v>0</v>
      </c>
      <c r="T21" s="241">
        <v>13</v>
      </c>
      <c r="U21" s="245" t="s">
        <v>582</v>
      </c>
      <c r="V21" s="241"/>
      <c r="W21" s="246" t="s">
        <v>114</v>
      </c>
      <c r="X21" s="246" t="s">
        <v>114</v>
      </c>
      <c r="Y21" s="246"/>
      <c r="Z21" s="256"/>
      <c r="AA21" s="230">
        <v>4</v>
      </c>
      <c r="AB21" s="228">
        <v>3</v>
      </c>
      <c r="AC21" s="228"/>
      <c r="AD21" s="228"/>
      <c r="AE21" s="228"/>
      <c r="AF21" s="228"/>
      <c r="AG21" s="228"/>
      <c r="AH21" s="228"/>
      <c r="AI21" s="229"/>
      <c r="AJ21" s="223">
        <f t="shared" si="2"/>
        <v>7</v>
      </c>
      <c r="AK21" s="207">
        <f>IF(AJ21="","",AJ21+AK20+'OS Offset'!I21)</f>
        <v>25</v>
      </c>
      <c r="AL21" s="208">
        <f t="shared" si="3"/>
        <v>2</v>
      </c>
    </row>
    <row r="22" spans="1:38" ht="34.049999999999997" customHeight="1" x14ac:dyDescent="0.45">
      <c r="A22" s="234" t="s">
        <v>615</v>
      </c>
      <c r="B22" s="249" t="s">
        <v>553</v>
      </c>
      <c r="C22" s="234"/>
      <c r="D22" s="235"/>
      <c r="E22" s="235"/>
      <c r="F22" s="235"/>
      <c r="G22" s="248"/>
      <c r="H22" s="236">
        <v>0</v>
      </c>
      <c r="I22" s="237"/>
      <c r="J22" s="237"/>
      <c r="K22" s="237"/>
      <c r="L22" s="237"/>
      <c r="M22" s="237"/>
      <c r="N22" s="237"/>
      <c r="O22" s="237"/>
      <c r="P22" s="216"/>
      <c r="Q22" s="238">
        <f t="shared" si="0"/>
        <v>0</v>
      </c>
      <c r="R22" s="247">
        <f>IF(Q22="","",Q22+R21+'OS Offset'!B22)</f>
        <v>35</v>
      </c>
      <c r="S22" s="208">
        <f t="shared" si="1"/>
        <v>1</v>
      </c>
      <c r="T22" s="234" t="s">
        <v>616</v>
      </c>
      <c r="U22" s="239"/>
      <c r="V22" s="230"/>
      <c r="W22" s="228"/>
      <c r="X22" s="228"/>
      <c r="Y22" s="228"/>
      <c r="Z22" s="240"/>
      <c r="AA22" s="232"/>
      <c r="AB22" s="227"/>
      <c r="AC22" s="227"/>
      <c r="AD22" s="227"/>
      <c r="AE22" s="227"/>
      <c r="AF22" s="227"/>
      <c r="AG22" s="227"/>
      <c r="AH22" s="227"/>
      <c r="AI22" s="231"/>
      <c r="AJ22" s="224">
        <f t="shared" si="2"/>
        <v>0</v>
      </c>
      <c r="AK22" s="207">
        <f>IF(AJ22="","",AJ22+AK21+'OS Offset'!I22)</f>
        <v>25</v>
      </c>
      <c r="AL22" s="208">
        <f t="shared" si="3"/>
        <v>0</v>
      </c>
    </row>
    <row r="23" spans="1:38" ht="34.049999999999997" customHeight="1" x14ac:dyDescent="0.45">
      <c r="A23" s="242">
        <v>14</v>
      </c>
      <c r="B23" s="243" t="s">
        <v>551</v>
      </c>
      <c r="C23" s="242"/>
      <c r="D23" s="244" t="s">
        <v>114</v>
      </c>
      <c r="E23" s="244" t="s">
        <v>114</v>
      </c>
      <c r="F23" s="244"/>
      <c r="G23" s="233"/>
      <c r="H23" s="234">
        <v>4</v>
      </c>
      <c r="I23" s="235"/>
      <c r="J23" s="235"/>
      <c r="K23" s="235"/>
      <c r="L23" s="235"/>
      <c r="M23" s="235"/>
      <c r="N23" s="235"/>
      <c r="O23" s="235"/>
      <c r="P23" s="205"/>
      <c r="Q23" s="206">
        <f t="shared" si="0"/>
        <v>4</v>
      </c>
      <c r="R23" s="247">
        <f>IF(Q23="","",Q23+R22+'OS Offset'!B23)</f>
        <v>39</v>
      </c>
      <c r="S23" s="208">
        <f t="shared" si="1"/>
        <v>1</v>
      </c>
      <c r="T23" s="241">
        <v>14</v>
      </c>
      <c r="U23" s="245" t="s">
        <v>600</v>
      </c>
      <c r="V23" s="241"/>
      <c r="W23" s="246"/>
      <c r="X23" s="246"/>
      <c r="Y23" s="246"/>
      <c r="Z23" s="256" t="s">
        <v>114</v>
      </c>
      <c r="AA23" s="230"/>
      <c r="AB23" s="228"/>
      <c r="AC23" s="228"/>
      <c r="AD23" s="228"/>
      <c r="AE23" s="228"/>
      <c r="AF23" s="228"/>
      <c r="AG23" s="228"/>
      <c r="AH23" s="228"/>
      <c r="AI23" s="229"/>
      <c r="AJ23" s="223">
        <f t="shared" si="2"/>
        <v>0</v>
      </c>
      <c r="AK23" s="207">
        <f>IF(AJ23="","",AJ23+AK22+'OS Offset'!I23)</f>
        <v>25</v>
      </c>
      <c r="AL23" s="208">
        <f t="shared" si="3"/>
        <v>0</v>
      </c>
    </row>
    <row r="24" spans="1:38" ht="34.049999999999997" customHeight="1" x14ac:dyDescent="0.45">
      <c r="A24" s="234" t="s">
        <v>616</v>
      </c>
      <c r="B24" s="249"/>
      <c r="C24" s="234"/>
      <c r="D24" s="235"/>
      <c r="E24" s="235"/>
      <c r="F24" s="235"/>
      <c r="G24" s="248"/>
      <c r="H24" s="236"/>
      <c r="I24" s="237"/>
      <c r="J24" s="237"/>
      <c r="K24" s="237"/>
      <c r="L24" s="237"/>
      <c r="M24" s="237"/>
      <c r="N24" s="237"/>
      <c r="O24" s="237"/>
      <c r="P24" s="216"/>
      <c r="Q24" s="238">
        <f t="shared" si="0"/>
        <v>0</v>
      </c>
      <c r="R24" s="247">
        <f>IF(Q24="","",Q24+R23+'OS Offset'!B24)</f>
        <v>39</v>
      </c>
      <c r="S24" s="208">
        <f t="shared" si="1"/>
        <v>0</v>
      </c>
      <c r="T24" s="234" t="s">
        <v>615</v>
      </c>
      <c r="U24" s="239" t="s">
        <v>590</v>
      </c>
      <c r="V24" s="230"/>
      <c r="W24" s="228"/>
      <c r="X24" s="228"/>
      <c r="Y24" s="228"/>
      <c r="Z24" s="240"/>
      <c r="AA24" s="232">
        <v>0</v>
      </c>
      <c r="AB24" s="227"/>
      <c r="AC24" s="227"/>
      <c r="AD24" s="227"/>
      <c r="AE24" s="227"/>
      <c r="AF24" s="227"/>
      <c r="AG24" s="227"/>
      <c r="AH24" s="227"/>
      <c r="AI24" s="231"/>
      <c r="AJ24" s="224">
        <f t="shared" si="2"/>
        <v>0</v>
      </c>
      <c r="AK24" s="207">
        <f>IF(AJ24="","",AJ24+AK23+'OS Offset'!I24)</f>
        <v>25</v>
      </c>
      <c r="AL24" s="208">
        <f t="shared" si="3"/>
        <v>1</v>
      </c>
    </row>
    <row r="25" spans="1:38" ht="34.049999999999997" customHeight="1" x14ac:dyDescent="0.45">
      <c r="A25" s="242">
        <v>15</v>
      </c>
      <c r="B25" s="243" t="s">
        <v>568</v>
      </c>
      <c r="C25" s="242"/>
      <c r="D25" s="244"/>
      <c r="E25" s="244"/>
      <c r="F25" s="244"/>
      <c r="G25" s="233"/>
      <c r="H25" s="234">
        <v>4</v>
      </c>
      <c r="I25" s="235">
        <v>0</v>
      </c>
      <c r="J25" s="235"/>
      <c r="K25" s="235"/>
      <c r="L25" s="235"/>
      <c r="M25" s="235"/>
      <c r="N25" s="235"/>
      <c r="O25" s="235"/>
      <c r="P25" s="205"/>
      <c r="Q25" s="206">
        <f t="shared" si="0"/>
        <v>4</v>
      </c>
      <c r="R25" s="247">
        <f>IF(Q25="","",Q25+R24+'OS Offset'!B25)</f>
        <v>43</v>
      </c>
      <c r="S25" s="208">
        <f t="shared" si="1"/>
        <v>2</v>
      </c>
      <c r="T25" s="241">
        <v>15</v>
      </c>
      <c r="U25" s="245" t="s">
        <v>582</v>
      </c>
      <c r="V25" s="241"/>
      <c r="W25" s="246" t="s">
        <v>114</v>
      </c>
      <c r="X25" s="246" t="s">
        <v>114</v>
      </c>
      <c r="Y25" s="246"/>
      <c r="Z25" s="256"/>
      <c r="AA25" s="230">
        <v>3</v>
      </c>
      <c r="AB25" s="228"/>
      <c r="AC25" s="228"/>
      <c r="AD25" s="228"/>
      <c r="AE25" s="228"/>
      <c r="AF25" s="228"/>
      <c r="AG25" s="228"/>
      <c r="AH25" s="228"/>
      <c r="AI25" s="229"/>
      <c r="AJ25" s="223">
        <f t="shared" si="2"/>
        <v>3</v>
      </c>
      <c r="AK25" s="207">
        <f>IF(AJ25="","",AJ25+AK24+'OS Offset'!I25)</f>
        <v>28</v>
      </c>
      <c r="AL25" s="208">
        <f t="shared" si="3"/>
        <v>1</v>
      </c>
    </row>
    <row r="26" spans="1:38" ht="34.049999999999997" customHeight="1" x14ac:dyDescent="0.45">
      <c r="A26" s="234">
        <v>16</v>
      </c>
      <c r="B26" s="249" t="s">
        <v>572</v>
      </c>
      <c r="C26" s="234"/>
      <c r="D26" s="235" t="s">
        <v>114</v>
      </c>
      <c r="E26" s="235" t="s">
        <v>114</v>
      </c>
      <c r="F26" s="235"/>
      <c r="G26" s="248"/>
      <c r="H26" s="236">
        <v>4</v>
      </c>
      <c r="I26" s="237"/>
      <c r="J26" s="237"/>
      <c r="K26" s="237"/>
      <c r="L26" s="237"/>
      <c r="M26" s="237"/>
      <c r="N26" s="237"/>
      <c r="O26" s="237"/>
      <c r="P26" s="216"/>
      <c r="Q26" s="238">
        <f t="shared" si="0"/>
        <v>4</v>
      </c>
      <c r="R26" s="247">
        <f>IF(Q26="","",Q26+R25+'OS Offset'!B26)</f>
        <v>47</v>
      </c>
      <c r="S26" s="208">
        <f t="shared" si="1"/>
        <v>1</v>
      </c>
      <c r="T26" s="234">
        <v>16</v>
      </c>
      <c r="U26" s="239" t="s">
        <v>595</v>
      </c>
      <c r="V26" s="230"/>
      <c r="W26" s="228"/>
      <c r="X26" s="228"/>
      <c r="Y26" s="228"/>
      <c r="Z26" s="240" t="s">
        <v>114</v>
      </c>
      <c r="AA26" s="232"/>
      <c r="AB26" s="227"/>
      <c r="AC26" s="227"/>
      <c r="AD26" s="227"/>
      <c r="AE26" s="227"/>
      <c r="AF26" s="227"/>
      <c r="AG26" s="227"/>
      <c r="AH26" s="227"/>
      <c r="AI26" s="231"/>
      <c r="AJ26" s="224">
        <f t="shared" si="2"/>
        <v>0</v>
      </c>
      <c r="AK26" s="207">
        <f>IF(AJ26="","",AJ26+AK25+'OS Offset'!I26)</f>
        <v>28</v>
      </c>
      <c r="AL26" s="208">
        <f t="shared" si="3"/>
        <v>0</v>
      </c>
    </row>
    <row r="27" spans="1:38" ht="34.049999999999997" customHeight="1" x14ac:dyDescent="0.45">
      <c r="A27" s="242" t="s">
        <v>616</v>
      </c>
      <c r="B27" s="243"/>
      <c r="C27" s="242"/>
      <c r="D27" s="244"/>
      <c r="E27" s="244"/>
      <c r="F27" s="244"/>
      <c r="G27" s="233"/>
      <c r="H27" s="234"/>
      <c r="I27" s="235"/>
      <c r="J27" s="235"/>
      <c r="K27" s="235"/>
      <c r="L27" s="235"/>
      <c r="M27" s="235"/>
      <c r="N27" s="235"/>
      <c r="O27" s="235"/>
      <c r="P27" s="205"/>
      <c r="Q27" s="206">
        <f t="shared" si="0"/>
        <v>0</v>
      </c>
      <c r="R27" s="247">
        <f>IF(Q27="","",Q27+R26+'OS Offset'!B27)</f>
        <v>47</v>
      </c>
      <c r="S27" s="208">
        <f t="shared" si="1"/>
        <v>0</v>
      </c>
      <c r="T27" s="241" t="s">
        <v>615</v>
      </c>
      <c r="U27" s="245" t="s">
        <v>590</v>
      </c>
      <c r="V27" s="241"/>
      <c r="W27" s="246"/>
      <c r="X27" s="246"/>
      <c r="Y27" s="246"/>
      <c r="Z27" s="256" t="s">
        <v>114</v>
      </c>
      <c r="AA27" s="230"/>
      <c r="AB27" s="228"/>
      <c r="AC27" s="228"/>
      <c r="AD27" s="228"/>
      <c r="AE27" s="228"/>
      <c r="AF27" s="228"/>
      <c r="AG27" s="228"/>
      <c r="AH27" s="228"/>
      <c r="AI27" s="229"/>
      <c r="AJ27" s="223">
        <f t="shared" si="2"/>
        <v>0</v>
      </c>
      <c r="AK27" s="207">
        <f>IF(AJ27="","",AJ27+AK26+'OS Offset'!I27)</f>
        <v>28</v>
      </c>
      <c r="AL27" s="208">
        <f t="shared" si="3"/>
        <v>0</v>
      </c>
    </row>
    <row r="28" spans="1:38" ht="34.049999999999997" customHeight="1" x14ac:dyDescent="0.45">
      <c r="A28" s="234">
        <v>17</v>
      </c>
      <c r="B28" s="249" t="s">
        <v>551</v>
      </c>
      <c r="C28" s="234"/>
      <c r="D28" s="235" t="s">
        <v>114</v>
      </c>
      <c r="E28" s="235"/>
      <c r="F28" s="235"/>
      <c r="G28" s="248"/>
      <c r="H28" s="236">
        <v>4</v>
      </c>
      <c r="I28" s="237">
        <v>4</v>
      </c>
      <c r="J28" s="237">
        <v>3</v>
      </c>
      <c r="K28" s="237"/>
      <c r="L28" s="237"/>
      <c r="M28" s="237"/>
      <c r="N28" s="237"/>
      <c r="O28" s="237"/>
      <c r="P28" s="216"/>
      <c r="Q28" s="238">
        <f t="shared" si="0"/>
        <v>11</v>
      </c>
      <c r="R28" s="247">
        <f>IF(Q28="","",Q28+R27+'OS Offset'!B28)</f>
        <v>58</v>
      </c>
      <c r="S28" s="208">
        <f t="shared" si="1"/>
        <v>3</v>
      </c>
      <c r="T28" s="234">
        <v>17</v>
      </c>
      <c r="U28" s="239" t="s">
        <v>600</v>
      </c>
      <c r="V28" s="230"/>
      <c r="W28" s="228"/>
      <c r="X28" s="228"/>
      <c r="Y28" s="228"/>
      <c r="Z28" s="240" t="s">
        <v>114</v>
      </c>
      <c r="AA28" s="232"/>
      <c r="AB28" s="227"/>
      <c r="AC28" s="227"/>
      <c r="AD28" s="227"/>
      <c r="AE28" s="227"/>
      <c r="AF28" s="227"/>
      <c r="AG28" s="227"/>
      <c r="AH28" s="227"/>
      <c r="AI28" s="231"/>
      <c r="AJ28" s="224">
        <f t="shared" si="2"/>
        <v>0</v>
      </c>
      <c r="AK28" s="207">
        <f>IF(AJ28="","",AJ28+AK27+'OS Offset'!I28)</f>
        <v>28</v>
      </c>
      <c r="AL28" s="208">
        <f t="shared" si="3"/>
        <v>0</v>
      </c>
    </row>
    <row r="29" spans="1:38" ht="34.049999999999997" customHeight="1" x14ac:dyDescent="0.45">
      <c r="A29" s="242">
        <v>18</v>
      </c>
      <c r="B29" s="243" t="s">
        <v>568</v>
      </c>
      <c r="C29" s="242"/>
      <c r="D29" s="244" t="s">
        <v>114</v>
      </c>
      <c r="E29" s="244" t="s">
        <v>114</v>
      </c>
      <c r="F29" s="244"/>
      <c r="G29" s="233"/>
      <c r="H29" s="234">
        <v>0</v>
      </c>
      <c r="I29" s="235"/>
      <c r="J29" s="235"/>
      <c r="K29" s="235"/>
      <c r="L29" s="235"/>
      <c r="M29" s="235"/>
      <c r="N29" s="235"/>
      <c r="O29" s="235"/>
      <c r="P29" s="205"/>
      <c r="Q29" s="206">
        <f t="shared" si="0"/>
        <v>0</v>
      </c>
      <c r="R29" s="247">
        <f>IF(Q29="","",Q29+R28+'OS Offset'!B29)</f>
        <v>58</v>
      </c>
      <c r="S29" s="208">
        <f t="shared" si="1"/>
        <v>1</v>
      </c>
      <c r="T29" s="241">
        <v>18</v>
      </c>
      <c r="U29" s="245" t="s">
        <v>582</v>
      </c>
      <c r="V29" s="241"/>
      <c r="W29" s="246"/>
      <c r="X29" s="246"/>
      <c r="Y29" s="246"/>
      <c r="Z29" s="256"/>
      <c r="AA29" s="230">
        <v>1</v>
      </c>
      <c r="AB29" s="228"/>
      <c r="AC29" s="228"/>
      <c r="AD29" s="228"/>
      <c r="AE29" s="228"/>
      <c r="AF29" s="228"/>
      <c r="AG29" s="228"/>
      <c r="AH29" s="228"/>
      <c r="AI29" s="229"/>
      <c r="AJ29" s="223">
        <f t="shared" si="2"/>
        <v>1</v>
      </c>
      <c r="AK29" s="207">
        <f>IF(AJ29="","",AJ29+AK28+'OS Offset'!I29)</f>
        <v>29</v>
      </c>
      <c r="AL29" s="208">
        <f t="shared" si="3"/>
        <v>1</v>
      </c>
    </row>
    <row r="30" spans="1:38" ht="34.049999999999997" customHeight="1" x14ac:dyDescent="0.45">
      <c r="A30" s="234">
        <v>19</v>
      </c>
      <c r="B30" s="249" t="s">
        <v>554</v>
      </c>
      <c r="C30" s="234"/>
      <c r="D30" s="235" t="s">
        <v>114</v>
      </c>
      <c r="E30" s="235"/>
      <c r="F30" s="235"/>
      <c r="G30" s="248"/>
      <c r="H30" s="236">
        <v>4</v>
      </c>
      <c r="I30" s="237">
        <v>4</v>
      </c>
      <c r="J30" s="237">
        <v>0</v>
      </c>
      <c r="K30" s="237"/>
      <c r="L30" s="237"/>
      <c r="M30" s="237"/>
      <c r="N30" s="237"/>
      <c r="O30" s="237"/>
      <c r="P30" s="216"/>
      <c r="Q30" s="238">
        <f t="shared" si="0"/>
        <v>8</v>
      </c>
      <c r="R30" s="247">
        <f>IF(Q30="","",Q30+R29+'OS Offset'!B30)</f>
        <v>66</v>
      </c>
      <c r="S30" s="208">
        <f t="shared" si="1"/>
        <v>3</v>
      </c>
      <c r="T30" s="234">
        <v>19</v>
      </c>
      <c r="U30" s="239" t="s">
        <v>595</v>
      </c>
      <c r="V30" s="230"/>
      <c r="W30" s="228"/>
      <c r="X30" s="228"/>
      <c r="Y30" s="228"/>
      <c r="Z30" s="240"/>
      <c r="AA30" s="232">
        <v>3</v>
      </c>
      <c r="AB30" s="227"/>
      <c r="AC30" s="227"/>
      <c r="AD30" s="227"/>
      <c r="AE30" s="227"/>
      <c r="AF30" s="227"/>
      <c r="AG30" s="227"/>
      <c r="AH30" s="227"/>
      <c r="AI30" s="231"/>
      <c r="AJ30" s="224">
        <f t="shared" si="2"/>
        <v>3</v>
      </c>
      <c r="AK30" s="207">
        <f>IF(AJ30="","",AJ30+AK29+'OS Offset'!I30)</f>
        <v>32</v>
      </c>
      <c r="AL30" s="208">
        <f t="shared" si="3"/>
        <v>1</v>
      </c>
    </row>
    <row r="31" spans="1:38" ht="34.049999999999997" customHeight="1" x14ac:dyDescent="0.45">
      <c r="A31" s="242">
        <v>20</v>
      </c>
      <c r="B31" s="243" t="s">
        <v>568</v>
      </c>
      <c r="C31" s="242"/>
      <c r="D31" s="244"/>
      <c r="E31" s="244"/>
      <c r="F31" s="244"/>
      <c r="G31" s="233"/>
      <c r="H31" s="234">
        <v>4</v>
      </c>
      <c r="I31" s="235">
        <v>0</v>
      </c>
      <c r="J31" s="235"/>
      <c r="K31" s="235"/>
      <c r="L31" s="235"/>
      <c r="M31" s="235"/>
      <c r="N31" s="235"/>
      <c r="O31" s="235"/>
      <c r="P31" s="205"/>
      <c r="Q31" s="206">
        <f t="shared" si="0"/>
        <v>4</v>
      </c>
      <c r="R31" s="247">
        <f>IF(Q31="","",Q31+R30+'OS Offset'!B31)</f>
        <v>70</v>
      </c>
      <c r="S31" s="208">
        <f t="shared" si="1"/>
        <v>2</v>
      </c>
      <c r="T31" s="241">
        <v>20</v>
      </c>
      <c r="U31" s="245" t="s">
        <v>582</v>
      </c>
      <c r="V31" s="241"/>
      <c r="W31" s="246" t="s">
        <v>114</v>
      </c>
      <c r="X31" s="246" t="s">
        <v>114</v>
      </c>
      <c r="Y31" s="246"/>
      <c r="Z31" s="256"/>
      <c r="AA31" s="230">
        <v>4</v>
      </c>
      <c r="AB31" s="228">
        <v>3</v>
      </c>
      <c r="AC31" s="228">
        <v>3</v>
      </c>
      <c r="AD31" s="228"/>
      <c r="AE31" s="228"/>
      <c r="AF31" s="228"/>
      <c r="AG31" s="228"/>
      <c r="AH31" s="228"/>
      <c r="AI31" s="229"/>
      <c r="AJ31" s="223">
        <f t="shared" si="2"/>
        <v>10</v>
      </c>
      <c r="AK31" s="207">
        <f>IF(AJ31="","",AJ31+AK30+'OS Offset'!I31)</f>
        <v>42</v>
      </c>
      <c r="AL31" s="208">
        <f t="shared" si="3"/>
        <v>3</v>
      </c>
    </row>
    <row r="32" spans="1:38" ht="34.049999999999997" customHeight="1" x14ac:dyDescent="0.45">
      <c r="A32" s="234"/>
      <c r="B32" s="249"/>
      <c r="C32" s="234"/>
      <c r="D32" s="235"/>
      <c r="E32" s="235"/>
      <c r="F32" s="235"/>
      <c r="G32" s="248"/>
      <c r="H32" s="236"/>
      <c r="I32" s="237"/>
      <c r="J32" s="237"/>
      <c r="K32" s="237"/>
      <c r="L32" s="237"/>
      <c r="M32" s="237"/>
      <c r="N32" s="237"/>
      <c r="O32" s="237"/>
      <c r="P32" s="216"/>
      <c r="Q32" s="238" t="str">
        <f t="shared" si="0"/>
        <v/>
      </c>
      <c r="R32" s="247" t="str">
        <f>IF(Q32="","",Q32+R31+'OS Offset'!B32)</f>
        <v/>
      </c>
      <c r="S32" s="208">
        <f t="shared" si="1"/>
        <v>0</v>
      </c>
      <c r="T32" s="234"/>
      <c r="U32" s="239"/>
      <c r="V32" s="230"/>
      <c r="W32" s="228"/>
      <c r="X32" s="228"/>
      <c r="Y32" s="228"/>
      <c r="Z32" s="240"/>
      <c r="AA32" s="232"/>
      <c r="AB32" s="227"/>
      <c r="AC32" s="227"/>
      <c r="AD32" s="227"/>
      <c r="AE32" s="227"/>
      <c r="AF32" s="227"/>
      <c r="AG32" s="227"/>
      <c r="AH32" s="227"/>
      <c r="AI32" s="231"/>
      <c r="AJ32" s="224" t="str">
        <f t="shared" si="2"/>
        <v/>
      </c>
      <c r="AK32" s="207" t="str">
        <f>IF(AJ32="","",AJ32+AK31+'OS Offset'!I32)</f>
        <v/>
      </c>
      <c r="AL32" s="208">
        <f t="shared" si="3"/>
        <v>0</v>
      </c>
    </row>
    <row r="33" spans="1:38" ht="34.049999999999997" customHeight="1" x14ac:dyDescent="0.45">
      <c r="A33" s="242"/>
      <c r="B33" s="243"/>
      <c r="C33" s="242"/>
      <c r="D33" s="244"/>
      <c r="E33" s="244"/>
      <c r="F33" s="244"/>
      <c r="G33" s="233"/>
      <c r="H33" s="234"/>
      <c r="I33" s="235"/>
      <c r="J33" s="235"/>
      <c r="K33" s="235"/>
      <c r="L33" s="235"/>
      <c r="M33" s="235"/>
      <c r="N33" s="235"/>
      <c r="O33" s="235"/>
      <c r="P33" s="205"/>
      <c r="Q33" s="206" t="str">
        <f t="shared" si="0"/>
        <v/>
      </c>
      <c r="R33" s="247" t="str">
        <f>IF(Q33="","",Q33+R32+'OS Offset'!B33)</f>
        <v/>
      </c>
      <c r="S33" s="208">
        <f t="shared" si="1"/>
        <v>0</v>
      </c>
      <c r="T33" s="241"/>
      <c r="U33" s="245"/>
      <c r="V33" s="241"/>
      <c r="W33" s="246"/>
      <c r="X33" s="246"/>
      <c r="Y33" s="246"/>
      <c r="Z33" s="256"/>
      <c r="AA33" s="230"/>
      <c r="AB33" s="228"/>
      <c r="AC33" s="228"/>
      <c r="AD33" s="228"/>
      <c r="AE33" s="228"/>
      <c r="AF33" s="228"/>
      <c r="AG33" s="228"/>
      <c r="AH33" s="228"/>
      <c r="AI33" s="229"/>
      <c r="AJ33" s="223" t="str">
        <f t="shared" si="2"/>
        <v/>
      </c>
      <c r="AK33" s="207" t="str">
        <f>IF(AJ33="","",AJ33+AK32+'OS Offset'!I33)</f>
        <v/>
      </c>
      <c r="AL33" s="208">
        <f t="shared" si="3"/>
        <v>0</v>
      </c>
    </row>
    <row r="34" spans="1:38" ht="34.049999999999997" customHeight="1" x14ac:dyDescent="0.45">
      <c r="A34" s="234"/>
      <c r="B34" s="249"/>
      <c r="C34" s="234"/>
      <c r="D34" s="235"/>
      <c r="E34" s="235"/>
      <c r="F34" s="235"/>
      <c r="G34" s="248"/>
      <c r="H34" s="236"/>
      <c r="I34" s="237"/>
      <c r="J34" s="237"/>
      <c r="K34" s="237"/>
      <c r="L34" s="237"/>
      <c r="M34" s="237"/>
      <c r="N34" s="237"/>
      <c r="O34" s="237"/>
      <c r="P34" s="216"/>
      <c r="Q34" s="238" t="str">
        <f t="shared" si="0"/>
        <v/>
      </c>
      <c r="R34" s="247" t="str">
        <f>IF(Q34="","",Q34+R33+'OS Offset'!B34)</f>
        <v/>
      </c>
      <c r="S34" s="208">
        <f t="shared" si="1"/>
        <v>0</v>
      </c>
      <c r="T34" s="234"/>
      <c r="U34" s="239"/>
      <c r="V34" s="230"/>
      <c r="W34" s="228"/>
      <c r="X34" s="228"/>
      <c r="Y34" s="228"/>
      <c r="Z34" s="240"/>
      <c r="AA34" s="232"/>
      <c r="AB34" s="227"/>
      <c r="AC34" s="227"/>
      <c r="AD34" s="227"/>
      <c r="AE34" s="227"/>
      <c r="AF34" s="227"/>
      <c r="AG34" s="227"/>
      <c r="AH34" s="227"/>
      <c r="AI34" s="231"/>
      <c r="AJ34" s="224" t="str">
        <f t="shared" si="2"/>
        <v/>
      </c>
      <c r="AK34" s="207" t="str">
        <f>IF(AJ34="","",AJ34+AK33+'OS Offset'!I34)</f>
        <v/>
      </c>
      <c r="AL34" s="208">
        <f t="shared" si="3"/>
        <v>0</v>
      </c>
    </row>
    <row r="35" spans="1:38" ht="34.049999999999997" customHeight="1" x14ac:dyDescent="0.45">
      <c r="A35" s="242"/>
      <c r="B35" s="243"/>
      <c r="C35" s="242"/>
      <c r="D35" s="244"/>
      <c r="E35" s="244"/>
      <c r="F35" s="244"/>
      <c r="G35" s="233"/>
      <c r="H35" s="234"/>
      <c r="I35" s="235"/>
      <c r="J35" s="235"/>
      <c r="K35" s="235"/>
      <c r="L35" s="235"/>
      <c r="M35" s="235"/>
      <c r="N35" s="235"/>
      <c r="O35" s="235"/>
      <c r="P35" s="205"/>
      <c r="Q35" s="206" t="str">
        <f t="shared" si="0"/>
        <v/>
      </c>
      <c r="R35" s="247" t="str">
        <f>IF(Q35="","",Q35+R34+'OS Offset'!B35)</f>
        <v/>
      </c>
      <c r="S35" s="208">
        <f t="shared" si="1"/>
        <v>0</v>
      </c>
      <c r="T35" s="241"/>
      <c r="U35" s="245"/>
      <c r="V35" s="241"/>
      <c r="W35" s="246"/>
      <c r="X35" s="246"/>
      <c r="Y35" s="246"/>
      <c r="Z35" s="256"/>
      <c r="AA35" s="230"/>
      <c r="AB35" s="228"/>
      <c r="AC35" s="228"/>
      <c r="AD35" s="228"/>
      <c r="AE35" s="228"/>
      <c r="AF35" s="228"/>
      <c r="AG35" s="228"/>
      <c r="AH35" s="228"/>
      <c r="AI35" s="229"/>
      <c r="AJ35" s="223" t="str">
        <f t="shared" si="2"/>
        <v/>
      </c>
      <c r="AK35" s="207" t="str">
        <f>IF(AJ35="","",AJ35+AK34+'OS Offset'!I35)</f>
        <v/>
      </c>
      <c r="AL35" s="208">
        <f t="shared" si="3"/>
        <v>0</v>
      </c>
    </row>
    <row r="36" spans="1:38" ht="34.049999999999997" customHeight="1" x14ac:dyDescent="0.45">
      <c r="A36" s="234"/>
      <c r="B36" s="249"/>
      <c r="C36" s="234"/>
      <c r="D36" s="235"/>
      <c r="E36" s="235"/>
      <c r="F36" s="235"/>
      <c r="G36" s="248"/>
      <c r="H36" s="236"/>
      <c r="I36" s="237"/>
      <c r="J36" s="237"/>
      <c r="K36" s="237"/>
      <c r="L36" s="237"/>
      <c r="M36" s="237"/>
      <c r="N36" s="237"/>
      <c r="O36" s="237"/>
      <c r="P36" s="216"/>
      <c r="Q36" s="238" t="str">
        <f t="shared" si="0"/>
        <v/>
      </c>
      <c r="R36" s="247" t="str">
        <f>IF(Q36="","",Q36+R35+'OS Offset'!B36)</f>
        <v/>
      </c>
      <c r="S36" s="208">
        <f t="shared" si="1"/>
        <v>0</v>
      </c>
      <c r="T36" s="234"/>
      <c r="U36" s="239"/>
      <c r="V36" s="230"/>
      <c r="W36" s="228"/>
      <c r="X36" s="228"/>
      <c r="Y36" s="228"/>
      <c r="Z36" s="240"/>
      <c r="AA36" s="232"/>
      <c r="AB36" s="227"/>
      <c r="AC36" s="227"/>
      <c r="AD36" s="227"/>
      <c r="AE36" s="227"/>
      <c r="AF36" s="227"/>
      <c r="AG36" s="227"/>
      <c r="AH36" s="227"/>
      <c r="AI36" s="231"/>
      <c r="AJ36" s="224" t="str">
        <f t="shared" si="2"/>
        <v/>
      </c>
      <c r="AK36" s="207" t="str">
        <f>IF(AJ36="","",AJ36+AK35+'OS Offset'!I36)</f>
        <v/>
      </c>
      <c r="AL36" s="208">
        <f t="shared" si="3"/>
        <v>0</v>
      </c>
    </row>
    <row r="37" spans="1:38" ht="34.049999999999997" customHeight="1" x14ac:dyDescent="0.45">
      <c r="A37" s="242"/>
      <c r="B37" s="243"/>
      <c r="C37" s="242"/>
      <c r="D37" s="244"/>
      <c r="E37" s="244"/>
      <c r="F37" s="244"/>
      <c r="G37" s="233"/>
      <c r="H37" s="234"/>
      <c r="I37" s="235"/>
      <c r="J37" s="235"/>
      <c r="K37" s="235"/>
      <c r="L37" s="235"/>
      <c r="M37" s="235"/>
      <c r="N37" s="235"/>
      <c r="O37" s="235"/>
      <c r="P37" s="205"/>
      <c r="Q37" s="206" t="str">
        <f t="shared" si="0"/>
        <v/>
      </c>
      <c r="R37" s="247" t="str">
        <f>IF(Q37="","",Q37+R36+'OS Offset'!B37)</f>
        <v/>
      </c>
      <c r="S37" s="208">
        <f t="shared" si="1"/>
        <v>0</v>
      </c>
      <c r="T37" s="241"/>
      <c r="U37" s="245"/>
      <c r="V37" s="241"/>
      <c r="W37" s="246"/>
      <c r="X37" s="246"/>
      <c r="Y37" s="246"/>
      <c r="Z37" s="256"/>
      <c r="AA37" s="230"/>
      <c r="AB37" s="228"/>
      <c r="AC37" s="228"/>
      <c r="AD37" s="228"/>
      <c r="AE37" s="228"/>
      <c r="AF37" s="228"/>
      <c r="AG37" s="228"/>
      <c r="AH37" s="228"/>
      <c r="AI37" s="229"/>
      <c r="AJ37" s="223" t="str">
        <f t="shared" si="2"/>
        <v/>
      </c>
      <c r="AK37" s="207" t="str">
        <f>IF(AJ37="","",AJ37+AK36+'OS Offset'!I37)</f>
        <v/>
      </c>
      <c r="AL37" s="208">
        <f t="shared" si="3"/>
        <v>0</v>
      </c>
    </row>
    <row r="38" spans="1:38" ht="34.049999999999997" customHeight="1" x14ac:dyDescent="0.45">
      <c r="A38" s="234"/>
      <c r="B38" s="249"/>
      <c r="C38" s="234"/>
      <c r="D38" s="235"/>
      <c r="E38" s="235"/>
      <c r="F38" s="235"/>
      <c r="G38" s="248"/>
      <c r="H38" s="236"/>
      <c r="I38" s="237"/>
      <c r="J38" s="237"/>
      <c r="K38" s="237"/>
      <c r="L38" s="237"/>
      <c r="M38" s="237"/>
      <c r="N38" s="237"/>
      <c r="O38" s="237"/>
      <c r="P38" s="216"/>
      <c r="Q38" s="238" t="str">
        <f t="shared" si="0"/>
        <v/>
      </c>
      <c r="R38" s="247" t="str">
        <f>IF(Q38="","",Q38+R37+'OS Offset'!B38)</f>
        <v/>
      </c>
      <c r="S38" s="208">
        <f t="shared" si="1"/>
        <v>0</v>
      </c>
      <c r="T38" s="234"/>
      <c r="U38" s="239"/>
      <c r="V38" s="230"/>
      <c r="W38" s="228"/>
      <c r="X38" s="228"/>
      <c r="Y38" s="228"/>
      <c r="Z38" s="240"/>
      <c r="AA38" s="232"/>
      <c r="AB38" s="227"/>
      <c r="AC38" s="227"/>
      <c r="AD38" s="227"/>
      <c r="AE38" s="227"/>
      <c r="AF38" s="227"/>
      <c r="AG38" s="227"/>
      <c r="AH38" s="227"/>
      <c r="AI38" s="231"/>
      <c r="AJ38" s="224" t="str">
        <f t="shared" si="2"/>
        <v/>
      </c>
      <c r="AK38" s="207" t="str">
        <f>IF(AJ38="","",AJ38+AK37+'OS Offset'!I38)</f>
        <v/>
      </c>
      <c r="AL38" s="208">
        <f t="shared" si="3"/>
        <v>0</v>
      </c>
    </row>
    <row r="39" spans="1:38" ht="34.049999999999997" customHeight="1" x14ac:dyDescent="0.45">
      <c r="A39" s="242"/>
      <c r="B39" s="243"/>
      <c r="C39" s="242"/>
      <c r="D39" s="244"/>
      <c r="E39" s="244"/>
      <c r="F39" s="244"/>
      <c r="G39" s="233"/>
      <c r="H39" s="234"/>
      <c r="I39" s="235"/>
      <c r="J39" s="235"/>
      <c r="K39" s="235"/>
      <c r="L39" s="235"/>
      <c r="M39" s="235"/>
      <c r="N39" s="235"/>
      <c r="O39" s="235"/>
      <c r="P39" s="205"/>
      <c r="Q39" s="206" t="str">
        <f t="shared" si="0"/>
        <v/>
      </c>
      <c r="R39" s="247" t="str">
        <f>IF(Q39="","",Q39+R38+'OS Offset'!B39)</f>
        <v/>
      </c>
      <c r="S39" s="208">
        <f t="shared" si="1"/>
        <v>0</v>
      </c>
      <c r="T39" s="241"/>
      <c r="U39" s="245"/>
      <c r="V39" s="241"/>
      <c r="W39" s="246"/>
      <c r="X39" s="246"/>
      <c r="Y39" s="246"/>
      <c r="Z39" s="256"/>
      <c r="AA39" s="230"/>
      <c r="AB39" s="228"/>
      <c r="AC39" s="228"/>
      <c r="AD39" s="228"/>
      <c r="AE39" s="228"/>
      <c r="AF39" s="228"/>
      <c r="AG39" s="228"/>
      <c r="AH39" s="228"/>
      <c r="AI39" s="229"/>
      <c r="AJ39" s="223" t="str">
        <f t="shared" si="2"/>
        <v/>
      </c>
      <c r="AK39" s="207" t="str">
        <f>IF(AJ39="","",AJ39+AK38+'OS Offset'!I39)</f>
        <v/>
      </c>
      <c r="AL39" s="208">
        <f t="shared" si="3"/>
        <v>0</v>
      </c>
    </row>
    <row r="40" spans="1:38" ht="34.049999999999997" customHeight="1" x14ac:dyDescent="0.45">
      <c r="A40" s="234"/>
      <c r="B40" s="249"/>
      <c r="C40" s="234"/>
      <c r="D40" s="235"/>
      <c r="E40" s="235"/>
      <c r="F40" s="235"/>
      <c r="G40" s="248"/>
      <c r="H40" s="236"/>
      <c r="I40" s="237"/>
      <c r="J40" s="237"/>
      <c r="K40" s="237"/>
      <c r="L40" s="237"/>
      <c r="M40" s="237"/>
      <c r="N40" s="237"/>
      <c r="O40" s="237"/>
      <c r="P40" s="216"/>
      <c r="Q40" s="238" t="str">
        <f t="shared" si="0"/>
        <v/>
      </c>
      <c r="R40" s="247" t="str">
        <f>IF(Q40="","",Q40+R39+'OS Offset'!B40)</f>
        <v/>
      </c>
      <c r="S40" s="208">
        <f t="shared" si="1"/>
        <v>0</v>
      </c>
      <c r="T40" s="234"/>
      <c r="U40" s="239"/>
      <c r="V40" s="230"/>
      <c r="W40" s="228"/>
      <c r="X40" s="228"/>
      <c r="Y40" s="228"/>
      <c r="Z40" s="240"/>
      <c r="AA40" s="232"/>
      <c r="AB40" s="227"/>
      <c r="AC40" s="227"/>
      <c r="AD40" s="227"/>
      <c r="AE40" s="227"/>
      <c r="AF40" s="227"/>
      <c r="AG40" s="227"/>
      <c r="AH40" s="227"/>
      <c r="AI40" s="231"/>
      <c r="AJ40" s="224" t="str">
        <f t="shared" si="2"/>
        <v/>
      </c>
      <c r="AK40" s="207" t="str">
        <f>IF(AJ40="","",AJ40+AK39+'OS Offset'!I40)</f>
        <v/>
      </c>
      <c r="AL40" s="208">
        <f t="shared" si="3"/>
        <v>0</v>
      </c>
    </row>
    <row r="41" spans="1:38" ht="34.049999999999997" customHeight="1" thickBot="1" x14ac:dyDescent="0.5">
      <c r="A41" s="241"/>
      <c r="B41" s="306"/>
      <c r="C41" s="241"/>
      <c r="D41" s="246"/>
      <c r="E41" s="246"/>
      <c r="F41" s="246"/>
      <c r="G41" s="256"/>
      <c r="H41" s="230"/>
      <c r="I41" s="228"/>
      <c r="J41" s="228"/>
      <c r="K41" s="228"/>
      <c r="L41" s="228"/>
      <c r="M41" s="228"/>
      <c r="N41" s="228"/>
      <c r="O41" s="228"/>
      <c r="P41" s="269"/>
      <c r="Q41" s="223" t="str">
        <f t="shared" si="0"/>
        <v/>
      </c>
      <c r="R41" s="267" t="str">
        <f>IF(Q41="","",Q41+R40+'OS Offset'!B41)</f>
        <v/>
      </c>
      <c r="S41" s="208">
        <f t="shared" si="1"/>
        <v>0</v>
      </c>
      <c r="T41" s="241"/>
      <c r="U41" s="245"/>
      <c r="V41" s="241"/>
      <c r="W41" s="246"/>
      <c r="X41" s="246"/>
      <c r="Y41" s="246"/>
      <c r="Z41" s="256"/>
      <c r="AA41" s="230"/>
      <c r="AB41" s="228"/>
      <c r="AC41" s="228"/>
      <c r="AD41" s="228"/>
      <c r="AE41" s="228"/>
      <c r="AF41" s="228"/>
      <c r="AG41" s="228"/>
      <c r="AH41" s="228"/>
      <c r="AI41" s="229"/>
      <c r="AJ41" s="223" t="str">
        <f t="shared" si="2"/>
        <v/>
      </c>
      <c r="AK41" s="267" t="str">
        <f>IF(AJ41="","",AJ41+AK40+'OS Offset'!I41)</f>
        <v/>
      </c>
      <c r="AL41" s="208">
        <f t="shared" si="3"/>
        <v>0</v>
      </c>
    </row>
    <row r="42" spans="1:38" s="6" customFormat="1" ht="31.8" customHeight="1" thickBot="1" x14ac:dyDescent="0.3">
      <c r="A42" s="320">
        <f>IF(COUNT(A4:A41),COUNT(A4:A41),"")</f>
        <v>20</v>
      </c>
      <c r="B42" s="321" t="s">
        <v>108</v>
      </c>
      <c r="C42" s="308">
        <f>IF($A$42="","",COUNTIF(C$4:C$41, "X"))</f>
        <v>1</v>
      </c>
      <c r="D42" s="303">
        <f>IF($A$42="","",COUNTIF(D$4:D$41, "X"))</f>
        <v>13</v>
      </c>
      <c r="E42" s="303">
        <f>IF($A$42="","",COUNTIF(E$4:E$41, "X"))</f>
        <v>8</v>
      </c>
      <c r="F42" s="303">
        <f>IF($A$42="","",COUNTIF(F$4:F$41, "X"))</f>
        <v>0</v>
      </c>
      <c r="G42" s="303">
        <f>IF($A$42="","",COUNTIF(G$4:G$41, "X"))</f>
        <v>4</v>
      </c>
      <c r="H42" s="309">
        <f t="shared" ref="H42:Q42" si="4">IF(COUNT(H4:H41),SUM(H4:H41),"")</f>
        <v>47</v>
      </c>
      <c r="I42" s="310">
        <f t="shared" si="4"/>
        <v>20</v>
      </c>
      <c r="J42" s="310">
        <f t="shared" si="4"/>
        <v>3</v>
      </c>
      <c r="K42" s="310" t="str">
        <f t="shared" si="4"/>
        <v/>
      </c>
      <c r="L42" s="310" t="str">
        <f t="shared" si="4"/>
        <v/>
      </c>
      <c r="M42" s="310" t="str">
        <f t="shared" si="4"/>
        <v/>
      </c>
      <c r="N42" s="310" t="str">
        <f t="shared" si="4"/>
        <v/>
      </c>
      <c r="O42" s="310" t="str">
        <f t="shared" si="4"/>
        <v/>
      </c>
      <c r="P42" s="311" t="str">
        <f t="shared" si="4"/>
        <v/>
      </c>
      <c r="Q42" s="312">
        <f t="shared" si="4"/>
        <v>70</v>
      </c>
      <c r="R42" s="313">
        <f>IF(A42="","",MAX(R4:R41))</f>
        <v>70</v>
      </c>
      <c r="S42" s="305"/>
      <c r="T42" s="319">
        <f>IF(COUNT(T4:T41),COUNT(T4:T41),"")</f>
        <v>20</v>
      </c>
      <c r="U42" s="321" t="s">
        <v>108</v>
      </c>
      <c r="V42" s="315">
        <f>IF($T$42="","",COUNTIF(V$4:V$41, "X"))</f>
        <v>0</v>
      </c>
      <c r="W42" s="303">
        <f>IF($T$42="","",COUNTIF(W$4:W$41, "X"))</f>
        <v>7</v>
      </c>
      <c r="X42" s="303">
        <f>IF($T$42="","",COUNTIF(X$4:X$41, "X"))</f>
        <v>7</v>
      </c>
      <c r="Y42" s="303">
        <f>IF($T$42="","",COUNTIF(Y$4:Y$41, "X"))</f>
        <v>0</v>
      </c>
      <c r="Z42" s="303">
        <f>IF($T$42="","",COUNTIF(Z$4:Z$41, "X"))</f>
        <v>10</v>
      </c>
      <c r="AA42" s="316">
        <f t="shared" ref="AA42:AJ42" si="5">IF(COUNT(AA4:AA41),SUM(AA4:AA41),"")</f>
        <v>33</v>
      </c>
      <c r="AB42" s="310">
        <f t="shared" si="5"/>
        <v>6</v>
      </c>
      <c r="AC42" s="310">
        <f t="shared" si="5"/>
        <v>3</v>
      </c>
      <c r="AD42" s="310" t="str">
        <f t="shared" si="5"/>
        <v/>
      </c>
      <c r="AE42" s="310" t="str">
        <f t="shared" si="5"/>
        <v/>
      </c>
      <c r="AF42" s="310" t="str">
        <f t="shared" si="5"/>
        <v/>
      </c>
      <c r="AG42" s="310" t="str">
        <f t="shared" si="5"/>
        <v/>
      </c>
      <c r="AH42" s="310" t="str">
        <f t="shared" si="5"/>
        <v/>
      </c>
      <c r="AI42" s="317" t="str">
        <f t="shared" si="5"/>
        <v/>
      </c>
      <c r="AJ42" s="318">
        <f t="shared" si="5"/>
        <v>42</v>
      </c>
      <c r="AK42" s="319">
        <f>IF(T42="","",MAX(AK4:AK41))</f>
        <v>42</v>
      </c>
      <c r="AL42" s="265"/>
    </row>
    <row r="43" spans="1:38" ht="30" customHeight="1" x14ac:dyDescent="0.45">
      <c r="A43" s="951" t="str">
        <f>A1</f>
        <v>Black Rose Rollers / All Stars</v>
      </c>
      <c r="B43" s="951"/>
      <c r="C43" s="951"/>
      <c r="D43" s="951"/>
      <c r="E43" s="951"/>
      <c r="F43" s="951"/>
      <c r="G43" s="951"/>
      <c r="H43" s="951"/>
      <c r="I43" s="956" t="str">
        <f>IF(ISBLANK(I1), "", I1)</f>
        <v>Black</v>
      </c>
      <c r="J43" s="956"/>
      <c r="K43" s="164">
        <f>IF(ISBLANK(IGRF!$B$7), "", IGRF!$B$7)</f>
        <v>45144</v>
      </c>
      <c r="L43" s="949" t="s">
        <v>528</v>
      </c>
      <c r="M43" s="949"/>
      <c r="N43" s="949"/>
      <c r="O43" s="950" t="s">
        <v>537</v>
      </c>
      <c r="P43" s="950"/>
      <c r="Q43" s="950"/>
      <c r="R43" s="1">
        <v>2</v>
      </c>
      <c r="S43" s="2"/>
      <c r="T43" s="951" t="str">
        <f>T1</f>
        <v>Steel City Roller Derby / Steel Hurtin'</v>
      </c>
      <c r="U43" s="951"/>
      <c r="V43" s="951"/>
      <c r="W43" s="951"/>
      <c r="X43" s="951"/>
      <c r="Y43" s="951"/>
      <c r="Z43" s="951"/>
      <c r="AA43" s="951"/>
      <c r="AB43" s="956" t="str">
        <f>IF(ISBLANK(AB1), "", AB1)</f>
        <v>Yellow</v>
      </c>
      <c r="AC43" s="956"/>
      <c r="AD43" s="164">
        <f>IF(ISBLANK(IGRF!$B$7), "", IGRF!$B$7)</f>
        <v>45144</v>
      </c>
      <c r="AE43" s="949" t="s">
        <v>527</v>
      </c>
      <c r="AF43" s="949"/>
      <c r="AG43" s="949"/>
      <c r="AH43" s="950" t="s">
        <v>538</v>
      </c>
      <c r="AI43" s="950"/>
      <c r="AJ43" s="950"/>
      <c r="AK43" s="1">
        <v>2</v>
      </c>
    </row>
    <row r="44" spans="1:38" ht="15" customHeight="1" thickBot="1" x14ac:dyDescent="0.35">
      <c r="A44" s="952"/>
      <c r="B44" s="952"/>
      <c r="C44" s="952"/>
      <c r="D44" s="952"/>
      <c r="E44" s="952"/>
      <c r="F44" s="952"/>
      <c r="G44" s="952"/>
      <c r="H44" s="952"/>
      <c r="I44" s="957" t="s">
        <v>181</v>
      </c>
      <c r="J44" s="957"/>
      <c r="K44" s="516" t="s">
        <v>184</v>
      </c>
      <c r="L44" s="953" t="s">
        <v>174</v>
      </c>
      <c r="M44" s="953"/>
      <c r="N44" s="953"/>
      <c r="O44" s="954" t="s">
        <v>183</v>
      </c>
      <c r="P44" s="954"/>
      <c r="Q44" s="954"/>
      <c r="R44" s="4" t="str">
        <f>R2</f>
        <v/>
      </c>
      <c r="S44" s="2"/>
      <c r="T44" s="952"/>
      <c r="U44" s="952"/>
      <c r="V44" s="952"/>
      <c r="W44" s="952"/>
      <c r="X44" s="952"/>
      <c r="Y44" s="952"/>
      <c r="Z44" s="952"/>
      <c r="AA44" s="952"/>
      <c r="AB44" s="957" t="s">
        <v>181</v>
      </c>
      <c r="AC44" s="957"/>
      <c r="AD44" s="516" t="s">
        <v>184</v>
      </c>
      <c r="AE44" s="953" t="s">
        <v>174</v>
      </c>
      <c r="AF44" s="953"/>
      <c r="AG44" s="953"/>
      <c r="AH44" s="954" t="s">
        <v>183</v>
      </c>
      <c r="AI44" s="954"/>
      <c r="AJ44" s="954"/>
      <c r="AK44" s="4" t="str">
        <f>AK2</f>
        <v/>
      </c>
    </row>
    <row r="45" spans="1:38" ht="34.5" customHeight="1" thickBot="1" x14ac:dyDescent="0.5">
      <c r="A45" s="504" t="s">
        <v>154</v>
      </c>
      <c r="B45" s="190" t="s">
        <v>155</v>
      </c>
      <c r="C45" s="191" t="s">
        <v>156</v>
      </c>
      <c r="D45" s="192" t="s">
        <v>157</v>
      </c>
      <c r="E45" s="192" t="s">
        <v>158</v>
      </c>
      <c r="F45" s="192" t="s">
        <v>159</v>
      </c>
      <c r="G45" s="193" t="s">
        <v>389</v>
      </c>
      <c r="H45" s="194" t="s">
        <v>379</v>
      </c>
      <c r="I45" s="195" t="s">
        <v>380</v>
      </c>
      <c r="J45" s="195" t="s">
        <v>381</v>
      </c>
      <c r="K45" s="195" t="s">
        <v>382</v>
      </c>
      <c r="L45" s="195" t="s">
        <v>383</v>
      </c>
      <c r="M45" s="195" t="s">
        <v>384</v>
      </c>
      <c r="N45" s="195" t="s">
        <v>385</v>
      </c>
      <c r="O45" s="195" t="s">
        <v>386</v>
      </c>
      <c r="P45" s="195" t="s">
        <v>387</v>
      </c>
      <c r="Q45" s="196" t="s">
        <v>106</v>
      </c>
      <c r="R45" s="7">
        <f>R42</f>
        <v>70</v>
      </c>
      <c r="S45" s="5" t="s">
        <v>388</v>
      </c>
      <c r="T45" s="504" t="s">
        <v>154</v>
      </c>
      <c r="U45" s="190" t="s">
        <v>155</v>
      </c>
      <c r="V45" s="191" t="s">
        <v>156</v>
      </c>
      <c r="W45" s="192" t="s">
        <v>157</v>
      </c>
      <c r="X45" s="192" t="s">
        <v>158</v>
      </c>
      <c r="Y45" s="192" t="s">
        <v>159</v>
      </c>
      <c r="Z45" s="193" t="s">
        <v>389</v>
      </c>
      <c r="AA45" s="194" t="s">
        <v>379</v>
      </c>
      <c r="AB45" s="195" t="s">
        <v>380</v>
      </c>
      <c r="AC45" s="195" t="s">
        <v>381</v>
      </c>
      <c r="AD45" s="195" t="s">
        <v>382</v>
      </c>
      <c r="AE45" s="195" t="s">
        <v>383</v>
      </c>
      <c r="AF45" s="195" t="s">
        <v>384</v>
      </c>
      <c r="AG45" s="195" t="s">
        <v>385</v>
      </c>
      <c r="AH45" s="195" t="s">
        <v>386</v>
      </c>
      <c r="AI45" s="195" t="s">
        <v>387</v>
      </c>
      <c r="AJ45" s="196" t="s">
        <v>106</v>
      </c>
      <c r="AK45" s="8">
        <f>AK42</f>
        <v>42</v>
      </c>
      <c r="AL45" s="9" t="s">
        <v>388</v>
      </c>
    </row>
    <row r="46" spans="1:38" ht="34.049999999999997" customHeight="1" x14ac:dyDescent="0.45">
      <c r="A46" s="234">
        <v>1</v>
      </c>
      <c r="B46" s="259" t="s">
        <v>551</v>
      </c>
      <c r="C46" s="226"/>
      <c r="D46" s="260" t="s">
        <v>114</v>
      </c>
      <c r="E46" s="260" t="s">
        <v>114</v>
      </c>
      <c r="F46" s="260"/>
      <c r="G46" s="263"/>
      <c r="H46" s="264">
        <v>4</v>
      </c>
      <c r="I46" s="261"/>
      <c r="J46" s="261"/>
      <c r="K46" s="261"/>
      <c r="L46" s="261"/>
      <c r="M46" s="261"/>
      <c r="N46" s="261"/>
      <c r="O46" s="261"/>
      <c r="P46" s="262"/>
      <c r="Q46" s="218">
        <f t="shared" ref="Q46:Q83" si="6">IF(ISBLANK(A46),"",IF(ISBLANK(G46),SUM(H46:P46),0))</f>
        <v>4</v>
      </c>
      <c r="R46" s="207">
        <f>IF(Q46="","",Q46+R45+'OS Offset'!B46)</f>
        <v>74</v>
      </c>
      <c r="S46" s="208">
        <f t="shared" ref="S46:S83" si="7">IF(G46="X",0,COUNT(H46:P46))</f>
        <v>1</v>
      </c>
      <c r="T46" s="505">
        <v>1</v>
      </c>
      <c r="U46" s="259" t="s">
        <v>595</v>
      </c>
      <c r="V46" s="226"/>
      <c r="W46" s="260"/>
      <c r="X46" s="260"/>
      <c r="Y46" s="260"/>
      <c r="Z46" s="263" t="s">
        <v>114</v>
      </c>
      <c r="AA46" s="264"/>
      <c r="AB46" s="261"/>
      <c r="AC46" s="261"/>
      <c r="AD46" s="261"/>
      <c r="AE46" s="261"/>
      <c r="AF46" s="261"/>
      <c r="AG46" s="261"/>
      <c r="AH46" s="261"/>
      <c r="AI46" s="262"/>
      <c r="AJ46" s="218">
        <f t="shared" ref="AJ46:AJ83" si="8">IF(ISBLANK(T46),"",IF(ISBLANK(Z46),SUM(AA46:AI46),0))</f>
        <v>0</v>
      </c>
      <c r="AK46" s="266">
        <f>IF(AJ46="","",AJ46+AK45+'OS Offset'!I46)</f>
        <v>42</v>
      </c>
      <c r="AL46" s="208">
        <f t="shared" ref="AL46:AL83" si="9">IF(Z46="X",0,COUNT(AA46:AI46))</f>
        <v>0</v>
      </c>
    </row>
    <row r="47" spans="1:38" ht="34.049999999999997" customHeight="1" x14ac:dyDescent="0.45">
      <c r="A47" s="211" t="s">
        <v>616</v>
      </c>
      <c r="B47" s="210"/>
      <c r="C47" s="211"/>
      <c r="D47" s="212"/>
      <c r="E47" s="212"/>
      <c r="F47" s="212"/>
      <c r="G47" s="213"/>
      <c r="H47" s="214"/>
      <c r="I47" s="204"/>
      <c r="J47" s="204"/>
      <c r="K47" s="204"/>
      <c r="L47" s="204"/>
      <c r="M47" s="204"/>
      <c r="N47" s="204"/>
      <c r="O47" s="204"/>
      <c r="P47" s="205"/>
      <c r="Q47" s="206">
        <f t="shared" si="6"/>
        <v>0</v>
      </c>
      <c r="R47" s="207">
        <f>IF(Q47="","",Q47+R46+'OS Offset'!B47)</f>
        <v>74</v>
      </c>
      <c r="S47" s="208">
        <f t="shared" si="7"/>
        <v>0</v>
      </c>
      <c r="T47" s="209" t="s">
        <v>615</v>
      </c>
      <c r="U47" s="210" t="s">
        <v>590</v>
      </c>
      <c r="V47" s="211"/>
      <c r="W47" s="212"/>
      <c r="X47" s="212"/>
      <c r="Y47" s="212"/>
      <c r="Z47" s="213"/>
      <c r="AA47" s="214">
        <v>3</v>
      </c>
      <c r="AB47" s="204"/>
      <c r="AC47" s="204"/>
      <c r="AD47" s="204"/>
      <c r="AE47" s="204"/>
      <c r="AF47" s="204"/>
      <c r="AG47" s="204"/>
      <c r="AH47" s="204"/>
      <c r="AI47" s="205"/>
      <c r="AJ47" s="206">
        <f t="shared" si="8"/>
        <v>3</v>
      </c>
      <c r="AK47" s="207">
        <f>IF(AJ47="","",AJ47+AK46+'OS Offset'!I47)</f>
        <v>45</v>
      </c>
      <c r="AL47" s="208">
        <f t="shared" si="9"/>
        <v>1</v>
      </c>
    </row>
    <row r="48" spans="1:38" ht="34.049999999999997" customHeight="1" x14ac:dyDescent="0.45">
      <c r="A48" s="225">
        <v>2</v>
      </c>
      <c r="B48" s="222" t="s">
        <v>568</v>
      </c>
      <c r="C48" s="214"/>
      <c r="D48" s="204"/>
      <c r="E48" s="204"/>
      <c r="F48" s="204"/>
      <c r="G48" s="219" t="s">
        <v>114</v>
      </c>
      <c r="H48" s="220"/>
      <c r="I48" s="215"/>
      <c r="J48" s="215"/>
      <c r="K48" s="215"/>
      <c r="L48" s="215"/>
      <c r="M48" s="215"/>
      <c r="N48" s="215"/>
      <c r="O48" s="215"/>
      <c r="P48" s="216"/>
      <c r="Q48" s="224">
        <f t="shared" si="6"/>
        <v>0</v>
      </c>
      <c r="R48" s="207">
        <f>IF(Q48="","",Q48+R47+'OS Offset'!B48)</f>
        <v>74</v>
      </c>
      <c r="S48" s="208">
        <f t="shared" si="7"/>
        <v>0</v>
      </c>
      <c r="T48" s="221">
        <v>2</v>
      </c>
      <c r="U48" s="222" t="s">
        <v>582</v>
      </c>
      <c r="V48" s="214"/>
      <c r="W48" s="204" t="s">
        <v>114</v>
      </c>
      <c r="X48" s="204" t="s">
        <v>114</v>
      </c>
      <c r="Y48" s="204"/>
      <c r="Z48" s="219"/>
      <c r="AA48" s="220">
        <v>4</v>
      </c>
      <c r="AB48" s="215"/>
      <c r="AC48" s="215"/>
      <c r="AD48" s="215"/>
      <c r="AE48" s="215"/>
      <c r="AF48" s="215"/>
      <c r="AG48" s="215"/>
      <c r="AH48" s="215"/>
      <c r="AI48" s="216"/>
      <c r="AJ48" s="217">
        <f t="shared" si="8"/>
        <v>4</v>
      </c>
      <c r="AK48" s="207">
        <f>IF(AJ48="","",AJ48+AK47+'OS Offset'!I48)</f>
        <v>49</v>
      </c>
      <c r="AL48" s="208">
        <f t="shared" si="9"/>
        <v>1</v>
      </c>
    </row>
    <row r="49" spans="1:38" ht="34.049999999999997" customHeight="1" x14ac:dyDescent="0.45">
      <c r="A49" s="211" t="s">
        <v>615</v>
      </c>
      <c r="B49" s="210" t="s">
        <v>553</v>
      </c>
      <c r="C49" s="211"/>
      <c r="D49" s="212"/>
      <c r="E49" s="212"/>
      <c r="F49" s="212"/>
      <c r="G49" s="213"/>
      <c r="H49" s="214">
        <v>0</v>
      </c>
      <c r="I49" s="204"/>
      <c r="J49" s="204"/>
      <c r="K49" s="204"/>
      <c r="L49" s="204"/>
      <c r="M49" s="204"/>
      <c r="N49" s="204"/>
      <c r="O49" s="204"/>
      <c r="P49" s="205"/>
      <c r="Q49" s="223">
        <f t="shared" si="6"/>
        <v>0</v>
      </c>
      <c r="R49" s="207">
        <f>IF(Q49="","",Q49+R48+'OS Offset'!B49)</f>
        <v>74</v>
      </c>
      <c r="S49" s="208">
        <f t="shared" si="7"/>
        <v>1</v>
      </c>
      <c r="T49" s="209" t="s">
        <v>616</v>
      </c>
      <c r="U49" s="210"/>
      <c r="V49" s="211"/>
      <c r="W49" s="212"/>
      <c r="X49" s="212"/>
      <c r="Y49" s="212"/>
      <c r="Z49" s="213"/>
      <c r="AA49" s="214"/>
      <c r="AB49" s="204"/>
      <c r="AC49" s="204"/>
      <c r="AD49" s="204"/>
      <c r="AE49" s="204"/>
      <c r="AF49" s="204"/>
      <c r="AG49" s="204"/>
      <c r="AH49" s="204"/>
      <c r="AI49" s="205"/>
      <c r="AJ49" s="206">
        <f t="shared" si="8"/>
        <v>0</v>
      </c>
      <c r="AK49" s="207">
        <f>IF(AJ49="","",AJ49+AK48+'OS Offset'!I49)</f>
        <v>49</v>
      </c>
      <c r="AL49" s="208">
        <f t="shared" si="9"/>
        <v>0</v>
      </c>
    </row>
    <row r="50" spans="1:38" ht="34.049999999999997" customHeight="1" x14ac:dyDescent="0.45">
      <c r="A50" s="225">
        <v>3</v>
      </c>
      <c r="B50" s="222" t="s">
        <v>554</v>
      </c>
      <c r="C50" s="214"/>
      <c r="D50" s="204"/>
      <c r="E50" s="204"/>
      <c r="F50" s="204"/>
      <c r="G50" s="219"/>
      <c r="H50" s="220">
        <v>0</v>
      </c>
      <c r="I50" s="215"/>
      <c r="J50" s="215"/>
      <c r="K50" s="215"/>
      <c r="L50" s="215"/>
      <c r="M50" s="215"/>
      <c r="N50" s="215"/>
      <c r="O50" s="215"/>
      <c r="P50" s="216"/>
      <c r="Q50" s="224">
        <f t="shared" si="6"/>
        <v>0</v>
      </c>
      <c r="R50" s="207">
        <f>IF(Q50="","",Q50+R49+'OS Offset'!B50)</f>
        <v>74</v>
      </c>
      <c r="S50" s="208">
        <f t="shared" si="7"/>
        <v>1</v>
      </c>
      <c r="T50" s="221">
        <v>3</v>
      </c>
      <c r="U50" s="222" t="s">
        <v>600</v>
      </c>
      <c r="V50" s="214"/>
      <c r="W50" s="204" t="s">
        <v>114</v>
      </c>
      <c r="X50" s="204" t="s">
        <v>114</v>
      </c>
      <c r="Y50" s="204"/>
      <c r="Z50" s="219"/>
      <c r="AA50" s="220">
        <v>4</v>
      </c>
      <c r="AB50" s="215">
        <v>0</v>
      </c>
      <c r="AC50" s="215"/>
      <c r="AD50" s="215"/>
      <c r="AE50" s="215"/>
      <c r="AF50" s="215"/>
      <c r="AG50" s="215"/>
      <c r="AH50" s="215"/>
      <c r="AI50" s="216"/>
      <c r="AJ50" s="217">
        <f t="shared" si="8"/>
        <v>4</v>
      </c>
      <c r="AK50" s="207">
        <f>IF(AJ50="","",AJ50+AK49+'OS Offset'!I50)</f>
        <v>53</v>
      </c>
      <c r="AL50" s="208">
        <f t="shared" si="9"/>
        <v>2</v>
      </c>
    </row>
    <row r="51" spans="1:38" ht="34.049999999999997" customHeight="1" x14ac:dyDescent="0.45">
      <c r="A51" s="211">
        <v>4</v>
      </c>
      <c r="B51" s="210" t="s">
        <v>551</v>
      </c>
      <c r="C51" s="211"/>
      <c r="D51" s="212"/>
      <c r="E51" s="212"/>
      <c r="F51" s="212"/>
      <c r="G51" s="213" t="s">
        <v>114</v>
      </c>
      <c r="H51" s="214"/>
      <c r="I51" s="204"/>
      <c r="J51" s="204"/>
      <c r="K51" s="204"/>
      <c r="L51" s="204"/>
      <c r="M51" s="204"/>
      <c r="N51" s="204"/>
      <c r="O51" s="204"/>
      <c r="P51" s="205"/>
      <c r="Q51" s="223">
        <f t="shared" si="6"/>
        <v>0</v>
      </c>
      <c r="R51" s="207">
        <f>IF(Q51="","",Q51+R50+'OS Offset'!B51)</f>
        <v>74</v>
      </c>
      <c r="S51" s="208">
        <f t="shared" si="7"/>
        <v>0</v>
      </c>
      <c r="T51" s="209">
        <v>4</v>
      </c>
      <c r="U51" s="210" t="s">
        <v>593</v>
      </c>
      <c r="V51" s="211"/>
      <c r="W51" s="212" t="s">
        <v>114</v>
      </c>
      <c r="X51" s="212" t="s">
        <v>114</v>
      </c>
      <c r="Y51" s="212"/>
      <c r="Z51" s="213"/>
      <c r="AA51" s="214">
        <v>4</v>
      </c>
      <c r="AB51" s="204">
        <v>4</v>
      </c>
      <c r="AC51" s="204"/>
      <c r="AD51" s="204"/>
      <c r="AE51" s="204"/>
      <c r="AF51" s="204"/>
      <c r="AG51" s="204"/>
      <c r="AH51" s="204"/>
      <c r="AI51" s="205"/>
      <c r="AJ51" s="206">
        <f t="shared" si="8"/>
        <v>8</v>
      </c>
      <c r="AK51" s="207">
        <f>IF(AJ51="","",AJ51+AK50+'OS Offset'!I51)</f>
        <v>61</v>
      </c>
      <c r="AL51" s="208">
        <f t="shared" si="9"/>
        <v>2</v>
      </c>
    </row>
    <row r="52" spans="1:38" ht="34.049999999999997" customHeight="1" x14ac:dyDescent="0.45">
      <c r="A52" s="225" t="s">
        <v>615</v>
      </c>
      <c r="B52" s="222" t="s">
        <v>578</v>
      </c>
      <c r="C52" s="214"/>
      <c r="D52" s="204"/>
      <c r="E52" s="204"/>
      <c r="F52" s="204"/>
      <c r="G52" s="219" t="s">
        <v>114</v>
      </c>
      <c r="H52" s="220"/>
      <c r="I52" s="215"/>
      <c r="J52" s="215"/>
      <c r="K52" s="215"/>
      <c r="L52" s="215"/>
      <c r="M52" s="215"/>
      <c r="N52" s="215"/>
      <c r="O52" s="215"/>
      <c r="P52" s="216"/>
      <c r="Q52" s="224">
        <f t="shared" si="6"/>
        <v>0</v>
      </c>
      <c r="R52" s="207">
        <f>IF(Q52="","",Q52+R51+'OS Offset'!B52)</f>
        <v>74</v>
      </c>
      <c r="S52" s="208">
        <f t="shared" si="7"/>
        <v>0</v>
      </c>
      <c r="T52" s="221" t="s">
        <v>616</v>
      </c>
      <c r="U52" s="222"/>
      <c r="V52" s="214"/>
      <c r="W52" s="204"/>
      <c r="X52" s="204"/>
      <c r="Y52" s="204"/>
      <c r="Z52" s="219"/>
      <c r="AA52" s="220"/>
      <c r="AB52" s="215"/>
      <c r="AC52" s="215"/>
      <c r="AD52" s="215"/>
      <c r="AE52" s="215"/>
      <c r="AF52" s="215"/>
      <c r="AG52" s="215"/>
      <c r="AH52" s="215"/>
      <c r="AI52" s="216"/>
      <c r="AJ52" s="217">
        <f t="shared" si="8"/>
        <v>0</v>
      </c>
      <c r="AK52" s="207">
        <f>IF(AJ52="","",AJ52+AK51+'OS Offset'!I52)</f>
        <v>61</v>
      </c>
      <c r="AL52" s="208">
        <f t="shared" si="9"/>
        <v>0</v>
      </c>
    </row>
    <row r="53" spans="1:38" ht="34.049999999999997" customHeight="1" x14ac:dyDescent="0.45">
      <c r="A53" s="211">
        <v>5</v>
      </c>
      <c r="B53" s="210" t="s">
        <v>578</v>
      </c>
      <c r="C53" s="211"/>
      <c r="D53" s="212"/>
      <c r="E53" s="212"/>
      <c r="F53" s="212"/>
      <c r="G53" s="213"/>
      <c r="H53" s="214">
        <v>4</v>
      </c>
      <c r="I53" s="204">
        <v>4</v>
      </c>
      <c r="J53" s="204">
        <v>4</v>
      </c>
      <c r="K53" s="204"/>
      <c r="L53" s="204"/>
      <c r="M53" s="204"/>
      <c r="N53" s="204"/>
      <c r="O53" s="204"/>
      <c r="P53" s="205"/>
      <c r="Q53" s="223">
        <f t="shared" si="6"/>
        <v>12</v>
      </c>
      <c r="R53" s="207">
        <f>IF(Q53="","",Q53+R52+'OS Offset'!B53)</f>
        <v>86</v>
      </c>
      <c r="S53" s="208">
        <f t="shared" si="7"/>
        <v>3</v>
      </c>
      <c r="T53" s="209">
        <v>5</v>
      </c>
      <c r="U53" s="210" t="s">
        <v>582</v>
      </c>
      <c r="V53" s="211" t="s">
        <v>114</v>
      </c>
      <c r="W53" s="212" t="s">
        <v>114</v>
      </c>
      <c r="X53" s="212"/>
      <c r="Y53" s="212"/>
      <c r="Z53" s="213"/>
      <c r="AA53" s="214">
        <v>4</v>
      </c>
      <c r="AB53" s="204">
        <v>4</v>
      </c>
      <c r="AC53" s="204"/>
      <c r="AD53" s="204"/>
      <c r="AE53" s="204"/>
      <c r="AF53" s="204"/>
      <c r="AG53" s="204"/>
      <c r="AH53" s="204"/>
      <c r="AI53" s="205"/>
      <c r="AJ53" s="206">
        <f t="shared" si="8"/>
        <v>8</v>
      </c>
      <c r="AK53" s="207">
        <f>IF(AJ53="","",AJ53+AK52+'OS Offset'!I53)</f>
        <v>69</v>
      </c>
      <c r="AL53" s="208">
        <f t="shared" si="9"/>
        <v>2</v>
      </c>
    </row>
    <row r="54" spans="1:38" ht="34.049999999999997" customHeight="1" x14ac:dyDescent="0.45">
      <c r="A54" s="225">
        <v>6</v>
      </c>
      <c r="B54" s="222" t="s">
        <v>568</v>
      </c>
      <c r="C54" s="214" t="s">
        <v>114</v>
      </c>
      <c r="D54" s="204"/>
      <c r="E54" s="204"/>
      <c r="F54" s="204"/>
      <c r="G54" s="219"/>
      <c r="H54" s="220">
        <v>0</v>
      </c>
      <c r="I54" s="215"/>
      <c r="J54" s="215"/>
      <c r="K54" s="215"/>
      <c r="L54" s="215"/>
      <c r="M54" s="215"/>
      <c r="N54" s="215"/>
      <c r="O54" s="215"/>
      <c r="P54" s="216"/>
      <c r="Q54" s="224">
        <f t="shared" si="6"/>
        <v>0</v>
      </c>
      <c r="R54" s="207">
        <f>IF(Q54="","",Q54+R53+'OS Offset'!B54)</f>
        <v>86</v>
      </c>
      <c r="S54" s="208">
        <f t="shared" si="7"/>
        <v>1</v>
      </c>
      <c r="T54" s="221">
        <v>6</v>
      </c>
      <c r="U54" s="222" t="s">
        <v>595</v>
      </c>
      <c r="V54" s="214"/>
      <c r="W54" s="204" t="s">
        <v>114</v>
      </c>
      <c r="X54" s="204" t="s">
        <v>114</v>
      </c>
      <c r="Y54" s="204"/>
      <c r="Z54" s="219"/>
      <c r="AA54" s="220">
        <v>4</v>
      </c>
      <c r="AB54" s="215">
        <v>3</v>
      </c>
      <c r="AC54" s="215"/>
      <c r="AD54" s="215"/>
      <c r="AE54" s="215"/>
      <c r="AF54" s="215"/>
      <c r="AG54" s="215"/>
      <c r="AH54" s="215"/>
      <c r="AI54" s="216"/>
      <c r="AJ54" s="217">
        <f t="shared" si="8"/>
        <v>7</v>
      </c>
      <c r="AK54" s="207">
        <f>IF(AJ54="","",AJ54+AK53+'OS Offset'!I54)</f>
        <v>76</v>
      </c>
      <c r="AL54" s="208">
        <f t="shared" si="9"/>
        <v>2</v>
      </c>
    </row>
    <row r="55" spans="1:38" ht="34.049999999999997" customHeight="1" x14ac:dyDescent="0.45">
      <c r="A55" s="211">
        <v>7</v>
      </c>
      <c r="B55" s="210" t="s">
        <v>554</v>
      </c>
      <c r="C55" s="211"/>
      <c r="D55" s="212" t="s">
        <v>114</v>
      </c>
      <c r="E55" s="212"/>
      <c r="F55" s="212"/>
      <c r="G55" s="213"/>
      <c r="H55" s="214">
        <v>4</v>
      </c>
      <c r="I55" s="204">
        <v>4</v>
      </c>
      <c r="J55" s="204">
        <v>4</v>
      </c>
      <c r="K55" s="204"/>
      <c r="L55" s="204"/>
      <c r="M55" s="204"/>
      <c r="N55" s="204"/>
      <c r="O55" s="204"/>
      <c r="P55" s="205"/>
      <c r="Q55" s="223">
        <f t="shared" si="6"/>
        <v>12</v>
      </c>
      <c r="R55" s="207">
        <f>IF(Q55="","",Q55+R54+'OS Offset'!B55)</f>
        <v>98</v>
      </c>
      <c r="S55" s="208">
        <f t="shared" si="7"/>
        <v>3</v>
      </c>
      <c r="T55" s="209">
        <v>7</v>
      </c>
      <c r="U55" s="210" t="s">
        <v>600</v>
      </c>
      <c r="V55" s="211"/>
      <c r="W55" s="212"/>
      <c r="X55" s="212"/>
      <c r="Y55" s="212"/>
      <c r="Z55" s="213" t="s">
        <v>114</v>
      </c>
      <c r="AA55" s="214"/>
      <c r="AB55" s="204"/>
      <c r="AC55" s="204"/>
      <c r="AD55" s="204"/>
      <c r="AE55" s="204"/>
      <c r="AF55" s="204"/>
      <c r="AG55" s="204"/>
      <c r="AH55" s="204"/>
      <c r="AI55" s="205"/>
      <c r="AJ55" s="206">
        <f t="shared" si="8"/>
        <v>0</v>
      </c>
      <c r="AK55" s="207">
        <f>IF(AJ55="","",AJ55+AK54+'OS Offset'!I55)</f>
        <v>76</v>
      </c>
      <c r="AL55" s="208">
        <f t="shared" si="9"/>
        <v>0</v>
      </c>
    </row>
    <row r="56" spans="1:38" ht="34.049999999999997" customHeight="1" x14ac:dyDescent="0.45">
      <c r="A56" s="225" t="s">
        <v>616</v>
      </c>
      <c r="B56" s="222"/>
      <c r="C56" s="214"/>
      <c r="D56" s="204"/>
      <c r="E56" s="204"/>
      <c r="F56" s="204"/>
      <c r="G56" s="219"/>
      <c r="H56" s="220"/>
      <c r="I56" s="215"/>
      <c r="J56" s="215"/>
      <c r="K56" s="215"/>
      <c r="L56" s="215"/>
      <c r="M56" s="215"/>
      <c r="N56" s="215"/>
      <c r="O56" s="215"/>
      <c r="P56" s="216"/>
      <c r="Q56" s="224">
        <f t="shared" si="6"/>
        <v>0</v>
      </c>
      <c r="R56" s="207">
        <f>IF(Q56="","",Q56+R55+'OS Offset'!B56)</f>
        <v>98</v>
      </c>
      <c r="S56" s="208">
        <f t="shared" si="7"/>
        <v>0</v>
      </c>
      <c r="T56" s="221" t="s">
        <v>615</v>
      </c>
      <c r="U56" s="222" t="s">
        <v>610</v>
      </c>
      <c r="V56" s="214"/>
      <c r="W56" s="204"/>
      <c r="X56" s="204"/>
      <c r="Y56" s="204"/>
      <c r="Z56" s="219"/>
      <c r="AA56" s="220">
        <v>4</v>
      </c>
      <c r="AB56" s="215"/>
      <c r="AC56" s="215"/>
      <c r="AD56" s="215"/>
      <c r="AE56" s="215"/>
      <c r="AF56" s="215"/>
      <c r="AG56" s="215"/>
      <c r="AH56" s="215"/>
      <c r="AI56" s="216"/>
      <c r="AJ56" s="217">
        <f t="shared" si="8"/>
        <v>4</v>
      </c>
      <c r="AK56" s="207">
        <f>IF(AJ56="","",AJ56+AK55+'OS Offset'!I56)</f>
        <v>80</v>
      </c>
      <c r="AL56" s="208">
        <f t="shared" si="9"/>
        <v>1</v>
      </c>
    </row>
    <row r="57" spans="1:38" ht="34.049999999999997" customHeight="1" x14ac:dyDescent="0.45">
      <c r="A57" s="211">
        <v>8</v>
      </c>
      <c r="B57" s="210" t="s">
        <v>551</v>
      </c>
      <c r="C57" s="211"/>
      <c r="D57" s="212"/>
      <c r="E57" s="212"/>
      <c r="F57" s="212"/>
      <c r="G57" s="213"/>
      <c r="H57" s="214">
        <v>0</v>
      </c>
      <c r="I57" s="204"/>
      <c r="J57" s="204"/>
      <c r="K57" s="204"/>
      <c r="L57" s="204"/>
      <c r="M57" s="204"/>
      <c r="N57" s="204"/>
      <c r="O57" s="204"/>
      <c r="P57" s="205"/>
      <c r="Q57" s="223">
        <f t="shared" si="6"/>
        <v>0</v>
      </c>
      <c r="R57" s="207">
        <f>IF(Q57="","",Q57+R56+'OS Offset'!B57)</f>
        <v>98</v>
      </c>
      <c r="S57" s="208">
        <f t="shared" si="7"/>
        <v>1</v>
      </c>
      <c r="T57" s="209">
        <v>8</v>
      </c>
      <c r="U57" s="210" t="s">
        <v>593</v>
      </c>
      <c r="V57" s="211"/>
      <c r="W57" s="212" t="s">
        <v>114</v>
      </c>
      <c r="X57" s="212" t="s">
        <v>114</v>
      </c>
      <c r="Y57" s="212"/>
      <c r="Z57" s="213"/>
      <c r="AA57" s="214">
        <v>2</v>
      </c>
      <c r="AB57" s="204"/>
      <c r="AC57" s="204"/>
      <c r="AD57" s="204"/>
      <c r="AE57" s="204"/>
      <c r="AF57" s="204"/>
      <c r="AG57" s="204"/>
      <c r="AH57" s="204"/>
      <c r="AI57" s="205"/>
      <c r="AJ57" s="206">
        <f t="shared" si="8"/>
        <v>2</v>
      </c>
      <c r="AK57" s="207">
        <f>IF(AJ57="","",AJ57+AK56+'OS Offset'!I57)</f>
        <v>82</v>
      </c>
      <c r="AL57" s="208">
        <f t="shared" si="9"/>
        <v>1</v>
      </c>
    </row>
    <row r="58" spans="1:38" ht="34.049999999999997" customHeight="1" x14ac:dyDescent="0.45">
      <c r="A58" s="225">
        <v>9</v>
      </c>
      <c r="B58" s="222" t="s">
        <v>572</v>
      </c>
      <c r="C58" s="214"/>
      <c r="D58" s="204" t="s">
        <v>114</v>
      </c>
      <c r="E58" s="204" t="s">
        <v>114</v>
      </c>
      <c r="F58" s="204"/>
      <c r="G58" s="219"/>
      <c r="H58" s="220">
        <v>4</v>
      </c>
      <c r="I58" s="215"/>
      <c r="J58" s="215"/>
      <c r="K58" s="215"/>
      <c r="L58" s="215"/>
      <c r="M58" s="215"/>
      <c r="N58" s="215"/>
      <c r="O58" s="215"/>
      <c r="P58" s="216"/>
      <c r="Q58" s="224">
        <f t="shared" si="6"/>
        <v>4</v>
      </c>
      <c r="R58" s="207">
        <f>IF(Q58="","",Q58+R57+'OS Offset'!B58)</f>
        <v>102</v>
      </c>
      <c r="S58" s="208">
        <f t="shared" si="7"/>
        <v>1</v>
      </c>
      <c r="T58" s="221">
        <v>9</v>
      </c>
      <c r="U58" s="222" t="s">
        <v>582</v>
      </c>
      <c r="V58" s="214" t="s">
        <v>114</v>
      </c>
      <c r="W58" s="204"/>
      <c r="X58" s="204"/>
      <c r="Y58" s="204"/>
      <c r="Z58" s="219"/>
      <c r="AA58" s="220">
        <v>0</v>
      </c>
      <c r="AB58" s="215"/>
      <c r="AC58" s="215"/>
      <c r="AD58" s="215"/>
      <c r="AE58" s="215"/>
      <c r="AF58" s="215"/>
      <c r="AG58" s="215"/>
      <c r="AH58" s="215"/>
      <c r="AI58" s="216"/>
      <c r="AJ58" s="217">
        <f t="shared" si="8"/>
        <v>0</v>
      </c>
      <c r="AK58" s="207">
        <f>IF(AJ58="","",AJ58+AK57+'OS Offset'!I58)</f>
        <v>82</v>
      </c>
      <c r="AL58" s="208">
        <f t="shared" si="9"/>
        <v>1</v>
      </c>
    </row>
    <row r="59" spans="1:38" ht="34.049999999999997" customHeight="1" x14ac:dyDescent="0.45">
      <c r="A59" s="211">
        <v>10</v>
      </c>
      <c r="B59" s="210" t="s">
        <v>568</v>
      </c>
      <c r="C59" s="211" t="s">
        <v>114</v>
      </c>
      <c r="D59" s="212" t="s">
        <v>114</v>
      </c>
      <c r="E59" s="212"/>
      <c r="F59" s="212"/>
      <c r="G59" s="213"/>
      <c r="H59" s="214">
        <v>4</v>
      </c>
      <c r="I59" s="204">
        <v>4</v>
      </c>
      <c r="J59" s="204"/>
      <c r="K59" s="204"/>
      <c r="L59" s="204"/>
      <c r="M59" s="204"/>
      <c r="N59" s="204"/>
      <c r="O59" s="204"/>
      <c r="P59" s="205"/>
      <c r="Q59" s="223">
        <f t="shared" si="6"/>
        <v>8</v>
      </c>
      <c r="R59" s="207">
        <f>IF(Q59="","",Q59+R58+'OS Offset'!B59)</f>
        <v>110</v>
      </c>
      <c r="S59" s="208">
        <f t="shared" si="7"/>
        <v>2</v>
      </c>
      <c r="T59" s="209">
        <v>10</v>
      </c>
      <c r="U59" s="210" t="s">
        <v>582</v>
      </c>
      <c r="V59" s="211"/>
      <c r="W59" s="212"/>
      <c r="X59" s="212"/>
      <c r="Y59" s="212"/>
      <c r="Z59" s="213" t="s">
        <v>114</v>
      </c>
      <c r="AA59" s="214"/>
      <c r="AB59" s="204"/>
      <c r="AC59" s="204"/>
      <c r="AD59" s="204"/>
      <c r="AE59" s="204"/>
      <c r="AF59" s="204"/>
      <c r="AG59" s="204"/>
      <c r="AH59" s="204"/>
      <c r="AI59" s="205"/>
      <c r="AJ59" s="206">
        <f t="shared" si="8"/>
        <v>0</v>
      </c>
      <c r="AK59" s="207">
        <f>IF(AJ59="","",AJ59+AK58+'OS Offset'!I59)</f>
        <v>82</v>
      </c>
      <c r="AL59" s="208">
        <f t="shared" si="9"/>
        <v>0</v>
      </c>
    </row>
    <row r="60" spans="1:38" ht="34.049999999999997" customHeight="1" x14ac:dyDescent="0.45">
      <c r="A60" s="225" t="s">
        <v>616</v>
      </c>
      <c r="B60" s="222"/>
      <c r="C60" s="214"/>
      <c r="D60" s="204"/>
      <c r="E60" s="204"/>
      <c r="F60" s="204"/>
      <c r="G60" s="219"/>
      <c r="H60" s="220"/>
      <c r="I60" s="215"/>
      <c r="J60" s="215"/>
      <c r="K60" s="215"/>
      <c r="L60" s="215"/>
      <c r="M60" s="215"/>
      <c r="N60" s="215"/>
      <c r="O60" s="215"/>
      <c r="P60" s="216"/>
      <c r="Q60" s="224">
        <f t="shared" si="6"/>
        <v>0</v>
      </c>
      <c r="R60" s="207">
        <f>IF(Q60="","",Q60+R59+'OS Offset'!B60)</f>
        <v>110</v>
      </c>
      <c r="S60" s="208">
        <f t="shared" si="7"/>
        <v>0</v>
      </c>
      <c r="T60" s="221" t="s">
        <v>615</v>
      </c>
      <c r="U60" s="222" t="s">
        <v>556</v>
      </c>
      <c r="V60" s="214"/>
      <c r="W60" s="204"/>
      <c r="X60" s="204"/>
      <c r="Y60" s="204"/>
      <c r="Z60" s="219" t="s">
        <v>114</v>
      </c>
      <c r="AA60" s="220"/>
      <c r="AB60" s="215"/>
      <c r="AC60" s="215"/>
      <c r="AD60" s="215"/>
      <c r="AE60" s="215"/>
      <c r="AF60" s="215"/>
      <c r="AG60" s="215"/>
      <c r="AH60" s="215"/>
      <c r="AI60" s="216"/>
      <c r="AJ60" s="217">
        <f t="shared" si="8"/>
        <v>0</v>
      </c>
      <c r="AK60" s="207">
        <f>IF(AJ60="","",AJ60+AK59+'OS Offset'!I60)</f>
        <v>82</v>
      </c>
      <c r="AL60" s="208">
        <f t="shared" si="9"/>
        <v>0</v>
      </c>
    </row>
    <row r="61" spans="1:38" ht="34.049999999999997" customHeight="1" x14ac:dyDescent="0.45">
      <c r="A61" s="211">
        <v>11</v>
      </c>
      <c r="B61" s="210" t="s">
        <v>554</v>
      </c>
      <c r="C61" s="211"/>
      <c r="D61" s="212" t="s">
        <v>114</v>
      </c>
      <c r="E61" s="212"/>
      <c r="F61" s="212"/>
      <c r="G61" s="213"/>
      <c r="H61" s="214">
        <v>4</v>
      </c>
      <c r="I61" s="204">
        <v>4</v>
      </c>
      <c r="J61" s="204">
        <v>4</v>
      </c>
      <c r="K61" s="204">
        <v>4</v>
      </c>
      <c r="L61" s="204">
        <v>1</v>
      </c>
      <c r="M61" s="204"/>
      <c r="N61" s="204"/>
      <c r="O61" s="204"/>
      <c r="P61" s="205"/>
      <c r="Q61" s="223">
        <f t="shared" si="6"/>
        <v>17</v>
      </c>
      <c r="R61" s="207">
        <f>IF(Q61="","",Q61+R60+'OS Offset'!B61)</f>
        <v>127</v>
      </c>
      <c r="S61" s="208">
        <f t="shared" si="7"/>
        <v>5</v>
      </c>
      <c r="T61" s="209">
        <v>11</v>
      </c>
      <c r="U61" s="210" t="s">
        <v>595</v>
      </c>
      <c r="V61" s="211"/>
      <c r="W61" s="212"/>
      <c r="X61" s="212"/>
      <c r="Y61" s="212"/>
      <c r="Z61" s="213" t="s">
        <v>114</v>
      </c>
      <c r="AA61" s="214"/>
      <c r="AB61" s="204"/>
      <c r="AC61" s="204"/>
      <c r="AD61" s="204"/>
      <c r="AE61" s="204"/>
      <c r="AF61" s="204"/>
      <c r="AG61" s="204"/>
      <c r="AH61" s="204"/>
      <c r="AI61" s="205"/>
      <c r="AJ61" s="206">
        <f t="shared" si="8"/>
        <v>0</v>
      </c>
      <c r="AK61" s="207">
        <f>IF(AJ61="","",AJ61+AK60+'OS Offset'!I61)</f>
        <v>82</v>
      </c>
      <c r="AL61" s="208">
        <f t="shared" si="9"/>
        <v>0</v>
      </c>
    </row>
    <row r="62" spans="1:38" ht="34.049999999999997" customHeight="1" x14ac:dyDescent="0.45">
      <c r="A62" s="225" t="s">
        <v>616</v>
      </c>
      <c r="B62" s="222"/>
      <c r="C62" s="214"/>
      <c r="D62" s="204"/>
      <c r="E62" s="204"/>
      <c r="F62" s="204"/>
      <c r="G62" s="219"/>
      <c r="H62" s="220"/>
      <c r="I62" s="215"/>
      <c r="J62" s="215"/>
      <c r="K62" s="215"/>
      <c r="L62" s="215"/>
      <c r="M62" s="215"/>
      <c r="N62" s="215"/>
      <c r="O62" s="215"/>
      <c r="P62" s="216"/>
      <c r="Q62" s="224">
        <f t="shared" si="6"/>
        <v>0</v>
      </c>
      <c r="R62" s="207">
        <f>IF(Q62="","",Q62+R61+'OS Offset'!B62)</f>
        <v>127</v>
      </c>
      <c r="S62" s="208">
        <f t="shared" si="7"/>
        <v>0</v>
      </c>
      <c r="T62" s="221" t="s">
        <v>615</v>
      </c>
      <c r="U62" s="222" t="s">
        <v>590</v>
      </c>
      <c r="V62" s="214"/>
      <c r="W62" s="204"/>
      <c r="X62" s="204"/>
      <c r="Y62" s="204"/>
      <c r="Z62" s="219" t="s">
        <v>114</v>
      </c>
      <c r="AA62" s="220"/>
      <c r="AB62" s="215"/>
      <c r="AC62" s="215"/>
      <c r="AD62" s="215"/>
      <c r="AE62" s="215"/>
      <c r="AF62" s="215"/>
      <c r="AG62" s="215"/>
      <c r="AH62" s="215"/>
      <c r="AI62" s="216"/>
      <c r="AJ62" s="217">
        <f t="shared" si="8"/>
        <v>0</v>
      </c>
      <c r="AK62" s="207">
        <f>IF(AJ62="","",AJ62+AK61+'OS Offset'!I62)</f>
        <v>82</v>
      </c>
      <c r="AL62" s="208">
        <f t="shared" si="9"/>
        <v>0</v>
      </c>
    </row>
    <row r="63" spans="1:38" ht="34.049999999999997" customHeight="1" x14ac:dyDescent="0.45">
      <c r="A63" s="211">
        <v>12</v>
      </c>
      <c r="B63" s="210" t="s">
        <v>551</v>
      </c>
      <c r="C63" s="211"/>
      <c r="D63" s="212" t="s">
        <v>114</v>
      </c>
      <c r="E63" s="212" t="s">
        <v>114</v>
      </c>
      <c r="F63" s="212"/>
      <c r="G63" s="213"/>
      <c r="H63" s="214">
        <v>4</v>
      </c>
      <c r="I63" s="204">
        <v>2</v>
      </c>
      <c r="J63" s="204"/>
      <c r="K63" s="204"/>
      <c r="L63" s="204"/>
      <c r="M63" s="204"/>
      <c r="N63" s="204"/>
      <c r="O63" s="204"/>
      <c r="P63" s="205"/>
      <c r="Q63" s="223">
        <f t="shared" si="6"/>
        <v>6</v>
      </c>
      <c r="R63" s="207">
        <f>IF(Q63="","",Q63+R62+'OS Offset'!B63)</f>
        <v>133</v>
      </c>
      <c r="S63" s="208">
        <f t="shared" si="7"/>
        <v>2</v>
      </c>
      <c r="T63" s="209">
        <v>12</v>
      </c>
      <c r="U63" s="210" t="s">
        <v>600</v>
      </c>
      <c r="V63" s="211"/>
      <c r="W63" s="212"/>
      <c r="X63" s="212"/>
      <c r="Y63" s="212"/>
      <c r="Z63" s="213" t="s">
        <v>114</v>
      </c>
      <c r="AA63" s="214"/>
      <c r="AB63" s="204"/>
      <c r="AC63" s="204"/>
      <c r="AD63" s="204"/>
      <c r="AE63" s="204"/>
      <c r="AF63" s="204"/>
      <c r="AG63" s="204"/>
      <c r="AH63" s="204"/>
      <c r="AI63" s="205"/>
      <c r="AJ63" s="206">
        <f t="shared" si="8"/>
        <v>0</v>
      </c>
      <c r="AK63" s="207">
        <f>IF(AJ63="","",AJ63+AK62+'OS Offset'!I63)</f>
        <v>82</v>
      </c>
      <c r="AL63" s="208">
        <f t="shared" si="9"/>
        <v>0</v>
      </c>
    </row>
    <row r="64" spans="1:38" ht="34.049999999999997" customHeight="1" x14ac:dyDescent="0.45">
      <c r="A64" s="225">
        <v>13</v>
      </c>
      <c r="B64" s="222" t="s">
        <v>568</v>
      </c>
      <c r="C64" s="214"/>
      <c r="D64" s="204" t="s">
        <v>114</v>
      </c>
      <c r="E64" s="204"/>
      <c r="F64" s="204"/>
      <c r="G64" s="219"/>
      <c r="H64" s="220">
        <v>4</v>
      </c>
      <c r="I64" s="215">
        <v>4</v>
      </c>
      <c r="J64" s="215">
        <v>4</v>
      </c>
      <c r="K64" s="215">
        <v>4</v>
      </c>
      <c r="L64" s="215">
        <v>4</v>
      </c>
      <c r="M64" s="215">
        <v>0</v>
      </c>
      <c r="N64" s="215"/>
      <c r="O64" s="215"/>
      <c r="P64" s="216"/>
      <c r="Q64" s="224">
        <f t="shared" si="6"/>
        <v>20</v>
      </c>
      <c r="R64" s="207">
        <f>IF(Q64="","",Q64+R63+'OS Offset'!B64)</f>
        <v>153</v>
      </c>
      <c r="S64" s="208">
        <f t="shared" si="7"/>
        <v>6</v>
      </c>
      <c r="T64" s="221">
        <v>13</v>
      </c>
      <c r="U64" s="222" t="s">
        <v>600</v>
      </c>
      <c r="V64" s="214"/>
      <c r="W64" s="204"/>
      <c r="X64" s="204"/>
      <c r="Y64" s="204"/>
      <c r="Z64" s="219"/>
      <c r="AA64" s="220">
        <v>4</v>
      </c>
      <c r="AB64" s="215"/>
      <c r="AC64" s="215"/>
      <c r="AD64" s="215"/>
      <c r="AE64" s="215"/>
      <c r="AF64" s="215"/>
      <c r="AG64" s="215"/>
      <c r="AH64" s="215"/>
      <c r="AI64" s="216"/>
      <c r="AJ64" s="217">
        <f t="shared" si="8"/>
        <v>4</v>
      </c>
      <c r="AK64" s="207">
        <f>IF(AJ64="","",AJ64+AK63+'OS Offset'!I64)</f>
        <v>86</v>
      </c>
      <c r="AL64" s="208">
        <f t="shared" si="9"/>
        <v>1</v>
      </c>
    </row>
    <row r="65" spans="1:38" ht="34.049999999999997" customHeight="1" x14ac:dyDescent="0.45">
      <c r="A65" s="211">
        <v>14</v>
      </c>
      <c r="B65" s="210" t="s">
        <v>554</v>
      </c>
      <c r="C65" s="211"/>
      <c r="D65" s="212" t="s">
        <v>114</v>
      </c>
      <c r="E65" s="212" t="s">
        <v>114</v>
      </c>
      <c r="F65" s="212"/>
      <c r="G65" s="213"/>
      <c r="H65" s="214">
        <v>4</v>
      </c>
      <c r="I65" s="204">
        <v>1</v>
      </c>
      <c r="J65" s="204"/>
      <c r="K65" s="204"/>
      <c r="L65" s="204"/>
      <c r="M65" s="204"/>
      <c r="N65" s="204"/>
      <c r="O65" s="204"/>
      <c r="P65" s="205"/>
      <c r="Q65" s="223">
        <f t="shared" si="6"/>
        <v>5</v>
      </c>
      <c r="R65" s="207">
        <f>IF(Q65="","",Q65+R64+'OS Offset'!B65)</f>
        <v>158</v>
      </c>
      <c r="S65" s="208">
        <f t="shared" si="7"/>
        <v>2</v>
      </c>
      <c r="T65" s="209">
        <v>14</v>
      </c>
      <c r="U65" s="210" t="s">
        <v>595</v>
      </c>
      <c r="V65" s="211"/>
      <c r="W65" s="212"/>
      <c r="X65" s="212"/>
      <c r="Y65" s="212"/>
      <c r="Z65" s="213" t="s">
        <v>114</v>
      </c>
      <c r="AA65" s="214"/>
      <c r="AB65" s="204"/>
      <c r="AC65" s="204"/>
      <c r="AD65" s="204"/>
      <c r="AE65" s="204"/>
      <c r="AF65" s="204"/>
      <c r="AG65" s="204"/>
      <c r="AH65" s="204"/>
      <c r="AI65" s="205"/>
      <c r="AJ65" s="206">
        <f t="shared" si="8"/>
        <v>0</v>
      </c>
      <c r="AK65" s="207">
        <f>IF(AJ65="","",AJ65+AK64+'OS Offset'!I65)</f>
        <v>86</v>
      </c>
      <c r="AL65" s="208">
        <f t="shared" si="9"/>
        <v>0</v>
      </c>
    </row>
    <row r="66" spans="1:38" ht="34.049999999999997" customHeight="1" x14ac:dyDescent="0.45">
      <c r="A66" s="225" t="s">
        <v>616</v>
      </c>
      <c r="B66" s="222"/>
      <c r="C66" s="214"/>
      <c r="D66" s="204"/>
      <c r="E66" s="204"/>
      <c r="F66" s="204"/>
      <c r="G66" s="219"/>
      <c r="H66" s="220"/>
      <c r="I66" s="215"/>
      <c r="J66" s="215"/>
      <c r="K66" s="215"/>
      <c r="L66" s="215"/>
      <c r="M66" s="215"/>
      <c r="N66" s="215"/>
      <c r="O66" s="215"/>
      <c r="P66" s="216"/>
      <c r="Q66" s="224">
        <f t="shared" si="6"/>
        <v>0</v>
      </c>
      <c r="R66" s="207">
        <f>IF(Q66="","",Q66+R65+'OS Offset'!B66)</f>
        <v>158</v>
      </c>
      <c r="S66" s="208">
        <f t="shared" si="7"/>
        <v>0</v>
      </c>
      <c r="T66" s="221" t="s">
        <v>615</v>
      </c>
      <c r="U66" s="222" t="s">
        <v>606</v>
      </c>
      <c r="V66" s="214"/>
      <c r="W66" s="204"/>
      <c r="X66" s="204"/>
      <c r="Y66" s="204"/>
      <c r="Z66" s="219"/>
      <c r="AA66" s="220">
        <v>4</v>
      </c>
      <c r="AB66" s="215">
        <v>0</v>
      </c>
      <c r="AC66" s="215"/>
      <c r="AD66" s="215"/>
      <c r="AE66" s="215"/>
      <c r="AF66" s="215"/>
      <c r="AG66" s="215"/>
      <c r="AH66" s="215"/>
      <c r="AI66" s="216"/>
      <c r="AJ66" s="217">
        <f t="shared" si="8"/>
        <v>4</v>
      </c>
      <c r="AK66" s="207">
        <f>IF(AJ66="","",AJ66+AK65+'OS Offset'!I66)</f>
        <v>90</v>
      </c>
      <c r="AL66" s="208">
        <f t="shared" si="9"/>
        <v>2</v>
      </c>
    </row>
    <row r="67" spans="1:38" ht="34.049999999999997" customHeight="1" x14ac:dyDescent="0.45">
      <c r="A67" s="211">
        <v>15</v>
      </c>
      <c r="B67" s="210" t="s">
        <v>551</v>
      </c>
      <c r="C67" s="211"/>
      <c r="D67" s="212"/>
      <c r="E67" s="212"/>
      <c r="F67" s="212"/>
      <c r="G67" s="213"/>
      <c r="H67" s="214">
        <v>0</v>
      </c>
      <c r="I67" s="204"/>
      <c r="J67" s="204"/>
      <c r="K67" s="204"/>
      <c r="L67" s="204"/>
      <c r="M67" s="204"/>
      <c r="N67" s="204"/>
      <c r="O67" s="204"/>
      <c r="P67" s="205"/>
      <c r="Q67" s="223">
        <f t="shared" si="6"/>
        <v>0</v>
      </c>
      <c r="R67" s="207">
        <f>IF(Q67="","",Q67+R66+'OS Offset'!B67)</f>
        <v>158</v>
      </c>
      <c r="S67" s="208">
        <f t="shared" si="7"/>
        <v>1</v>
      </c>
      <c r="T67" s="209">
        <v>15</v>
      </c>
      <c r="U67" s="210" t="s">
        <v>582</v>
      </c>
      <c r="V67" s="211"/>
      <c r="W67" s="212" t="s">
        <v>114</v>
      </c>
      <c r="X67" s="212" t="s">
        <v>114</v>
      </c>
      <c r="Y67" s="212"/>
      <c r="Z67" s="213"/>
      <c r="AA67" s="214">
        <v>4</v>
      </c>
      <c r="AB67" s="204">
        <v>0</v>
      </c>
      <c r="AC67" s="204"/>
      <c r="AD67" s="204"/>
      <c r="AE67" s="204"/>
      <c r="AF67" s="204"/>
      <c r="AG67" s="204"/>
      <c r="AH67" s="204"/>
      <c r="AI67" s="205"/>
      <c r="AJ67" s="206">
        <f t="shared" si="8"/>
        <v>4</v>
      </c>
      <c r="AK67" s="207">
        <f>IF(AJ67="","",AJ67+AK66+'OS Offset'!I67)</f>
        <v>94</v>
      </c>
      <c r="AL67" s="208">
        <f t="shared" si="9"/>
        <v>2</v>
      </c>
    </row>
    <row r="68" spans="1:38" ht="34.049999999999997" customHeight="1" x14ac:dyDescent="0.45">
      <c r="A68" s="225">
        <v>16</v>
      </c>
      <c r="B68" s="222" t="s">
        <v>568</v>
      </c>
      <c r="C68" s="214"/>
      <c r="D68" s="204"/>
      <c r="E68" s="204"/>
      <c r="F68" s="204"/>
      <c r="G68" s="219"/>
      <c r="H68" s="220">
        <v>4</v>
      </c>
      <c r="I68" s="215">
        <v>4</v>
      </c>
      <c r="J68" s="215">
        <v>1</v>
      </c>
      <c r="K68" s="215"/>
      <c r="L68" s="215"/>
      <c r="M68" s="215"/>
      <c r="N68" s="215"/>
      <c r="O68" s="215"/>
      <c r="P68" s="216"/>
      <c r="Q68" s="224">
        <f t="shared" si="6"/>
        <v>9</v>
      </c>
      <c r="R68" s="207">
        <f>IF(Q68="","",Q68+R67+'OS Offset'!B68)</f>
        <v>167</v>
      </c>
      <c r="S68" s="208">
        <f t="shared" si="7"/>
        <v>3</v>
      </c>
      <c r="T68" s="221">
        <v>16</v>
      </c>
      <c r="U68" s="222" t="s">
        <v>582</v>
      </c>
      <c r="V68" s="214" t="s">
        <v>114</v>
      </c>
      <c r="W68" s="204" t="s">
        <v>114</v>
      </c>
      <c r="X68" s="204"/>
      <c r="Y68" s="204"/>
      <c r="Z68" s="219"/>
      <c r="AA68" s="220">
        <v>4</v>
      </c>
      <c r="AB68" s="215">
        <v>4</v>
      </c>
      <c r="AC68" s="215">
        <v>0</v>
      </c>
      <c r="AD68" s="215"/>
      <c r="AE68" s="215"/>
      <c r="AF68" s="215"/>
      <c r="AG68" s="215"/>
      <c r="AH68" s="215"/>
      <c r="AI68" s="216"/>
      <c r="AJ68" s="217">
        <f t="shared" si="8"/>
        <v>8</v>
      </c>
      <c r="AK68" s="207">
        <f>IF(AJ68="","",AJ68+AK67+'OS Offset'!I68)</f>
        <v>102</v>
      </c>
      <c r="AL68" s="208">
        <f t="shared" si="9"/>
        <v>3</v>
      </c>
    </row>
    <row r="69" spans="1:38" ht="34.049999999999997" customHeight="1" x14ac:dyDescent="0.45">
      <c r="A69" s="211"/>
      <c r="B69" s="210"/>
      <c r="C69" s="211"/>
      <c r="D69" s="212"/>
      <c r="E69" s="212"/>
      <c r="F69" s="212"/>
      <c r="G69" s="213"/>
      <c r="H69" s="214"/>
      <c r="I69" s="204"/>
      <c r="J69" s="204"/>
      <c r="K69" s="204"/>
      <c r="L69" s="204"/>
      <c r="M69" s="204"/>
      <c r="N69" s="204"/>
      <c r="O69" s="204"/>
      <c r="P69" s="205"/>
      <c r="Q69" s="223" t="str">
        <f t="shared" si="6"/>
        <v/>
      </c>
      <c r="R69" s="207" t="str">
        <f>IF(Q69="","",Q69+R68+'OS Offset'!B69)</f>
        <v/>
      </c>
      <c r="S69" s="208">
        <f t="shared" si="7"/>
        <v>0</v>
      </c>
      <c r="T69" s="209"/>
      <c r="U69" s="210"/>
      <c r="V69" s="211"/>
      <c r="W69" s="212"/>
      <c r="X69" s="212"/>
      <c r="Y69" s="212"/>
      <c r="Z69" s="213"/>
      <c r="AA69" s="214"/>
      <c r="AB69" s="204"/>
      <c r="AC69" s="204"/>
      <c r="AD69" s="204"/>
      <c r="AE69" s="204"/>
      <c r="AF69" s="204"/>
      <c r="AG69" s="204"/>
      <c r="AH69" s="204"/>
      <c r="AI69" s="205"/>
      <c r="AJ69" s="206" t="str">
        <f t="shared" si="8"/>
        <v/>
      </c>
      <c r="AK69" s="207" t="str">
        <f>IF(AJ69="","",AJ69+AK68+'OS Offset'!I69)</f>
        <v/>
      </c>
      <c r="AL69" s="208">
        <f t="shared" si="9"/>
        <v>0</v>
      </c>
    </row>
    <row r="70" spans="1:38" ht="34.049999999999997" customHeight="1" x14ac:dyDescent="0.45">
      <c r="A70" s="225"/>
      <c r="B70" s="222"/>
      <c r="C70" s="214"/>
      <c r="D70" s="204"/>
      <c r="E70" s="204"/>
      <c r="F70" s="204"/>
      <c r="G70" s="219"/>
      <c r="H70" s="220"/>
      <c r="I70" s="215"/>
      <c r="J70" s="215"/>
      <c r="K70" s="215"/>
      <c r="L70" s="215"/>
      <c r="M70" s="215"/>
      <c r="N70" s="215"/>
      <c r="O70" s="215"/>
      <c r="P70" s="216"/>
      <c r="Q70" s="224" t="str">
        <f t="shared" si="6"/>
        <v/>
      </c>
      <c r="R70" s="207" t="str">
        <f>IF(Q70="","",Q70+R69+'OS Offset'!B70)</f>
        <v/>
      </c>
      <c r="S70" s="208">
        <f t="shared" si="7"/>
        <v>0</v>
      </c>
      <c r="T70" s="221"/>
      <c r="U70" s="222"/>
      <c r="V70" s="214"/>
      <c r="W70" s="204"/>
      <c r="X70" s="204"/>
      <c r="Y70" s="204"/>
      <c r="Z70" s="219"/>
      <c r="AA70" s="220"/>
      <c r="AB70" s="215"/>
      <c r="AC70" s="215"/>
      <c r="AD70" s="215"/>
      <c r="AE70" s="215"/>
      <c r="AF70" s="215"/>
      <c r="AG70" s="215"/>
      <c r="AH70" s="215"/>
      <c r="AI70" s="216"/>
      <c r="AJ70" s="217" t="str">
        <f t="shared" si="8"/>
        <v/>
      </c>
      <c r="AK70" s="207" t="str">
        <f>IF(AJ70="","",AJ70+AK69+'OS Offset'!I70)</f>
        <v/>
      </c>
      <c r="AL70" s="208">
        <f t="shared" si="9"/>
        <v>0</v>
      </c>
    </row>
    <row r="71" spans="1:38" ht="34.049999999999997" customHeight="1" x14ac:dyDescent="0.45">
      <c r="A71" s="211"/>
      <c r="B71" s="210"/>
      <c r="C71" s="211"/>
      <c r="D71" s="212"/>
      <c r="E71" s="212"/>
      <c r="F71" s="212"/>
      <c r="G71" s="213"/>
      <c r="H71" s="214"/>
      <c r="I71" s="204"/>
      <c r="J71" s="204"/>
      <c r="K71" s="204"/>
      <c r="L71" s="204"/>
      <c r="M71" s="204"/>
      <c r="N71" s="204"/>
      <c r="O71" s="204"/>
      <c r="P71" s="205"/>
      <c r="Q71" s="223" t="str">
        <f t="shared" si="6"/>
        <v/>
      </c>
      <c r="R71" s="207" t="str">
        <f>IF(Q71="","",Q71+R70+'OS Offset'!B71)</f>
        <v/>
      </c>
      <c r="S71" s="208">
        <f t="shared" si="7"/>
        <v>0</v>
      </c>
      <c r="T71" s="209"/>
      <c r="U71" s="210"/>
      <c r="V71" s="211"/>
      <c r="W71" s="212"/>
      <c r="X71" s="212"/>
      <c r="Y71" s="212"/>
      <c r="Z71" s="213"/>
      <c r="AA71" s="214"/>
      <c r="AB71" s="204"/>
      <c r="AC71" s="204"/>
      <c r="AD71" s="204"/>
      <c r="AE71" s="204"/>
      <c r="AF71" s="204"/>
      <c r="AG71" s="204"/>
      <c r="AH71" s="204"/>
      <c r="AI71" s="205"/>
      <c r="AJ71" s="206" t="str">
        <f t="shared" si="8"/>
        <v/>
      </c>
      <c r="AK71" s="207" t="str">
        <f>IF(AJ71="","",AJ71+AK70+'OS Offset'!I71)</f>
        <v/>
      </c>
      <c r="AL71" s="208">
        <f t="shared" si="9"/>
        <v>0</v>
      </c>
    </row>
    <row r="72" spans="1:38" ht="34.049999999999997" customHeight="1" x14ac:dyDescent="0.45">
      <c r="A72" s="225"/>
      <c r="B72" s="222"/>
      <c r="C72" s="214"/>
      <c r="D72" s="204"/>
      <c r="E72" s="204"/>
      <c r="F72" s="204"/>
      <c r="G72" s="219"/>
      <c r="H72" s="220"/>
      <c r="I72" s="215"/>
      <c r="J72" s="215"/>
      <c r="K72" s="215"/>
      <c r="L72" s="215"/>
      <c r="M72" s="215"/>
      <c r="N72" s="215"/>
      <c r="O72" s="215"/>
      <c r="P72" s="216"/>
      <c r="Q72" s="224" t="str">
        <f t="shared" si="6"/>
        <v/>
      </c>
      <c r="R72" s="207" t="str">
        <f>IF(Q72="","",Q72+R71+'OS Offset'!B72)</f>
        <v/>
      </c>
      <c r="S72" s="208">
        <f t="shared" si="7"/>
        <v>0</v>
      </c>
      <c r="T72" s="221"/>
      <c r="U72" s="222"/>
      <c r="V72" s="214"/>
      <c r="W72" s="204"/>
      <c r="X72" s="204"/>
      <c r="Y72" s="204"/>
      <c r="Z72" s="219"/>
      <c r="AA72" s="220"/>
      <c r="AB72" s="215"/>
      <c r="AC72" s="215"/>
      <c r="AD72" s="215"/>
      <c r="AE72" s="215"/>
      <c r="AF72" s="215"/>
      <c r="AG72" s="215"/>
      <c r="AH72" s="215"/>
      <c r="AI72" s="216"/>
      <c r="AJ72" s="217" t="str">
        <f t="shared" si="8"/>
        <v/>
      </c>
      <c r="AK72" s="207" t="str">
        <f>IF(AJ72="","",AJ72+AK71+'OS Offset'!I72)</f>
        <v/>
      </c>
      <c r="AL72" s="208">
        <f t="shared" si="9"/>
        <v>0</v>
      </c>
    </row>
    <row r="73" spans="1:38" ht="34.049999999999997" customHeight="1" x14ac:dyDescent="0.45">
      <c r="A73" s="211"/>
      <c r="B73" s="210"/>
      <c r="C73" s="211"/>
      <c r="D73" s="212"/>
      <c r="E73" s="212"/>
      <c r="F73" s="212"/>
      <c r="G73" s="213"/>
      <c r="H73" s="214"/>
      <c r="I73" s="204"/>
      <c r="J73" s="204"/>
      <c r="K73" s="204"/>
      <c r="L73" s="204"/>
      <c r="M73" s="204"/>
      <c r="N73" s="204"/>
      <c r="O73" s="204"/>
      <c r="P73" s="205"/>
      <c r="Q73" s="223" t="str">
        <f t="shared" si="6"/>
        <v/>
      </c>
      <c r="R73" s="207" t="str">
        <f>IF(Q73="","",Q73+R72+'OS Offset'!B73)</f>
        <v/>
      </c>
      <c r="S73" s="208">
        <f t="shared" si="7"/>
        <v>0</v>
      </c>
      <c r="T73" s="209"/>
      <c r="U73" s="210"/>
      <c r="V73" s="211"/>
      <c r="W73" s="212"/>
      <c r="X73" s="212"/>
      <c r="Y73" s="212"/>
      <c r="Z73" s="213"/>
      <c r="AA73" s="214"/>
      <c r="AB73" s="204"/>
      <c r="AC73" s="204"/>
      <c r="AD73" s="204"/>
      <c r="AE73" s="204"/>
      <c r="AF73" s="204"/>
      <c r="AG73" s="204"/>
      <c r="AH73" s="204"/>
      <c r="AI73" s="205"/>
      <c r="AJ73" s="206" t="str">
        <f t="shared" si="8"/>
        <v/>
      </c>
      <c r="AK73" s="207" t="str">
        <f>IF(AJ73="","",AJ73+AK72+'OS Offset'!I73)</f>
        <v/>
      </c>
      <c r="AL73" s="208">
        <f t="shared" si="9"/>
        <v>0</v>
      </c>
    </row>
    <row r="74" spans="1:38" ht="34.049999999999997" customHeight="1" x14ac:dyDescent="0.45">
      <c r="A74" s="225"/>
      <c r="B74" s="222"/>
      <c r="C74" s="214"/>
      <c r="D74" s="204"/>
      <c r="E74" s="204"/>
      <c r="F74" s="204"/>
      <c r="G74" s="219"/>
      <c r="H74" s="220"/>
      <c r="I74" s="215"/>
      <c r="J74" s="215"/>
      <c r="K74" s="215"/>
      <c r="L74" s="215"/>
      <c r="M74" s="215"/>
      <c r="N74" s="215"/>
      <c r="O74" s="215"/>
      <c r="P74" s="216"/>
      <c r="Q74" s="224" t="str">
        <f t="shared" si="6"/>
        <v/>
      </c>
      <c r="R74" s="207" t="str">
        <f>IF(Q74="","",Q74+R73+'OS Offset'!B74)</f>
        <v/>
      </c>
      <c r="S74" s="208">
        <f t="shared" si="7"/>
        <v>0</v>
      </c>
      <c r="T74" s="221"/>
      <c r="U74" s="222"/>
      <c r="V74" s="214"/>
      <c r="W74" s="204"/>
      <c r="X74" s="204"/>
      <c r="Y74" s="204"/>
      <c r="Z74" s="219"/>
      <c r="AA74" s="220"/>
      <c r="AB74" s="215"/>
      <c r="AC74" s="215"/>
      <c r="AD74" s="215"/>
      <c r="AE74" s="215"/>
      <c r="AF74" s="215"/>
      <c r="AG74" s="215"/>
      <c r="AH74" s="215"/>
      <c r="AI74" s="216"/>
      <c r="AJ74" s="217" t="str">
        <f t="shared" si="8"/>
        <v/>
      </c>
      <c r="AK74" s="207" t="str">
        <f>IF(AJ74="","",AJ74+AK73+'OS Offset'!I74)</f>
        <v/>
      </c>
      <c r="AL74" s="208">
        <f t="shared" si="9"/>
        <v>0</v>
      </c>
    </row>
    <row r="75" spans="1:38" ht="34.049999999999997" customHeight="1" x14ac:dyDescent="0.45">
      <c r="A75" s="211"/>
      <c r="B75" s="210"/>
      <c r="C75" s="211"/>
      <c r="D75" s="212"/>
      <c r="E75" s="212"/>
      <c r="F75" s="212"/>
      <c r="G75" s="213"/>
      <c r="H75" s="214"/>
      <c r="I75" s="204"/>
      <c r="J75" s="204"/>
      <c r="K75" s="204"/>
      <c r="L75" s="204"/>
      <c r="M75" s="204"/>
      <c r="N75" s="204"/>
      <c r="O75" s="204"/>
      <c r="P75" s="205"/>
      <c r="Q75" s="223" t="str">
        <f t="shared" si="6"/>
        <v/>
      </c>
      <c r="R75" s="207" t="str">
        <f>IF(Q75="","",Q75+R74+'OS Offset'!B75)</f>
        <v/>
      </c>
      <c r="S75" s="208">
        <f t="shared" si="7"/>
        <v>0</v>
      </c>
      <c r="T75" s="209"/>
      <c r="U75" s="210"/>
      <c r="V75" s="211"/>
      <c r="W75" s="212"/>
      <c r="X75" s="212"/>
      <c r="Y75" s="212"/>
      <c r="Z75" s="213"/>
      <c r="AA75" s="214"/>
      <c r="AB75" s="204"/>
      <c r="AC75" s="204"/>
      <c r="AD75" s="204"/>
      <c r="AE75" s="204"/>
      <c r="AF75" s="204"/>
      <c r="AG75" s="204"/>
      <c r="AH75" s="204"/>
      <c r="AI75" s="205"/>
      <c r="AJ75" s="206" t="str">
        <f t="shared" si="8"/>
        <v/>
      </c>
      <c r="AK75" s="207" t="str">
        <f>IF(AJ75="","",AJ75+AK74+'OS Offset'!I75)</f>
        <v/>
      </c>
      <c r="AL75" s="208">
        <f t="shared" si="9"/>
        <v>0</v>
      </c>
    </row>
    <row r="76" spans="1:38" ht="34.049999999999997" customHeight="1" x14ac:dyDescent="0.45">
      <c r="A76" s="225"/>
      <c r="B76" s="222"/>
      <c r="C76" s="214"/>
      <c r="D76" s="204"/>
      <c r="E76" s="204"/>
      <c r="F76" s="204"/>
      <c r="G76" s="219"/>
      <c r="H76" s="220"/>
      <c r="I76" s="215"/>
      <c r="J76" s="215"/>
      <c r="K76" s="215"/>
      <c r="L76" s="215"/>
      <c r="M76" s="215"/>
      <c r="N76" s="215"/>
      <c r="O76" s="215"/>
      <c r="P76" s="216"/>
      <c r="Q76" s="224" t="str">
        <f t="shared" si="6"/>
        <v/>
      </c>
      <c r="R76" s="207" t="str">
        <f>IF(Q76="","",Q76+R75+'OS Offset'!B76)</f>
        <v/>
      </c>
      <c r="S76" s="208">
        <f t="shared" si="7"/>
        <v>0</v>
      </c>
      <c r="T76" s="221"/>
      <c r="U76" s="222"/>
      <c r="V76" s="214"/>
      <c r="W76" s="204"/>
      <c r="X76" s="204"/>
      <c r="Y76" s="204"/>
      <c r="Z76" s="219"/>
      <c r="AA76" s="220"/>
      <c r="AB76" s="215"/>
      <c r="AC76" s="215"/>
      <c r="AD76" s="215"/>
      <c r="AE76" s="215"/>
      <c r="AF76" s="215"/>
      <c r="AG76" s="215"/>
      <c r="AH76" s="215"/>
      <c r="AI76" s="216"/>
      <c r="AJ76" s="217" t="str">
        <f t="shared" si="8"/>
        <v/>
      </c>
      <c r="AK76" s="207" t="str">
        <f>IF(AJ76="","",AJ76+AK75+'OS Offset'!I76)</f>
        <v/>
      </c>
      <c r="AL76" s="208">
        <f t="shared" si="9"/>
        <v>0</v>
      </c>
    </row>
    <row r="77" spans="1:38" ht="34.049999999999997" customHeight="1" x14ac:dyDescent="0.45">
      <c r="A77" s="211"/>
      <c r="B77" s="210"/>
      <c r="C77" s="211"/>
      <c r="D77" s="212"/>
      <c r="E77" s="212"/>
      <c r="F77" s="212"/>
      <c r="G77" s="213"/>
      <c r="H77" s="214"/>
      <c r="I77" s="204"/>
      <c r="J77" s="204"/>
      <c r="K77" s="204"/>
      <c r="L77" s="204"/>
      <c r="M77" s="204"/>
      <c r="N77" s="204"/>
      <c r="O77" s="204"/>
      <c r="P77" s="205"/>
      <c r="Q77" s="223" t="str">
        <f t="shared" si="6"/>
        <v/>
      </c>
      <c r="R77" s="207" t="str">
        <f>IF(Q77="","",Q77+R76+'OS Offset'!B77)</f>
        <v/>
      </c>
      <c r="S77" s="208">
        <f t="shared" si="7"/>
        <v>0</v>
      </c>
      <c r="T77" s="209"/>
      <c r="U77" s="210"/>
      <c r="V77" s="211"/>
      <c r="W77" s="212"/>
      <c r="X77" s="212"/>
      <c r="Y77" s="212"/>
      <c r="Z77" s="213"/>
      <c r="AA77" s="214"/>
      <c r="AB77" s="204"/>
      <c r="AC77" s="204"/>
      <c r="AD77" s="204"/>
      <c r="AE77" s="204"/>
      <c r="AF77" s="204"/>
      <c r="AG77" s="204"/>
      <c r="AH77" s="204"/>
      <c r="AI77" s="205"/>
      <c r="AJ77" s="206" t="str">
        <f t="shared" si="8"/>
        <v/>
      </c>
      <c r="AK77" s="207" t="str">
        <f>IF(AJ77="","",AJ77+AK76+'OS Offset'!I77)</f>
        <v/>
      </c>
      <c r="AL77" s="208">
        <f t="shared" si="9"/>
        <v>0</v>
      </c>
    </row>
    <row r="78" spans="1:38" ht="34.049999999999997" customHeight="1" x14ac:dyDescent="0.45">
      <c r="A78" s="225"/>
      <c r="B78" s="222"/>
      <c r="C78" s="214"/>
      <c r="D78" s="204"/>
      <c r="E78" s="204"/>
      <c r="F78" s="204"/>
      <c r="G78" s="219"/>
      <c r="H78" s="220"/>
      <c r="I78" s="215"/>
      <c r="J78" s="215"/>
      <c r="K78" s="215"/>
      <c r="L78" s="215"/>
      <c r="M78" s="215"/>
      <c r="N78" s="215"/>
      <c r="O78" s="215"/>
      <c r="P78" s="216"/>
      <c r="Q78" s="224" t="str">
        <f t="shared" si="6"/>
        <v/>
      </c>
      <c r="R78" s="207" t="str">
        <f>IF(Q78="","",Q78+R77+'OS Offset'!B78)</f>
        <v/>
      </c>
      <c r="S78" s="208">
        <f t="shared" si="7"/>
        <v>0</v>
      </c>
      <c r="T78" s="221"/>
      <c r="U78" s="222"/>
      <c r="V78" s="214"/>
      <c r="W78" s="204"/>
      <c r="X78" s="204"/>
      <c r="Y78" s="204"/>
      <c r="Z78" s="219"/>
      <c r="AA78" s="220"/>
      <c r="AB78" s="215"/>
      <c r="AC78" s="215"/>
      <c r="AD78" s="215"/>
      <c r="AE78" s="215"/>
      <c r="AF78" s="215"/>
      <c r="AG78" s="215"/>
      <c r="AH78" s="215"/>
      <c r="AI78" s="216"/>
      <c r="AJ78" s="217" t="str">
        <f t="shared" si="8"/>
        <v/>
      </c>
      <c r="AK78" s="207" t="str">
        <f>IF(AJ78="","",AJ78+AK77+'OS Offset'!I78)</f>
        <v/>
      </c>
      <c r="AL78" s="208">
        <f t="shared" si="9"/>
        <v>0</v>
      </c>
    </row>
    <row r="79" spans="1:38" ht="34.049999999999997" customHeight="1" x14ac:dyDescent="0.45">
      <c r="A79" s="211"/>
      <c r="B79" s="210"/>
      <c r="C79" s="211"/>
      <c r="D79" s="212"/>
      <c r="E79" s="212"/>
      <c r="F79" s="212"/>
      <c r="G79" s="213"/>
      <c r="H79" s="214"/>
      <c r="I79" s="204"/>
      <c r="J79" s="204"/>
      <c r="K79" s="204"/>
      <c r="L79" s="204"/>
      <c r="M79" s="204"/>
      <c r="N79" s="204"/>
      <c r="O79" s="204"/>
      <c r="P79" s="205"/>
      <c r="Q79" s="223" t="str">
        <f t="shared" si="6"/>
        <v/>
      </c>
      <c r="R79" s="207" t="str">
        <f>IF(Q79="","",Q79+R78+'OS Offset'!B79)</f>
        <v/>
      </c>
      <c r="S79" s="208">
        <f t="shared" si="7"/>
        <v>0</v>
      </c>
      <c r="T79" s="209"/>
      <c r="U79" s="210"/>
      <c r="V79" s="211"/>
      <c r="W79" s="212"/>
      <c r="X79" s="212"/>
      <c r="Y79" s="212"/>
      <c r="Z79" s="213"/>
      <c r="AA79" s="214"/>
      <c r="AB79" s="204"/>
      <c r="AC79" s="204"/>
      <c r="AD79" s="204"/>
      <c r="AE79" s="204"/>
      <c r="AF79" s="204"/>
      <c r="AG79" s="204"/>
      <c r="AH79" s="204"/>
      <c r="AI79" s="205"/>
      <c r="AJ79" s="206" t="str">
        <f t="shared" si="8"/>
        <v/>
      </c>
      <c r="AK79" s="207" t="str">
        <f>IF(AJ79="","",AJ79+AK78+'OS Offset'!I79)</f>
        <v/>
      </c>
      <c r="AL79" s="208">
        <f t="shared" si="9"/>
        <v>0</v>
      </c>
    </row>
    <row r="80" spans="1:38" ht="34.049999999999997" customHeight="1" x14ac:dyDescent="0.45">
      <c r="A80" s="225"/>
      <c r="B80" s="222"/>
      <c r="C80" s="214"/>
      <c r="D80" s="204"/>
      <c r="E80" s="204"/>
      <c r="F80" s="204"/>
      <c r="G80" s="219"/>
      <c r="H80" s="220"/>
      <c r="I80" s="215"/>
      <c r="J80" s="215"/>
      <c r="K80" s="215"/>
      <c r="L80" s="215"/>
      <c r="M80" s="215"/>
      <c r="N80" s="215"/>
      <c r="O80" s="215"/>
      <c r="P80" s="216"/>
      <c r="Q80" s="224" t="str">
        <f t="shared" si="6"/>
        <v/>
      </c>
      <c r="R80" s="207" t="str">
        <f>IF(Q80="","",Q80+R79+'OS Offset'!B80)</f>
        <v/>
      </c>
      <c r="S80" s="208">
        <f t="shared" si="7"/>
        <v>0</v>
      </c>
      <c r="T80" s="221"/>
      <c r="U80" s="222"/>
      <c r="V80" s="214"/>
      <c r="W80" s="204"/>
      <c r="X80" s="204"/>
      <c r="Y80" s="204"/>
      <c r="Z80" s="219"/>
      <c r="AA80" s="220"/>
      <c r="AB80" s="215"/>
      <c r="AC80" s="215"/>
      <c r="AD80" s="215"/>
      <c r="AE80" s="215"/>
      <c r="AF80" s="215"/>
      <c r="AG80" s="215"/>
      <c r="AH80" s="215"/>
      <c r="AI80" s="216"/>
      <c r="AJ80" s="217" t="str">
        <f t="shared" si="8"/>
        <v/>
      </c>
      <c r="AK80" s="207" t="str">
        <f>IF(AJ80="","",AJ80+AK79+'OS Offset'!I80)</f>
        <v/>
      </c>
      <c r="AL80" s="208">
        <f t="shared" si="9"/>
        <v>0</v>
      </c>
    </row>
    <row r="81" spans="1:38" ht="34.049999999999997" customHeight="1" x14ac:dyDescent="0.45">
      <c r="A81" s="211"/>
      <c r="B81" s="210"/>
      <c r="C81" s="211"/>
      <c r="D81" s="212"/>
      <c r="E81" s="212"/>
      <c r="F81" s="212"/>
      <c r="G81" s="213"/>
      <c r="H81" s="214"/>
      <c r="I81" s="204"/>
      <c r="J81" s="204"/>
      <c r="K81" s="204"/>
      <c r="L81" s="204"/>
      <c r="M81" s="204"/>
      <c r="N81" s="204"/>
      <c r="O81" s="204"/>
      <c r="P81" s="205"/>
      <c r="Q81" s="223" t="str">
        <f t="shared" si="6"/>
        <v/>
      </c>
      <c r="R81" s="207" t="str">
        <f>IF(Q81="","",Q81+R80+'OS Offset'!B81)</f>
        <v/>
      </c>
      <c r="S81" s="208">
        <f t="shared" si="7"/>
        <v>0</v>
      </c>
      <c r="T81" s="209"/>
      <c r="U81" s="210"/>
      <c r="V81" s="211"/>
      <c r="W81" s="212"/>
      <c r="X81" s="212"/>
      <c r="Y81" s="212"/>
      <c r="Z81" s="213"/>
      <c r="AA81" s="214"/>
      <c r="AB81" s="204"/>
      <c r="AC81" s="204"/>
      <c r="AD81" s="204"/>
      <c r="AE81" s="204"/>
      <c r="AF81" s="204"/>
      <c r="AG81" s="204"/>
      <c r="AH81" s="204"/>
      <c r="AI81" s="205"/>
      <c r="AJ81" s="206" t="str">
        <f t="shared" si="8"/>
        <v/>
      </c>
      <c r="AK81" s="207" t="str">
        <f>IF(AJ81="","",AJ81+AK80+'OS Offset'!I81)</f>
        <v/>
      </c>
      <c r="AL81" s="208">
        <f t="shared" si="9"/>
        <v>0</v>
      </c>
    </row>
    <row r="82" spans="1:38" ht="34.049999999999997" customHeight="1" x14ac:dyDescent="0.45">
      <c r="A82" s="225"/>
      <c r="B82" s="222"/>
      <c r="C82" s="214"/>
      <c r="D82" s="204"/>
      <c r="E82" s="204"/>
      <c r="F82" s="204"/>
      <c r="G82" s="219"/>
      <c r="H82" s="220"/>
      <c r="I82" s="215"/>
      <c r="J82" s="215"/>
      <c r="K82" s="215"/>
      <c r="L82" s="215"/>
      <c r="M82" s="215"/>
      <c r="N82" s="215"/>
      <c r="O82" s="215"/>
      <c r="P82" s="216"/>
      <c r="Q82" s="224" t="str">
        <f t="shared" si="6"/>
        <v/>
      </c>
      <c r="R82" s="207" t="str">
        <f>IF(Q82="","",Q82+R81+'OS Offset'!B82)</f>
        <v/>
      </c>
      <c r="S82" s="208">
        <f t="shared" si="7"/>
        <v>0</v>
      </c>
      <c r="T82" s="221"/>
      <c r="U82" s="222"/>
      <c r="V82" s="214"/>
      <c r="W82" s="204"/>
      <c r="X82" s="204"/>
      <c r="Y82" s="204"/>
      <c r="Z82" s="219"/>
      <c r="AA82" s="220"/>
      <c r="AB82" s="215"/>
      <c r="AC82" s="215"/>
      <c r="AD82" s="215"/>
      <c r="AE82" s="215"/>
      <c r="AF82" s="215"/>
      <c r="AG82" s="215"/>
      <c r="AH82" s="215"/>
      <c r="AI82" s="216"/>
      <c r="AJ82" s="217" t="str">
        <f t="shared" si="8"/>
        <v/>
      </c>
      <c r="AK82" s="207" t="str">
        <f>IF(AJ82="","",AJ82+AK81+'OS Offset'!I82)</f>
        <v/>
      </c>
      <c r="AL82" s="208">
        <f t="shared" si="9"/>
        <v>0</v>
      </c>
    </row>
    <row r="83" spans="1:38" ht="34.049999999999997" customHeight="1" thickBot="1" x14ac:dyDescent="0.5">
      <c r="A83" s="211"/>
      <c r="B83" s="210"/>
      <c r="C83" s="241"/>
      <c r="D83" s="246"/>
      <c r="E83" s="246"/>
      <c r="F83" s="246"/>
      <c r="G83" s="256"/>
      <c r="H83" s="214"/>
      <c r="I83" s="204"/>
      <c r="J83" s="204"/>
      <c r="K83" s="204"/>
      <c r="L83" s="204"/>
      <c r="M83" s="204"/>
      <c r="N83" s="204"/>
      <c r="O83" s="204"/>
      <c r="P83" s="205"/>
      <c r="Q83" s="223" t="str">
        <f t="shared" si="6"/>
        <v/>
      </c>
      <c r="R83" s="207" t="str">
        <f>IF(Q83="","",Q83+R82+'OS Offset'!B83)</f>
        <v/>
      </c>
      <c r="S83" s="208">
        <f t="shared" si="7"/>
        <v>0</v>
      </c>
      <c r="T83" s="268"/>
      <c r="U83" s="245"/>
      <c r="V83" s="241"/>
      <c r="W83" s="246"/>
      <c r="X83" s="246"/>
      <c r="Y83" s="246"/>
      <c r="Z83" s="256"/>
      <c r="AA83" s="230"/>
      <c r="AB83" s="228"/>
      <c r="AC83" s="228"/>
      <c r="AD83" s="228"/>
      <c r="AE83" s="228"/>
      <c r="AF83" s="228"/>
      <c r="AG83" s="228"/>
      <c r="AH83" s="228"/>
      <c r="AI83" s="269"/>
      <c r="AJ83" s="223" t="str">
        <f t="shared" si="8"/>
        <v/>
      </c>
      <c r="AK83" s="267" t="str">
        <f>IF(AJ83="","",AJ83+AK82+'OS Offset'!I83)</f>
        <v/>
      </c>
      <c r="AL83" s="208">
        <f t="shared" si="9"/>
        <v>0</v>
      </c>
    </row>
    <row r="84" spans="1:38" ht="31.8" customHeight="1" thickBot="1" x14ac:dyDescent="0.5">
      <c r="A84" s="307">
        <f>IF(COUNT(A46:A83),COUNT(A46:A83),"")</f>
        <v>16</v>
      </c>
      <c r="B84" s="254" t="s">
        <v>108</v>
      </c>
      <c r="C84" s="302">
        <f>IF($A$84="","",COUNTIF(C$46:C$83, "X"))</f>
        <v>2</v>
      </c>
      <c r="D84" s="303">
        <f>IF($A$84="","",COUNTIF(D$46:D$83, "X"))</f>
        <v>8</v>
      </c>
      <c r="E84" s="303">
        <f>IF($A$84="","",COUNTIF(E$46:E$83, "X"))</f>
        <v>4</v>
      </c>
      <c r="F84" s="303">
        <f>IF($A$84="","",COUNTIF(F$46:F$83, "X"))</f>
        <v>0</v>
      </c>
      <c r="G84" s="304">
        <f>IF($A$84="","",COUNTIF(G$46:G$83, "X"))</f>
        <v>3</v>
      </c>
      <c r="H84" s="253">
        <f t="shared" ref="H84:Q84" si="10">IF(COUNT(H46:H83),SUM(H46:H83),"")</f>
        <v>40</v>
      </c>
      <c r="I84" s="250">
        <f t="shared" si="10"/>
        <v>27</v>
      </c>
      <c r="J84" s="250">
        <f t="shared" si="10"/>
        <v>17</v>
      </c>
      <c r="K84" s="250">
        <f t="shared" si="10"/>
        <v>8</v>
      </c>
      <c r="L84" s="250">
        <f t="shared" si="10"/>
        <v>5</v>
      </c>
      <c r="M84" s="250">
        <f t="shared" si="10"/>
        <v>0</v>
      </c>
      <c r="N84" s="250" t="str">
        <f t="shared" si="10"/>
        <v/>
      </c>
      <c r="O84" s="250" t="str">
        <f t="shared" si="10"/>
        <v/>
      </c>
      <c r="P84" s="251" t="str">
        <f t="shared" si="10"/>
        <v/>
      </c>
      <c r="Q84" s="257">
        <f t="shared" si="10"/>
        <v>97</v>
      </c>
      <c r="R84" s="258">
        <f>IF(A84="","",MAX(R46:R83))</f>
        <v>167</v>
      </c>
      <c r="S84" s="255"/>
      <c r="T84" s="320">
        <f>IF(COUNT(T46:T83),COUNT(T46:T83),"")</f>
        <v>16</v>
      </c>
      <c r="U84" s="321" t="s">
        <v>108</v>
      </c>
      <c r="V84" s="308">
        <f>IF($T$84="","",COUNTIF(V$46:V$83, "X"))</f>
        <v>3</v>
      </c>
      <c r="W84" s="303">
        <f>IF($T$84="","",COUNTIF(W$46:W$83, "X"))</f>
        <v>8</v>
      </c>
      <c r="X84" s="303">
        <f>IF($T$84="","",COUNTIF(X$46:X$83, "X"))</f>
        <v>6</v>
      </c>
      <c r="Y84" s="303">
        <f>IF($T$84="","",COUNTIF(Y$46:Y$83, "X"))</f>
        <v>0</v>
      </c>
      <c r="Z84" s="303">
        <f>IF($T$84="","",COUNTIF(Z$46:Z$83, "X"))</f>
        <v>8</v>
      </c>
      <c r="AA84" s="316">
        <f t="shared" ref="AA84:AJ84" si="11">IF(COUNT(AA46:AA83),SUM(AA46:AA83),"")</f>
        <v>45</v>
      </c>
      <c r="AB84" s="310">
        <f t="shared" si="11"/>
        <v>15</v>
      </c>
      <c r="AC84" s="310">
        <f t="shared" si="11"/>
        <v>0</v>
      </c>
      <c r="AD84" s="310" t="str">
        <f t="shared" si="11"/>
        <v/>
      </c>
      <c r="AE84" s="310" t="str">
        <f t="shared" si="11"/>
        <v/>
      </c>
      <c r="AF84" s="310" t="str">
        <f t="shared" si="11"/>
        <v/>
      </c>
      <c r="AG84" s="310" t="str">
        <f t="shared" si="11"/>
        <v/>
      </c>
      <c r="AH84" s="310" t="str">
        <f t="shared" si="11"/>
        <v/>
      </c>
      <c r="AI84" s="322" t="str">
        <f t="shared" si="11"/>
        <v/>
      </c>
      <c r="AJ84" s="323">
        <f t="shared" si="11"/>
        <v>60</v>
      </c>
      <c r="AK84" s="314">
        <f>IF(T84="","",MAX(AK46:AK83))</f>
        <v>102</v>
      </c>
      <c r="AL84" s="252"/>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6"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zoomScaleNormal="100" zoomScaleSheetLayoutView="75" zoomScalePageLayoutView="65" workbookViewId="0">
      <selection sqref="A1:H2"/>
    </sheetView>
  </sheetViews>
  <sheetFormatPr defaultColWidth="8.77734375" defaultRowHeight="13.8" x14ac:dyDescent="0.3"/>
  <cols>
    <col min="1" max="1" width="9.77734375" style="11" customWidth="1"/>
    <col min="2" max="10" width="5" style="11" customWidth="1"/>
    <col min="11" max="11" width="5.6640625" style="11" customWidth="1"/>
    <col min="12" max="12" width="8.44140625" style="11" customWidth="1"/>
    <col min="13" max="13" width="16.109375" style="11" customWidth="1"/>
    <col min="14" max="14" width="9.6640625" style="11" customWidth="1"/>
    <col min="15" max="15" width="16.109375" style="15" customWidth="1"/>
    <col min="16" max="16" width="9.77734375" style="11" customWidth="1"/>
    <col min="17" max="25" width="5" style="11" customWidth="1"/>
    <col min="26" max="26" width="5.6640625" style="11" customWidth="1"/>
    <col min="27" max="27" width="8.33203125" style="11" customWidth="1"/>
    <col min="28" max="28" width="12.44140625" style="14" customWidth="1"/>
    <col min="29" max="29" width="9.77734375" style="11" customWidth="1"/>
    <col min="30" max="38" width="5" style="11" customWidth="1"/>
    <col min="39" max="39" width="5.77734375" style="11" customWidth="1"/>
    <col min="40" max="40" width="8.44140625" style="11" customWidth="1"/>
    <col min="41" max="41" width="16.109375" style="11" customWidth="1"/>
    <col min="42" max="42" width="9.6640625" style="11" customWidth="1"/>
    <col min="43" max="43" width="16.109375" style="11" customWidth="1"/>
    <col min="44" max="44" width="9.77734375" style="11" customWidth="1"/>
    <col min="45" max="53" width="5" style="11" customWidth="1"/>
    <col min="54" max="54" width="5.77734375" style="11" customWidth="1"/>
    <col min="55" max="55" width="8.33203125" style="11" customWidth="1"/>
    <col min="56" max="56" width="12.44140625" style="14" customWidth="1"/>
    <col min="57" max="57" width="3.109375" style="11" customWidth="1"/>
    <col min="58" max="16384" width="8.77734375" style="11"/>
  </cols>
  <sheetData>
    <row r="1" spans="1:56" ht="30" customHeight="1" x14ac:dyDescent="0.45">
      <c r="A1" s="1018" t="str">
        <f>Score!$A$1</f>
        <v>Black Rose Rollers / All Stars</v>
      </c>
      <c r="B1" s="1018"/>
      <c r="C1" s="1018"/>
      <c r="D1" s="1018"/>
      <c r="E1" s="1018"/>
      <c r="F1" s="1018"/>
      <c r="G1" s="1018"/>
      <c r="H1" s="1018"/>
      <c r="I1" s="1008" t="str">
        <f>IF(ISBLANK(IGRF!$B$12), "", IGRF!$B$12)</f>
        <v>Black</v>
      </c>
      <c r="J1" s="1008"/>
      <c r="K1" s="1008"/>
      <c r="L1" s="1024">
        <f>IF(ISBLANK(IGRF!$B$7), "", IGRF!$B$7)</f>
        <v>45144</v>
      </c>
      <c r="M1" s="1024"/>
      <c r="N1" s="1017" t="s">
        <v>524</v>
      </c>
      <c r="O1" s="1017"/>
      <c r="P1" s="1017"/>
      <c r="Q1" s="1018" t="str">
        <f>Score!$T$1</f>
        <v>Steel City Roller Derby / Steel Hurtin'</v>
      </c>
      <c r="R1" s="1018"/>
      <c r="S1" s="1018"/>
      <c r="T1" s="1018"/>
      <c r="U1" s="1018"/>
      <c r="V1" s="1018"/>
      <c r="W1" s="1018"/>
      <c r="X1" s="1018"/>
      <c r="Y1" s="1018"/>
      <c r="Z1" s="1008" t="str">
        <f>IF(ISBLANK(IGRF!$I$12), "", IGRF!$I$12)</f>
        <v>Yellow</v>
      </c>
      <c r="AA1" s="1008"/>
      <c r="AB1" s="326">
        <v>1</v>
      </c>
      <c r="AC1" s="1018" t="str">
        <f>A1</f>
        <v>Black Rose Rollers / All Stars</v>
      </c>
      <c r="AD1" s="1018"/>
      <c r="AE1" s="1018"/>
      <c r="AF1" s="1018"/>
      <c r="AG1" s="1018"/>
      <c r="AH1" s="1018"/>
      <c r="AI1" s="1018"/>
      <c r="AJ1" s="1018"/>
      <c r="AK1" s="1008" t="str">
        <f>I1</f>
        <v>Black</v>
      </c>
      <c r="AL1" s="1008"/>
      <c r="AM1" s="1008"/>
      <c r="AN1" s="1024">
        <f>L1</f>
        <v>45144</v>
      </c>
      <c r="AO1" s="1024"/>
      <c r="AP1" s="1017" t="s">
        <v>524</v>
      </c>
      <c r="AQ1" s="1017"/>
      <c r="AR1" s="1017"/>
      <c r="AS1" s="1018" t="str">
        <f>Q1</f>
        <v>Steel City Roller Derby / Steel Hurtin'</v>
      </c>
      <c r="AT1" s="1018"/>
      <c r="AU1" s="1018"/>
      <c r="AV1" s="1018"/>
      <c r="AW1" s="1018"/>
      <c r="AX1" s="1018"/>
      <c r="AY1" s="1018"/>
      <c r="AZ1" s="1018"/>
      <c r="BA1" s="1018"/>
      <c r="BB1" s="1008" t="str">
        <f>Z1</f>
        <v>Yellow</v>
      </c>
      <c r="BC1" s="1008"/>
      <c r="BD1" s="326">
        <v>2</v>
      </c>
    </row>
    <row r="2" spans="1:56" ht="15" customHeight="1" thickBot="1" x14ac:dyDescent="0.35">
      <c r="A2" s="1018"/>
      <c r="B2" s="1018"/>
      <c r="C2" s="1018"/>
      <c r="D2" s="1018"/>
      <c r="E2" s="1018"/>
      <c r="F2" s="1018"/>
      <c r="G2" s="1018"/>
      <c r="H2" s="1018"/>
      <c r="I2" s="1009" t="s">
        <v>181</v>
      </c>
      <c r="J2" s="1009"/>
      <c r="K2" s="1009"/>
      <c r="L2" s="1010" t="s">
        <v>184</v>
      </c>
      <c r="M2" s="1010"/>
      <c r="N2" s="1011" t="s">
        <v>175</v>
      </c>
      <c r="O2" s="1011"/>
      <c r="P2" s="1011"/>
      <c r="Q2" s="1018"/>
      <c r="R2" s="1018"/>
      <c r="S2" s="1018"/>
      <c r="T2" s="1018"/>
      <c r="U2" s="1018"/>
      <c r="V2" s="1018"/>
      <c r="W2" s="1018"/>
      <c r="X2" s="1018"/>
      <c r="Y2" s="1018"/>
      <c r="Z2" s="1012" t="s">
        <v>181</v>
      </c>
      <c r="AA2" s="1012"/>
      <c r="AB2" s="327" t="str">
        <f>IF(ISBLANK(IGRF!$L$3), "", "GAME " &amp; IGRF!$L$3)</f>
        <v/>
      </c>
      <c r="AC2" s="1018"/>
      <c r="AD2" s="1018"/>
      <c r="AE2" s="1018"/>
      <c r="AF2" s="1018"/>
      <c r="AG2" s="1018"/>
      <c r="AH2" s="1018"/>
      <c r="AI2" s="1018"/>
      <c r="AJ2" s="1018"/>
      <c r="AK2" s="1009" t="s">
        <v>181</v>
      </c>
      <c r="AL2" s="1009"/>
      <c r="AM2" s="1009"/>
      <c r="AN2" s="1010" t="s">
        <v>184</v>
      </c>
      <c r="AO2" s="1010"/>
      <c r="AP2" s="1011" t="s">
        <v>175</v>
      </c>
      <c r="AQ2" s="1011"/>
      <c r="AR2" s="1011"/>
      <c r="AS2" s="1018"/>
      <c r="AT2" s="1018"/>
      <c r="AU2" s="1018"/>
      <c r="AV2" s="1018"/>
      <c r="AW2" s="1018"/>
      <c r="AX2" s="1018"/>
      <c r="AY2" s="1018"/>
      <c r="AZ2" s="1018"/>
      <c r="BA2" s="1018"/>
      <c r="BB2" s="1012" t="s">
        <v>181</v>
      </c>
      <c r="BC2" s="1012"/>
      <c r="BD2" s="327" t="str">
        <f>AB2</f>
        <v/>
      </c>
    </row>
    <row r="3" spans="1:56" s="13" customFormat="1" ht="15" customHeight="1" thickBot="1" x14ac:dyDescent="0.3">
      <c r="A3" s="677" t="s">
        <v>109</v>
      </c>
      <c r="B3" s="1023" t="s">
        <v>273</v>
      </c>
      <c r="C3" s="1023"/>
      <c r="D3" s="1023"/>
      <c r="E3" s="1023"/>
      <c r="F3" s="1023"/>
      <c r="G3" s="1023"/>
      <c r="H3" s="1023"/>
      <c r="I3" s="1023"/>
      <c r="J3" s="1023"/>
      <c r="K3" s="678" t="s">
        <v>110</v>
      </c>
      <c r="L3" s="679" t="s">
        <v>74</v>
      </c>
      <c r="M3" s="1023" t="s">
        <v>173</v>
      </c>
      <c r="N3" s="1023"/>
      <c r="O3" s="1023"/>
      <c r="P3" s="679" t="s">
        <v>109</v>
      </c>
      <c r="Q3" s="1023" t="s">
        <v>273</v>
      </c>
      <c r="R3" s="1023"/>
      <c r="S3" s="1023"/>
      <c r="T3" s="1023"/>
      <c r="U3" s="1023"/>
      <c r="V3" s="1023"/>
      <c r="W3" s="1023"/>
      <c r="X3" s="1023"/>
      <c r="Y3" s="1023"/>
      <c r="Z3" s="678" t="s">
        <v>110</v>
      </c>
      <c r="AA3" s="680" t="s">
        <v>74</v>
      </c>
      <c r="AB3" s="12" t="s">
        <v>171</v>
      </c>
      <c r="AC3" s="325" t="s">
        <v>109</v>
      </c>
      <c r="AD3" s="1022" t="s">
        <v>273</v>
      </c>
      <c r="AE3" s="1022"/>
      <c r="AF3" s="1022"/>
      <c r="AG3" s="1022"/>
      <c r="AH3" s="1022"/>
      <c r="AI3" s="1022"/>
      <c r="AJ3" s="1022"/>
      <c r="AK3" s="1022"/>
      <c r="AL3" s="1022"/>
      <c r="AM3" s="198" t="s">
        <v>110</v>
      </c>
      <c r="AN3" s="324" t="s">
        <v>74</v>
      </c>
      <c r="AO3" s="1022" t="s">
        <v>173</v>
      </c>
      <c r="AP3" s="1022"/>
      <c r="AQ3" s="1022"/>
      <c r="AR3" s="324" t="s">
        <v>109</v>
      </c>
      <c r="AS3" s="1022" t="s">
        <v>273</v>
      </c>
      <c r="AT3" s="1022"/>
      <c r="AU3" s="1022"/>
      <c r="AV3" s="1022"/>
      <c r="AW3" s="1022"/>
      <c r="AX3" s="1022"/>
      <c r="AY3" s="1022"/>
      <c r="AZ3" s="1022"/>
      <c r="BA3" s="1022"/>
      <c r="BB3" s="198" t="s">
        <v>110</v>
      </c>
      <c r="BC3" s="324" t="s">
        <v>74</v>
      </c>
      <c r="BD3" s="12" t="s">
        <v>171</v>
      </c>
    </row>
    <row r="4" spans="1:56" ht="19.05" customHeight="1" thickBot="1" x14ac:dyDescent="0.35">
      <c r="A4" s="1019" t="str">
        <f>IF(IGRF!B14="","",IGRF!B14)</f>
        <v>101</v>
      </c>
      <c r="B4" s="174" t="s">
        <v>117</v>
      </c>
      <c r="C4" s="175"/>
      <c r="D4" s="175"/>
      <c r="E4" s="175"/>
      <c r="F4" s="175"/>
      <c r="G4" s="328"/>
      <c r="H4" s="329"/>
      <c r="I4" s="330"/>
      <c r="J4" s="176"/>
      <c r="K4" s="675"/>
      <c r="L4" s="994">
        <f>IF(COUNTA(B4:J4)=0,"",COUNTA(B4:J4))</f>
        <v>1</v>
      </c>
      <c r="M4" s="1013">
        <v>1</v>
      </c>
      <c r="N4" s="1014"/>
      <c r="O4" s="1015"/>
      <c r="P4" s="1019" t="str">
        <f>IF(IGRF!I14="","",IGRF!I14)</f>
        <v>12</v>
      </c>
      <c r="Q4" s="174"/>
      <c r="R4" s="175"/>
      <c r="S4" s="175"/>
      <c r="T4" s="175"/>
      <c r="U4" s="175"/>
      <c r="V4" s="328"/>
      <c r="W4" s="329"/>
      <c r="X4" s="330"/>
      <c r="Y4" s="176"/>
      <c r="Z4" s="675"/>
      <c r="AA4" s="1000" t="str">
        <f>IF(COUNTA(Q4:Y4)=0,"",COUNTA(Q4:Y4))</f>
        <v/>
      </c>
      <c r="AB4" s="528" t="s">
        <v>128</v>
      </c>
      <c r="AC4" s="1020" t="str">
        <f>IF(IGRF!B14="","",IGRF!B14)</f>
        <v>101</v>
      </c>
      <c r="AD4" s="670"/>
      <c r="AE4" s="175" t="s">
        <v>117</v>
      </c>
      <c r="AF4" s="175" t="s">
        <v>115</v>
      </c>
      <c r="AG4" s="175" t="s">
        <v>430</v>
      </c>
      <c r="AH4" s="175" t="s">
        <v>430</v>
      </c>
      <c r="AI4" s="328"/>
      <c r="AJ4" s="329"/>
      <c r="AK4" s="330"/>
      <c r="AL4" s="176"/>
      <c r="AM4" s="675"/>
      <c r="AN4" s="994">
        <f>IF(COUNTA(AD4:AL4)=0,"",COUNTA(AD4:AL4))</f>
        <v>4</v>
      </c>
      <c r="AO4" s="1013">
        <v>1</v>
      </c>
      <c r="AP4" s="1014"/>
      <c r="AQ4" s="1015"/>
      <c r="AR4" s="1016" t="str">
        <f>IF(IGRF!I14="","",IGRF!I14)</f>
        <v>12</v>
      </c>
      <c r="AS4" s="174" t="s">
        <v>114</v>
      </c>
      <c r="AT4" s="175" t="s">
        <v>114</v>
      </c>
      <c r="AU4" s="175" t="s">
        <v>114</v>
      </c>
      <c r="AV4" s="175"/>
      <c r="AW4" s="175"/>
      <c r="AX4" s="328"/>
      <c r="AY4" s="329"/>
      <c r="AZ4" s="330"/>
      <c r="BA4" s="176"/>
      <c r="BB4" s="675"/>
      <c r="BC4" s="994">
        <f>IF(COUNTA(AS4:BA4)=0,"",COUNTA(AS4:BA4))</f>
        <v>3</v>
      </c>
      <c r="BD4" s="528" t="s">
        <v>128</v>
      </c>
    </row>
    <row r="5" spans="1:56" ht="19.05" customHeight="1" thickBot="1" x14ac:dyDescent="0.35">
      <c r="A5" s="999"/>
      <c r="B5" s="177">
        <v>17</v>
      </c>
      <c r="C5" s="178"/>
      <c r="D5" s="178"/>
      <c r="E5" s="178"/>
      <c r="F5" s="178"/>
      <c r="G5" s="331"/>
      <c r="H5" s="332"/>
      <c r="I5" s="333"/>
      <c r="J5" s="179"/>
      <c r="K5" s="676"/>
      <c r="L5" s="995"/>
      <c r="M5" s="997">
        <v>2</v>
      </c>
      <c r="N5" s="986"/>
      <c r="O5" s="987"/>
      <c r="P5" s="999"/>
      <c r="Q5" s="177"/>
      <c r="R5" s="178"/>
      <c r="S5" s="178"/>
      <c r="T5" s="178"/>
      <c r="U5" s="178"/>
      <c r="V5" s="331"/>
      <c r="W5" s="332"/>
      <c r="X5" s="333"/>
      <c r="Y5" s="179"/>
      <c r="Z5" s="676"/>
      <c r="AA5" s="1001"/>
      <c r="AB5" s="654" t="s">
        <v>129</v>
      </c>
      <c r="AC5" s="1021"/>
      <c r="AD5" s="671"/>
      <c r="AE5" s="178">
        <v>4</v>
      </c>
      <c r="AF5" s="178">
        <v>6</v>
      </c>
      <c r="AG5" s="178">
        <v>9</v>
      </c>
      <c r="AH5" s="178">
        <v>14</v>
      </c>
      <c r="AI5" s="331"/>
      <c r="AJ5" s="332"/>
      <c r="AK5" s="333"/>
      <c r="AL5" s="179"/>
      <c r="AM5" s="676"/>
      <c r="AN5" s="995"/>
      <c r="AO5" s="997">
        <v>2</v>
      </c>
      <c r="AP5" s="986"/>
      <c r="AQ5" s="987"/>
      <c r="AR5" s="996"/>
      <c r="AS5" s="177">
        <v>5</v>
      </c>
      <c r="AT5" s="178">
        <v>9</v>
      </c>
      <c r="AU5" s="178">
        <v>16</v>
      </c>
      <c r="AV5" s="178"/>
      <c r="AW5" s="178"/>
      <c r="AX5" s="331"/>
      <c r="AY5" s="332"/>
      <c r="AZ5" s="333"/>
      <c r="BA5" s="179"/>
      <c r="BB5" s="676"/>
      <c r="BC5" s="995"/>
      <c r="BD5" s="535" t="s">
        <v>129</v>
      </c>
    </row>
    <row r="6" spans="1:56" ht="19.05" customHeight="1" x14ac:dyDescent="0.3">
      <c r="A6" s="988" t="str">
        <f>IF(IGRF!B15="","",IGRF!B15)</f>
        <v>123</v>
      </c>
      <c r="B6" s="180"/>
      <c r="C6" s="181"/>
      <c r="D6" s="181"/>
      <c r="E6" s="181"/>
      <c r="F6" s="181"/>
      <c r="G6" s="182"/>
      <c r="H6" s="334"/>
      <c r="I6" s="335"/>
      <c r="J6" s="183"/>
      <c r="K6" s="675"/>
      <c r="L6" s="980" t="str">
        <f>IF(COUNTA(B6:J6)=0,"",COUNTA(B6:J6))</f>
        <v/>
      </c>
      <c r="M6" s="982">
        <v>3</v>
      </c>
      <c r="N6" s="972"/>
      <c r="O6" s="973">
        <v>3</v>
      </c>
      <c r="P6" s="988" t="str">
        <f>IF(IGRF!I15="","",IGRF!I15)</f>
        <v>16</v>
      </c>
      <c r="Q6" s="180"/>
      <c r="R6" s="181"/>
      <c r="S6" s="181"/>
      <c r="T6" s="181"/>
      <c r="U6" s="181"/>
      <c r="V6" s="182"/>
      <c r="W6" s="334"/>
      <c r="X6" s="335"/>
      <c r="Y6" s="183"/>
      <c r="Z6" s="675"/>
      <c r="AA6" s="990" t="str">
        <f>IF(COUNTA(Q6:Y6)=0,"",COUNTA(Q6:Y6))</f>
        <v/>
      </c>
      <c r="AB6" s="654" t="s">
        <v>102</v>
      </c>
      <c r="AC6" s="992" t="str">
        <f>IF(IGRF!B15="","",IGRF!B15)</f>
        <v>123</v>
      </c>
      <c r="AD6" s="672"/>
      <c r="AE6" s="181"/>
      <c r="AF6" s="181"/>
      <c r="AG6" s="181"/>
      <c r="AH6" s="181"/>
      <c r="AI6" s="182"/>
      <c r="AJ6" s="334"/>
      <c r="AK6" s="335"/>
      <c r="AL6" s="183"/>
      <c r="AM6" s="675"/>
      <c r="AN6" s="980" t="str">
        <f>IF(COUNTA(AD6:AL6)=0,"",COUNTA(AD6:AL6))</f>
        <v/>
      </c>
      <c r="AO6" s="982">
        <v>3</v>
      </c>
      <c r="AP6" s="972"/>
      <c r="AQ6" s="973"/>
      <c r="AR6" s="983" t="str">
        <f>IF(IGRF!I15="","",IGRF!I15)</f>
        <v>16</v>
      </c>
      <c r="AS6" s="180"/>
      <c r="AT6" s="181"/>
      <c r="AU6" s="181"/>
      <c r="AV6" s="181"/>
      <c r="AW6" s="181"/>
      <c r="AX6" s="182"/>
      <c r="AY6" s="334"/>
      <c r="AZ6" s="335"/>
      <c r="BA6" s="183"/>
      <c r="BB6" s="675"/>
      <c r="BC6" s="980" t="str">
        <f>IF(COUNTA(AS6:BA6)=0,"",COUNTA(AS6:BA6))</f>
        <v/>
      </c>
      <c r="BD6" s="535" t="s">
        <v>102</v>
      </c>
    </row>
    <row r="7" spans="1:56" ht="19.05" customHeight="1" thickBot="1" x14ac:dyDescent="0.35">
      <c r="A7" s="1005"/>
      <c r="B7" s="202"/>
      <c r="C7" s="184"/>
      <c r="D7" s="184"/>
      <c r="E7" s="184"/>
      <c r="F7" s="184"/>
      <c r="G7" s="185"/>
      <c r="H7" s="336"/>
      <c r="I7" s="337"/>
      <c r="J7" s="203"/>
      <c r="K7" s="676"/>
      <c r="L7" s="1003"/>
      <c r="M7" s="997">
        <v>4</v>
      </c>
      <c r="N7" s="986"/>
      <c r="O7" s="987">
        <v>4</v>
      </c>
      <c r="P7" s="1005"/>
      <c r="Q7" s="202"/>
      <c r="R7" s="184"/>
      <c r="S7" s="184"/>
      <c r="T7" s="184"/>
      <c r="U7" s="184"/>
      <c r="V7" s="185"/>
      <c r="W7" s="336"/>
      <c r="X7" s="337"/>
      <c r="Y7" s="203"/>
      <c r="Z7" s="676"/>
      <c r="AA7" s="1003"/>
      <c r="AB7" s="527" t="s">
        <v>58</v>
      </c>
      <c r="AC7" s="1007"/>
      <c r="AD7" s="673"/>
      <c r="AE7" s="184"/>
      <c r="AF7" s="184"/>
      <c r="AG7" s="184"/>
      <c r="AH7" s="184"/>
      <c r="AI7" s="185"/>
      <c r="AJ7" s="336"/>
      <c r="AK7" s="337"/>
      <c r="AL7" s="203"/>
      <c r="AM7" s="676"/>
      <c r="AN7" s="1003"/>
      <c r="AO7" s="997">
        <v>4</v>
      </c>
      <c r="AP7" s="986"/>
      <c r="AQ7" s="987"/>
      <c r="AR7" s="1004"/>
      <c r="AS7" s="202"/>
      <c r="AT7" s="184"/>
      <c r="AU7" s="184"/>
      <c r="AV7" s="184"/>
      <c r="AW7" s="184"/>
      <c r="AX7" s="185"/>
      <c r="AY7" s="336"/>
      <c r="AZ7" s="337"/>
      <c r="BA7" s="203"/>
      <c r="BB7" s="676"/>
      <c r="BC7" s="1003"/>
      <c r="BD7" s="527" t="s">
        <v>58</v>
      </c>
    </row>
    <row r="8" spans="1:56" ht="19.05" customHeight="1" thickBot="1" x14ac:dyDescent="0.35">
      <c r="A8" s="998" t="str">
        <f>IF(IGRF!B16="","",IGRF!B16)</f>
        <v>1760</v>
      </c>
      <c r="B8" s="174" t="s">
        <v>430</v>
      </c>
      <c r="C8" s="175" t="s">
        <v>128</v>
      </c>
      <c r="D8" s="175" t="s">
        <v>117</v>
      </c>
      <c r="E8" s="175"/>
      <c r="F8" s="175"/>
      <c r="G8" s="328"/>
      <c r="H8" s="329"/>
      <c r="I8" s="330"/>
      <c r="J8" s="176"/>
      <c r="K8" s="675"/>
      <c r="L8" s="994">
        <f>IF(COUNTA(B8:J8)=0,"",COUNTA(B8:J8))</f>
        <v>3</v>
      </c>
      <c r="M8" s="982">
        <v>5</v>
      </c>
      <c r="N8" s="972"/>
      <c r="O8" s="973">
        <v>5</v>
      </c>
      <c r="P8" s="998" t="str">
        <f>IF(IGRF!I16="","",IGRF!I16)</f>
        <v>17</v>
      </c>
      <c r="Q8" s="174"/>
      <c r="R8" s="175"/>
      <c r="S8" s="175"/>
      <c r="T8" s="175"/>
      <c r="U8" s="175"/>
      <c r="V8" s="328"/>
      <c r="W8" s="329"/>
      <c r="X8" s="330"/>
      <c r="Y8" s="176"/>
      <c r="Z8" s="675"/>
      <c r="AA8" s="994" t="str">
        <f>IF(COUNTA(Q8:Y8)=0,"",COUNTA(Q8:Y8))</f>
        <v/>
      </c>
      <c r="AB8" s="655" t="s">
        <v>119</v>
      </c>
      <c r="AC8" s="1002" t="str">
        <f>IF(IGRF!B16="","",IGRF!B16)</f>
        <v>1760</v>
      </c>
      <c r="AD8" s="670"/>
      <c r="AE8" s="175"/>
      <c r="AF8" s="175"/>
      <c r="AG8" s="175"/>
      <c r="AH8" s="175"/>
      <c r="AI8" s="328"/>
      <c r="AJ8" s="329"/>
      <c r="AK8" s="330"/>
      <c r="AL8" s="176"/>
      <c r="AM8" s="675"/>
      <c r="AN8" s="994" t="str">
        <f>IF(COUNTA(AD8:AL8)=0,"",COUNTA(AD8:AL8))</f>
        <v/>
      </c>
      <c r="AO8" s="982">
        <v>5</v>
      </c>
      <c r="AP8" s="972"/>
      <c r="AQ8" s="973"/>
      <c r="AR8" s="996" t="str">
        <f>IF(IGRF!I16="","",IGRF!I16)</f>
        <v>17</v>
      </c>
      <c r="AS8" s="174" t="s">
        <v>430</v>
      </c>
      <c r="AT8" s="175"/>
      <c r="AU8" s="175"/>
      <c r="AV8" s="175"/>
      <c r="AW8" s="175"/>
      <c r="AX8" s="328"/>
      <c r="AY8" s="329"/>
      <c r="AZ8" s="330"/>
      <c r="BA8" s="176"/>
      <c r="BB8" s="675"/>
      <c r="BC8" s="994">
        <f>IF(COUNTA(AS8:BA8)=0,"",COUNTA(AS8:BA8))</f>
        <v>1</v>
      </c>
      <c r="BD8" s="538" t="s">
        <v>119</v>
      </c>
    </row>
    <row r="9" spans="1:56" ht="19.05" customHeight="1" thickBot="1" x14ac:dyDescent="0.35">
      <c r="A9" s="999"/>
      <c r="B9" s="177">
        <v>7</v>
      </c>
      <c r="C9" s="178">
        <v>19</v>
      </c>
      <c r="D9" s="178">
        <v>19</v>
      </c>
      <c r="E9" s="178"/>
      <c r="F9" s="178"/>
      <c r="G9" s="331"/>
      <c r="H9" s="332"/>
      <c r="I9" s="333"/>
      <c r="J9" s="179"/>
      <c r="K9" s="676"/>
      <c r="L9" s="995"/>
      <c r="M9" s="997">
        <v>6</v>
      </c>
      <c r="N9" s="986"/>
      <c r="O9" s="987">
        <v>6</v>
      </c>
      <c r="P9" s="999"/>
      <c r="Q9" s="177"/>
      <c r="R9" s="178"/>
      <c r="S9" s="178"/>
      <c r="T9" s="178"/>
      <c r="U9" s="178"/>
      <c r="V9" s="331"/>
      <c r="W9" s="332"/>
      <c r="X9" s="333"/>
      <c r="Y9" s="179"/>
      <c r="Z9" s="676"/>
      <c r="AA9" s="995"/>
      <c r="AB9" s="656" t="s">
        <v>120</v>
      </c>
      <c r="AC9" s="1002"/>
      <c r="AD9" s="671"/>
      <c r="AE9" s="178"/>
      <c r="AF9" s="178"/>
      <c r="AG9" s="178"/>
      <c r="AH9" s="178"/>
      <c r="AI9" s="331"/>
      <c r="AJ9" s="332"/>
      <c r="AK9" s="333"/>
      <c r="AL9" s="179"/>
      <c r="AM9" s="676"/>
      <c r="AN9" s="995"/>
      <c r="AO9" s="997">
        <v>6</v>
      </c>
      <c r="AP9" s="986"/>
      <c r="AQ9" s="987"/>
      <c r="AR9" s="996"/>
      <c r="AS9" s="177">
        <v>1</v>
      </c>
      <c r="AT9" s="178"/>
      <c r="AU9" s="178"/>
      <c r="AV9" s="178"/>
      <c r="AW9" s="178"/>
      <c r="AX9" s="331"/>
      <c r="AY9" s="332"/>
      <c r="AZ9" s="333"/>
      <c r="BA9" s="179"/>
      <c r="BB9" s="676"/>
      <c r="BC9" s="995"/>
      <c r="BD9" s="539" t="s">
        <v>120</v>
      </c>
    </row>
    <row r="10" spans="1:56" ht="19.05" customHeight="1" x14ac:dyDescent="0.3">
      <c r="A10" s="988" t="str">
        <f>IF(IGRF!B17="","",IGRF!B17)</f>
        <v>202</v>
      </c>
      <c r="B10" s="180" t="s">
        <v>119</v>
      </c>
      <c r="C10" s="181"/>
      <c r="D10" s="181"/>
      <c r="E10" s="181"/>
      <c r="F10" s="181"/>
      <c r="G10" s="182"/>
      <c r="H10" s="334"/>
      <c r="I10" s="335"/>
      <c r="J10" s="183"/>
      <c r="K10" s="675"/>
      <c r="L10" s="980">
        <f>IF(COUNTA(B10:J10)=0,"",COUNTA(B10:J10))</f>
        <v>1</v>
      </c>
      <c r="M10" s="982">
        <v>7</v>
      </c>
      <c r="N10" s="972"/>
      <c r="O10" s="973">
        <v>7</v>
      </c>
      <c r="P10" s="988" t="str">
        <f>IF(IGRF!I17="","",IGRF!I17)</f>
        <v>2</v>
      </c>
      <c r="Q10" s="180"/>
      <c r="R10" s="181"/>
      <c r="S10" s="181"/>
      <c r="T10" s="181"/>
      <c r="U10" s="181"/>
      <c r="V10" s="182"/>
      <c r="W10" s="334"/>
      <c r="X10" s="335"/>
      <c r="Y10" s="183"/>
      <c r="Z10" s="675"/>
      <c r="AA10" s="980" t="str">
        <f>IF(COUNTA(Q10:Y10)=0,"",COUNTA(Q10:Y10))</f>
        <v/>
      </c>
      <c r="AB10" s="657" t="s">
        <v>111</v>
      </c>
      <c r="AC10" s="992" t="str">
        <f>IF(IGRF!B17="","",IGRF!B17)</f>
        <v>202</v>
      </c>
      <c r="AD10" s="672"/>
      <c r="AE10" s="181"/>
      <c r="AF10" s="181"/>
      <c r="AG10" s="181"/>
      <c r="AH10" s="181"/>
      <c r="AI10" s="182"/>
      <c r="AJ10" s="334"/>
      <c r="AK10" s="335"/>
      <c r="AL10" s="183"/>
      <c r="AM10" s="675"/>
      <c r="AN10" s="980" t="str">
        <f>IF(COUNTA(AD10:AL10)=0,"",COUNTA(AD10:AL10))</f>
        <v/>
      </c>
      <c r="AO10" s="982">
        <v>7</v>
      </c>
      <c r="AP10" s="972"/>
      <c r="AQ10" s="973"/>
      <c r="AR10" s="983" t="str">
        <f>IF(IGRF!I17="","",IGRF!I17)</f>
        <v>2</v>
      </c>
      <c r="AS10" s="180" t="s">
        <v>430</v>
      </c>
      <c r="AT10" s="181"/>
      <c r="AU10" s="181"/>
      <c r="AV10" s="181"/>
      <c r="AW10" s="181"/>
      <c r="AX10" s="182"/>
      <c r="AY10" s="334"/>
      <c r="AZ10" s="335"/>
      <c r="BA10" s="183"/>
      <c r="BB10" s="675"/>
      <c r="BC10" s="980">
        <f>IF(COUNTA(AS10:BA10)=0,"",COUNTA(AS10:BA10))</f>
        <v>1</v>
      </c>
      <c r="BD10" s="540" t="s">
        <v>111</v>
      </c>
    </row>
    <row r="11" spans="1:56" ht="19.05" customHeight="1" thickBot="1" x14ac:dyDescent="0.35">
      <c r="A11" s="1005"/>
      <c r="B11" s="202">
        <v>4</v>
      </c>
      <c r="C11" s="184"/>
      <c r="D11" s="184"/>
      <c r="E11" s="184"/>
      <c r="F11" s="184"/>
      <c r="G11" s="185"/>
      <c r="H11" s="336"/>
      <c r="I11" s="337"/>
      <c r="J11" s="203"/>
      <c r="K11" s="676"/>
      <c r="L11" s="1003"/>
      <c r="M11" s="997">
        <v>8</v>
      </c>
      <c r="N11" s="986"/>
      <c r="O11" s="987">
        <v>8</v>
      </c>
      <c r="P11" s="1005"/>
      <c r="Q11" s="202"/>
      <c r="R11" s="184"/>
      <c r="S11" s="184"/>
      <c r="T11" s="184"/>
      <c r="U11" s="184"/>
      <c r="V11" s="185"/>
      <c r="W11" s="336"/>
      <c r="X11" s="337"/>
      <c r="Y11" s="203"/>
      <c r="Z11" s="676"/>
      <c r="AA11" s="1003"/>
      <c r="AB11" s="656" t="s">
        <v>112</v>
      </c>
      <c r="AC11" s="1007"/>
      <c r="AD11" s="673"/>
      <c r="AE11" s="184"/>
      <c r="AF11" s="184"/>
      <c r="AG11" s="184"/>
      <c r="AH11" s="184"/>
      <c r="AI11" s="185"/>
      <c r="AJ11" s="336"/>
      <c r="AK11" s="337"/>
      <c r="AL11" s="203"/>
      <c r="AM11" s="676"/>
      <c r="AN11" s="1003"/>
      <c r="AO11" s="997">
        <v>8</v>
      </c>
      <c r="AP11" s="986"/>
      <c r="AQ11" s="987"/>
      <c r="AR11" s="1004"/>
      <c r="AS11" s="202">
        <v>16</v>
      </c>
      <c r="AT11" s="184"/>
      <c r="AU11" s="184"/>
      <c r="AV11" s="184"/>
      <c r="AW11" s="184"/>
      <c r="AX11" s="185"/>
      <c r="AY11" s="336"/>
      <c r="AZ11" s="337"/>
      <c r="BA11" s="203"/>
      <c r="BB11" s="676"/>
      <c r="BC11" s="1003"/>
      <c r="BD11" s="539" t="s">
        <v>112</v>
      </c>
    </row>
    <row r="12" spans="1:56" ht="19.05" customHeight="1" thickBot="1" x14ac:dyDescent="0.35">
      <c r="A12" s="998" t="str">
        <f>IF(IGRF!B18="","",IGRF!B18)</f>
        <v>22</v>
      </c>
      <c r="B12" s="174"/>
      <c r="C12" s="175"/>
      <c r="D12" s="175"/>
      <c r="E12" s="175"/>
      <c r="F12" s="175"/>
      <c r="G12" s="328"/>
      <c r="H12" s="329"/>
      <c r="I12" s="330"/>
      <c r="J12" s="176"/>
      <c r="K12" s="675"/>
      <c r="L12" s="994" t="str">
        <f>IF(COUNTA(B12:J12)=0,"",COUNTA(B12:J12))</f>
        <v/>
      </c>
      <c r="M12" s="982">
        <v>9</v>
      </c>
      <c r="N12" s="972"/>
      <c r="O12" s="973">
        <v>9</v>
      </c>
      <c r="P12" s="998" t="str">
        <f>IF(IGRF!I18="","",IGRF!I18)</f>
        <v>219</v>
      </c>
      <c r="Q12" s="174"/>
      <c r="R12" s="175"/>
      <c r="S12" s="175"/>
      <c r="T12" s="175"/>
      <c r="U12" s="175"/>
      <c r="V12" s="328"/>
      <c r="W12" s="329"/>
      <c r="X12" s="330"/>
      <c r="Y12" s="176"/>
      <c r="Z12" s="675"/>
      <c r="AA12" s="994" t="str">
        <f>IF(COUNTA(Q12:Y12)=0,"",COUNTA(Q12:Y12))</f>
        <v/>
      </c>
      <c r="AB12" s="657" t="s">
        <v>122</v>
      </c>
      <c r="AC12" s="1002" t="str">
        <f>IF(IGRF!B18="","",IGRF!B18)</f>
        <v>22</v>
      </c>
      <c r="AD12" s="670"/>
      <c r="AE12" s="175"/>
      <c r="AF12" s="175"/>
      <c r="AG12" s="175"/>
      <c r="AH12" s="175"/>
      <c r="AI12" s="328"/>
      <c r="AJ12" s="329"/>
      <c r="AK12" s="330"/>
      <c r="AL12" s="176"/>
      <c r="AM12" s="675"/>
      <c r="AN12" s="994" t="str">
        <f>IF(COUNTA(AD12:AL12)=0,"",COUNTA(AD12:AL12))</f>
        <v/>
      </c>
      <c r="AO12" s="982">
        <v>9</v>
      </c>
      <c r="AP12" s="972"/>
      <c r="AQ12" s="973"/>
      <c r="AR12" s="996" t="str">
        <f>IF(IGRF!I18="","",IGRF!I18)</f>
        <v>219</v>
      </c>
      <c r="AS12" s="174" t="s">
        <v>125</v>
      </c>
      <c r="AT12" s="175"/>
      <c r="AU12" s="175"/>
      <c r="AV12" s="175"/>
      <c r="AW12" s="175"/>
      <c r="AX12" s="328"/>
      <c r="AY12" s="329"/>
      <c r="AZ12" s="330"/>
      <c r="BA12" s="176"/>
      <c r="BB12" s="675"/>
      <c r="BC12" s="994">
        <f>IF(COUNTA(AS12:BA12)=0,"",COUNTA(AS12:BA12))</f>
        <v>1</v>
      </c>
      <c r="BD12" s="540" t="s">
        <v>122</v>
      </c>
    </row>
    <row r="13" spans="1:56" ht="19.05" customHeight="1" thickBot="1" x14ac:dyDescent="0.35">
      <c r="A13" s="999"/>
      <c r="B13" s="177"/>
      <c r="C13" s="178"/>
      <c r="D13" s="178"/>
      <c r="E13" s="178"/>
      <c r="F13" s="178"/>
      <c r="G13" s="331"/>
      <c r="H13" s="332"/>
      <c r="I13" s="333"/>
      <c r="J13" s="179"/>
      <c r="K13" s="676"/>
      <c r="L13" s="995"/>
      <c r="M13" s="997">
        <v>10</v>
      </c>
      <c r="N13" s="986"/>
      <c r="O13" s="987">
        <v>10</v>
      </c>
      <c r="P13" s="999"/>
      <c r="Q13" s="177"/>
      <c r="R13" s="178"/>
      <c r="S13" s="178"/>
      <c r="T13" s="178"/>
      <c r="U13" s="178"/>
      <c r="V13" s="331"/>
      <c r="W13" s="332"/>
      <c r="X13" s="333"/>
      <c r="Y13" s="179"/>
      <c r="Z13" s="676"/>
      <c r="AA13" s="995"/>
      <c r="AB13" s="656" t="s">
        <v>123</v>
      </c>
      <c r="AC13" s="1002"/>
      <c r="AD13" s="671"/>
      <c r="AE13" s="178"/>
      <c r="AF13" s="178"/>
      <c r="AG13" s="178"/>
      <c r="AH13" s="178"/>
      <c r="AI13" s="331"/>
      <c r="AJ13" s="332"/>
      <c r="AK13" s="333"/>
      <c r="AL13" s="179"/>
      <c r="AM13" s="676"/>
      <c r="AN13" s="995"/>
      <c r="AO13" s="997">
        <v>10</v>
      </c>
      <c r="AP13" s="986"/>
      <c r="AQ13" s="987"/>
      <c r="AR13" s="996"/>
      <c r="AS13" s="177">
        <v>11</v>
      </c>
      <c r="AT13" s="178"/>
      <c r="AU13" s="178"/>
      <c r="AV13" s="178"/>
      <c r="AW13" s="178"/>
      <c r="AX13" s="331"/>
      <c r="AY13" s="332"/>
      <c r="AZ13" s="333"/>
      <c r="BA13" s="179"/>
      <c r="BB13" s="676"/>
      <c r="BC13" s="995"/>
      <c r="BD13" s="539" t="s">
        <v>123</v>
      </c>
    </row>
    <row r="14" spans="1:56" ht="19.05" customHeight="1" x14ac:dyDescent="0.3">
      <c r="A14" s="988" t="str">
        <f>IF(IGRF!B19="","",IGRF!B19)</f>
        <v>221*</v>
      </c>
      <c r="B14" s="180"/>
      <c r="C14" s="181"/>
      <c r="D14" s="181"/>
      <c r="E14" s="181"/>
      <c r="F14" s="181"/>
      <c r="G14" s="182"/>
      <c r="H14" s="334"/>
      <c r="I14" s="335"/>
      <c r="J14" s="183"/>
      <c r="K14" s="675"/>
      <c r="L14" s="980" t="str">
        <f>IF(COUNTA(B14:J14)=0,"",COUNTA(B14:J14))</f>
        <v/>
      </c>
      <c r="M14" s="982">
        <v>11</v>
      </c>
      <c r="N14" s="972"/>
      <c r="O14" s="973">
        <v>11</v>
      </c>
      <c r="P14" s="988" t="str">
        <f>IF(IGRF!I19="","",IGRF!I19)</f>
        <v>22</v>
      </c>
      <c r="Q14" s="180" t="s">
        <v>430</v>
      </c>
      <c r="R14" s="181"/>
      <c r="S14" s="181"/>
      <c r="T14" s="181"/>
      <c r="U14" s="181"/>
      <c r="V14" s="182"/>
      <c r="W14" s="334"/>
      <c r="X14" s="335"/>
      <c r="Y14" s="183"/>
      <c r="Z14" s="675"/>
      <c r="AA14" s="980">
        <f>IF(COUNTA(Q14:Y14)=0,"",COUNTA(Q14:Y14))</f>
        <v>1</v>
      </c>
      <c r="AB14" s="658" t="s">
        <v>116</v>
      </c>
      <c r="AC14" s="992" t="str">
        <f>IF(IGRF!B19="","",IGRF!B19)</f>
        <v>221*</v>
      </c>
      <c r="AD14" s="672"/>
      <c r="AE14" s="181"/>
      <c r="AF14" s="181"/>
      <c r="AG14" s="181"/>
      <c r="AH14" s="181"/>
      <c r="AI14" s="182"/>
      <c r="AJ14" s="334"/>
      <c r="AK14" s="335"/>
      <c r="AL14" s="183"/>
      <c r="AM14" s="675"/>
      <c r="AN14" s="980" t="str">
        <f>IF(COUNTA(AD14:AL14)=0,"",COUNTA(AD14:AL14))</f>
        <v/>
      </c>
      <c r="AO14" s="982">
        <v>11</v>
      </c>
      <c r="AP14" s="972"/>
      <c r="AQ14" s="973"/>
      <c r="AR14" s="983" t="str">
        <f>IF(IGRF!I19="","",IGRF!I19)</f>
        <v>22</v>
      </c>
      <c r="AS14" s="180"/>
      <c r="AT14" s="181" t="s">
        <v>430</v>
      </c>
      <c r="AU14" s="181"/>
      <c r="AV14" s="181"/>
      <c r="AW14" s="181"/>
      <c r="AX14" s="182"/>
      <c r="AY14" s="334"/>
      <c r="AZ14" s="335"/>
      <c r="BA14" s="183"/>
      <c r="BB14" s="675"/>
      <c r="BC14" s="980">
        <f>IF(COUNTA(AS14:BA14)=0,"",COUNTA(AS14:BA14))</f>
        <v>1</v>
      </c>
      <c r="BD14" s="529" t="s">
        <v>116</v>
      </c>
    </row>
    <row r="15" spans="1:56" ht="19.05" customHeight="1" thickBot="1" x14ac:dyDescent="0.35">
      <c r="A15" s="1005"/>
      <c r="B15" s="202"/>
      <c r="C15" s="184"/>
      <c r="D15" s="184"/>
      <c r="E15" s="184"/>
      <c r="F15" s="184"/>
      <c r="G15" s="185"/>
      <c r="H15" s="336"/>
      <c r="I15" s="337"/>
      <c r="J15" s="203"/>
      <c r="K15" s="676"/>
      <c r="L15" s="1003"/>
      <c r="M15" s="997">
        <v>12</v>
      </c>
      <c r="N15" s="986"/>
      <c r="O15" s="987">
        <v>12</v>
      </c>
      <c r="P15" s="1005"/>
      <c r="Q15" s="202">
        <v>7</v>
      </c>
      <c r="R15" s="184"/>
      <c r="S15" s="184"/>
      <c r="T15" s="184"/>
      <c r="U15" s="184"/>
      <c r="V15" s="185"/>
      <c r="W15" s="336"/>
      <c r="X15" s="337"/>
      <c r="Y15" s="203"/>
      <c r="Z15" s="676"/>
      <c r="AA15" s="1003"/>
      <c r="AB15" s="659" t="s">
        <v>411</v>
      </c>
      <c r="AC15" s="1007"/>
      <c r="AD15" s="673"/>
      <c r="AE15" s="184"/>
      <c r="AF15" s="184"/>
      <c r="AG15" s="184"/>
      <c r="AH15" s="184"/>
      <c r="AI15" s="185"/>
      <c r="AJ15" s="336"/>
      <c r="AK15" s="337"/>
      <c r="AL15" s="203"/>
      <c r="AM15" s="676"/>
      <c r="AN15" s="1003"/>
      <c r="AO15" s="997">
        <v>12</v>
      </c>
      <c r="AP15" s="986"/>
      <c r="AQ15" s="987"/>
      <c r="AR15" s="1004"/>
      <c r="AS15" s="202"/>
      <c r="AT15" s="184">
        <v>16</v>
      </c>
      <c r="AU15" s="184"/>
      <c r="AV15" s="184"/>
      <c r="AW15" s="184"/>
      <c r="AX15" s="185"/>
      <c r="AY15" s="336"/>
      <c r="AZ15" s="337"/>
      <c r="BA15" s="203"/>
      <c r="BB15" s="676"/>
      <c r="BC15" s="1003"/>
      <c r="BD15" s="534" t="s">
        <v>411</v>
      </c>
    </row>
    <row r="16" spans="1:56" ht="19.05" customHeight="1" thickBot="1" x14ac:dyDescent="0.35">
      <c r="A16" s="998" t="str">
        <f>IF(IGRF!B20="","",IGRF!B20)</f>
        <v>229</v>
      </c>
      <c r="B16" s="174" t="s">
        <v>114</v>
      </c>
      <c r="C16" s="175"/>
      <c r="D16" s="175"/>
      <c r="E16" s="175"/>
      <c r="F16" s="175"/>
      <c r="G16" s="328"/>
      <c r="H16" s="329"/>
      <c r="I16" s="330"/>
      <c r="J16" s="176"/>
      <c r="K16" s="675"/>
      <c r="L16" s="994">
        <f>IF(COUNTA(B16:J16)=0,"",COUNTA(B16:J16))</f>
        <v>1</v>
      </c>
      <c r="M16" s="982">
        <v>13</v>
      </c>
      <c r="N16" s="972"/>
      <c r="O16" s="973">
        <v>13</v>
      </c>
      <c r="P16" s="998" t="str">
        <f>IF(IGRF!I20="","",IGRF!I20)</f>
        <v>223</v>
      </c>
      <c r="Q16" s="174"/>
      <c r="R16" s="175"/>
      <c r="S16" s="175"/>
      <c r="T16" s="175"/>
      <c r="U16" s="175"/>
      <c r="V16" s="328"/>
      <c r="W16" s="329"/>
      <c r="X16" s="330"/>
      <c r="Y16" s="176"/>
      <c r="Z16" s="675"/>
      <c r="AA16" s="994" t="str">
        <f>IF(COUNTA(Q16:Y16)=0,"",COUNTA(Q16:Y16))</f>
        <v/>
      </c>
      <c r="AB16" s="658" t="s">
        <v>117</v>
      </c>
      <c r="AC16" s="1002" t="str">
        <f>IF(IGRF!B20="","",IGRF!B20)</f>
        <v>229</v>
      </c>
      <c r="AD16" s="670"/>
      <c r="AE16" s="175" t="s">
        <v>124</v>
      </c>
      <c r="AF16" s="175"/>
      <c r="AG16" s="175"/>
      <c r="AH16" s="175"/>
      <c r="AI16" s="328"/>
      <c r="AJ16" s="329"/>
      <c r="AK16" s="330"/>
      <c r="AL16" s="176"/>
      <c r="AM16" s="675"/>
      <c r="AN16" s="994">
        <f>IF(COUNTA(AD16:AL16)=0,"",COUNTA(AD16:AL16))</f>
        <v>1</v>
      </c>
      <c r="AO16" s="982">
        <v>13</v>
      </c>
      <c r="AP16" s="972"/>
      <c r="AQ16" s="973"/>
      <c r="AR16" s="996" t="str">
        <f>IF(IGRF!I20="","",IGRF!I20)</f>
        <v>223</v>
      </c>
      <c r="AS16" s="174"/>
      <c r="AT16" s="175"/>
      <c r="AU16" s="175"/>
      <c r="AV16" s="175"/>
      <c r="AW16" s="175"/>
      <c r="AX16" s="328"/>
      <c r="AY16" s="329"/>
      <c r="AZ16" s="330"/>
      <c r="BA16" s="176"/>
      <c r="BB16" s="675"/>
      <c r="BC16" s="994" t="str">
        <f>IF(COUNTA(AS16:BA16)=0,"",COUNTA(AS16:BA16))</f>
        <v/>
      </c>
      <c r="BD16" s="529" t="s">
        <v>117</v>
      </c>
    </row>
    <row r="17" spans="1:56" ht="19.05" customHeight="1" thickBot="1" x14ac:dyDescent="0.35">
      <c r="A17" s="999"/>
      <c r="B17" s="177">
        <v>5</v>
      </c>
      <c r="C17" s="178"/>
      <c r="D17" s="178"/>
      <c r="E17" s="178"/>
      <c r="F17" s="178"/>
      <c r="G17" s="331"/>
      <c r="H17" s="332"/>
      <c r="I17" s="333"/>
      <c r="J17" s="179"/>
      <c r="K17" s="676"/>
      <c r="L17" s="995"/>
      <c r="M17" s="997">
        <v>14</v>
      </c>
      <c r="N17" s="986"/>
      <c r="O17" s="987">
        <v>14</v>
      </c>
      <c r="P17" s="999"/>
      <c r="Q17" s="177"/>
      <c r="R17" s="178"/>
      <c r="S17" s="178"/>
      <c r="T17" s="178"/>
      <c r="U17" s="178"/>
      <c r="V17" s="331"/>
      <c r="W17" s="332"/>
      <c r="X17" s="333"/>
      <c r="Y17" s="179"/>
      <c r="Z17" s="676"/>
      <c r="AA17" s="995"/>
      <c r="AB17" s="659" t="s">
        <v>118</v>
      </c>
      <c r="AC17" s="1002"/>
      <c r="AD17" s="671"/>
      <c r="AE17" s="178">
        <v>13</v>
      </c>
      <c r="AF17" s="178"/>
      <c r="AG17" s="178"/>
      <c r="AH17" s="178"/>
      <c r="AI17" s="331"/>
      <c r="AJ17" s="332"/>
      <c r="AK17" s="333"/>
      <c r="AL17" s="179"/>
      <c r="AM17" s="676"/>
      <c r="AN17" s="995"/>
      <c r="AO17" s="997">
        <v>14</v>
      </c>
      <c r="AP17" s="986"/>
      <c r="AQ17" s="987"/>
      <c r="AR17" s="996"/>
      <c r="AS17" s="177"/>
      <c r="AT17" s="178"/>
      <c r="AU17" s="178"/>
      <c r="AV17" s="178"/>
      <c r="AW17" s="178"/>
      <c r="AX17" s="331"/>
      <c r="AY17" s="332"/>
      <c r="AZ17" s="333"/>
      <c r="BA17" s="179"/>
      <c r="BB17" s="676"/>
      <c r="BC17" s="995"/>
      <c r="BD17" s="534" t="s">
        <v>118</v>
      </c>
    </row>
    <row r="18" spans="1:56" ht="19.05" customHeight="1" x14ac:dyDescent="0.3">
      <c r="A18" s="988" t="str">
        <f>IF(IGRF!B21="","",IGRF!B21)</f>
        <v>237</v>
      </c>
      <c r="B18" s="180"/>
      <c r="C18" s="181"/>
      <c r="D18" s="181"/>
      <c r="E18" s="181"/>
      <c r="F18" s="181"/>
      <c r="G18" s="182"/>
      <c r="H18" s="334"/>
      <c r="I18" s="335"/>
      <c r="J18" s="183"/>
      <c r="K18" s="675"/>
      <c r="L18" s="980" t="str">
        <f>IF(COUNTA(B18:J18)=0,"",COUNTA(B18:J18))</f>
        <v/>
      </c>
      <c r="M18" s="982">
        <v>15</v>
      </c>
      <c r="N18" s="972"/>
      <c r="O18" s="973">
        <v>15</v>
      </c>
      <c r="P18" s="988" t="str">
        <f>IF(IGRF!I21="","",IGRF!I21)</f>
        <v>23</v>
      </c>
      <c r="Q18" s="180"/>
      <c r="R18" s="181"/>
      <c r="S18" s="181"/>
      <c r="T18" s="181"/>
      <c r="U18" s="181"/>
      <c r="V18" s="182"/>
      <c r="W18" s="334"/>
      <c r="X18" s="335"/>
      <c r="Y18" s="183"/>
      <c r="Z18" s="675"/>
      <c r="AA18" s="990" t="str">
        <f>IF(COUNTA(Q18:Y18)=0,"",COUNTA(Q18:Y18))</f>
        <v/>
      </c>
      <c r="AB18" s="658" t="s">
        <v>113</v>
      </c>
      <c r="AC18" s="992" t="str">
        <f>IF(IGRF!B21="","",IGRF!B21)</f>
        <v>237</v>
      </c>
      <c r="AD18" s="672"/>
      <c r="AE18" s="181"/>
      <c r="AF18" s="181"/>
      <c r="AG18" s="181"/>
      <c r="AH18" s="181"/>
      <c r="AI18" s="182"/>
      <c r="AJ18" s="334"/>
      <c r="AK18" s="335"/>
      <c r="AL18" s="183"/>
      <c r="AM18" s="675"/>
      <c r="AN18" s="980" t="str">
        <f>IF(COUNTA(AD18:AL18)=0,"",COUNTA(AD18:AL18))</f>
        <v/>
      </c>
      <c r="AO18" s="982">
        <v>15</v>
      </c>
      <c r="AP18" s="972"/>
      <c r="AQ18" s="973"/>
      <c r="AR18" s="983" t="str">
        <f>IF(IGRF!I21="","",IGRF!I21)</f>
        <v>23</v>
      </c>
      <c r="AS18" s="180"/>
      <c r="AT18" s="181"/>
      <c r="AU18" s="181"/>
      <c r="AV18" s="181"/>
      <c r="AW18" s="181"/>
      <c r="AX18" s="182"/>
      <c r="AY18" s="334"/>
      <c r="AZ18" s="335"/>
      <c r="BA18" s="183"/>
      <c r="BB18" s="675"/>
      <c r="BC18" s="980" t="str">
        <f>IF(COUNTA(AS18:BA18)=0,"",COUNTA(AS18:BA18))</f>
        <v/>
      </c>
      <c r="BD18" s="529" t="s">
        <v>113</v>
      </c>
    </row>
    <row r="19" spans="1:56" ht="19.05" customHeight="1" thickBot="1" x14ac:dyDescent="0.35">
      <c r="A19" s="1005"/>
      <c r="B19" s="202"/>
      <c r="C19" s="184"/>
      <c r="D19" s="184"/>
      <c r="E19" s="184"/>
      <c r="F19" s="184"/>
      <c r="G19" s="185"/>
      <c r="H19" s="336"/>
      <c r="I19" s="337"/>
      <c r="J19" s="203"/>
      <c r="K19" s="676"/>
      <c r="L19" s="1003"/>
      <c r="M19" s="997">
        <v>16</v>
      </c>
      <c r="N19" s="986"/>
      <c r="O19" s="987">
        <v>16</v>
      </c>
      <c r="P19" s="1005"/>
      <c r="Q19" s="202"/>
      <c r="R19" s="184"/>
      <c r="S19" s="184"/>
      <c r="T19" s="184"/>
      <c r="U19" s="184"/>
      <c r="V19" s="185"/>
      <c r="W19" s="336"/>
      <c r="X19" s="337"/>
      <c r="Y19" s="203"/>
      <c r="Z19" s="676"/>
      <c r="AA19" s="1006"/>
      <c r="AB19" s="654" t="s">
        <v>412</v>
      </c>
      <c r="AC19" s="1007"/>
      <c r="AD19" s="673"/>
      <c r="AE19" s="184"/>
      <c r="AF19" s="184"/>
      <c r="AG19" s="184"/>
      <c r="AH19" s="184"/>
      <c r="AI19" s="185"/>
      <c r="AJ19" s="336"/>
      <c r="AK19" s="337"/>
      <c r="AL19" s="203"/>
      <c r="AM19" s="676"/>
      <c r="AN19" s="1003"/>
      <c r="AO19" s="997">
        <v>16</v>
      </c>
      <c r="AP19" s="986"/>
      <c r="AQ19" s="987"/>
      <c r="AR19" s="1004"/>
      <c r="AS19" s="202"/>
      <c r="AT19" s="184"/>
      <c r="AU19" s="184"/>
      <c r="AV19" s="184"/>
      <c r="AW19" s="184"/>
      <c r="AX19" s="185"/>
      <c r="AY19" s="336"/>
      <c r="AZ19" s="337"/>
      <c r="BA19" s="203"/>
      <c r="BB19" s="676"/>
      <c r="BC19" s="1003"/>
      <c r="BD19" s="535" t="s">
        <v>412</v>
      </c>
    </row>
    <row r="20" spans="1:56" ht="19.05" customHeight="1" thickBot="1" x14ac:dyDescent="0.35">
      <c r="A20" s="998" t="str">
        <f>IF(IGRF!B22="","",IGRF!B22)</f>
        <v>282*</v>
      </c>
      <c r="B20" s="174"/>
      <c r="C20" s="175"/>
      <c r="D20" s="175"/>
      <c r="E20" s="175"/>
      <c r="F20" s="175"/>
      <c r="G20" s="328"/>
      <c r="H20" s="329"/>
      <c r="I20" s="330"/>
      <c r="J20" s="176"/>
      <c r="K20" s="675"/>
      <c r="L20" s="994" t="str">
        <f>IF(COUNTA(B20:J20)=0,"",COUNTA(B20:J20))</f>
        <v/>
      </c>
      <c r="M20" s="982">
        <v>17</v>
      </c>
      <c r="N20" s="972"/>
      <c r="O20" s="973">
        <v>17</v>
      </c>
      <c r="P20" s="998" t="str">
        <f>IF(IGRF!I22="","",IGRF!I22)</f>
        <v>25</v>
      </c>
      <c r="Q20" s="174" t="s">
        <v>117</v>
      </c>
      <c r="R20" s="175"/>
      <c r="S20" s="175"/>
      <c r="T20" s="175"/>
      <c r="U20" s="175"/>
      <c r="V20" s="328"/>
      <c r="W20" s="329"/>
      <c r="X20" s="330"/>
      <c r="Y20" s="176"/>
      <c r="Z20" s="675"/>
      <c r="AA20" s="1000">
        <f>IF(COUNTA(Q20:Y20)=0,"",COUNTA(Q20:Y20))</f>
        <v>1</v>
      </c>
      <c r="AB20" s="658" t="s">
        <v>124</v>
      </c>
      <c r="AC20" s="1002" t="str">
        <f>IF(IGRF!B22="","",IGRF!B22)</f>
        <v>282*</v>
      </c>
      <c r="AD20" s="670"/>
      <c r="AE20" s="175"/>
      <c r="AF20" s="175"/>
      <c r="AG20" s="175"/>
      <c r="AH20" s="175"/>
      <c r="AI20" s="328"/>
      <c r="AJ20" s="329"/>
      <c r="AK20" s="330"/>
      <c r="AL20" s="176"/>
      <c r="AM20" s="675"/>
      <c r="AN20" s="994" t="str">
        <f>IF(COUNTA(AD20:AL20)=0,"",COUNTA(AD20:AL20))</f>
        <v/>
      </c>
      <c r="AO20" s="982">
        <v>17</v>
      </c>
      <c r="AP20" s="972"/>
      <c r="AQ20" s="973"/>
      <c r="AR20" s="996" t="str">
        <f>IF(IGRF!I22="","",IGRF!I22)</f>
        <v>25</v>
      </c>
      <c r="AS20" s="174"/>
      <c r="AT20" s="175" t="s">
        <v>117</v>
      </c>
      <c r="AU20" s="175"/>
      <c r="AV20" s="175"/>
      <c r="AW20" s="175"/>
      <c r="AX20" s="328"/>
      <c r="AY20" s="329"/>
      <c r="AZ20" s="330"/>
      <c r="BA20" s="176"/>
      <c r="BB20" s="675"/>
      <c r="BC20" s="994">
        <f>IF(COUNTA(AS20:BA20)=0,"",COUNTA(AS20:BA20))</f>
        <v>1</v>
      </c>
      <c r="BD20" s="530" t="s">
        <v>124</v>
      </c>
    </row>
    <row r="21" spans="1:56" ht="19.05" customHeight="1" thickBot="1" x14ac:dyDescent="0.35">
      <c r="A21" s="999"/>
      <c r="B21" s="177"/>
      <c r="C21" s="178"/>
      <c r="D21" s="178"/>
      <c r="E21" s="178"/>
      <c r="F21" s="178"/>
      <c r="G21" s="331"/>
      <c r="H21" s="332"/>
      <c r="I21" s="333"/>
      <c r="J21" s="179"/>
      <c r="K21" s="676"/>
      <c r="L21" s="995"/>
      <c r="M21" s="997">
        <v>18</v>
      </c>
      <c r="N21" s="986"/>
      <c r="O21" s="987">
        <v>18</v>
      </c>
      <c r="P21" s="999"/>
      <c r="Q21" s="177">
        <v>16</v>
      </c>
      <c r="R21" s="178"/>
      <c r="S21" s="178"/>
      <c r="T21" s="178"/>
      <c r="U21" s="178"/>
      <c r="V21" s="331"/>
      <c r="W21" s="332"/>
      <c r="X21" s="333"/>
      <c r="Y21" s="179"/>
      <c r="Z21" s="676"/>
      <c r="AA21" s="1001"/>
      <c r="AB21" s="654" t="s">
        <v>413</v>
      </c>
      <c r="AC21" s="1002"/>
      <c r="AD21" s="671"/>
      <c r="AE21" s="178"/>
      <c r="AF21" s="178"/>
      <c r="AG21" s="178"/>
      <c r="AH21" s="178"/>
      <c r="AI21" s="331"/>
      <c r="AJ21" s="332"/>
      <c r="AK21" s="333"/>
      <c r="AL21" s="179"/>
      <c r="AM21" s="676"/>
      <c r="AN21" s="995"/>
      <c r="AO21" s="997">
        <v>18</v>
      </c>
      <c r="AP21" s="986"/>
      <c r="AQ21" s="987"/>
      <c r="AR21" s="996"/>
      <c r="AS21" s="177"/>
      <c r="AT21" s="178">
        <v>13</v>
      </c>
      <c r="AU21" s="178"/>
      <c r="AV21" s="178"/>
      <c r="AW21" s="178"/>
      <c r="AX21" s="331"/>
      <c r="AY21" s="332"/>
      <c r="AZ21" s="333"/>
      <c r="BA21" s="179"/>
      <c r="BB21" s="676"/>
      <c r="BC21" s="995"/>
      <c r="BD21" s="535" t="s">
        <v>413</v>
      </c>
    </row>
    <row r="22" spans="1:56" ht="19.05" customHeight="1" x14ac:dyDescent="0.3">
      <c r="A22" s="988" t="str">
        <f>IF(IGRF!B23="","",IGRF!B23)</f>
        <v>337</v>
      </c>
      <c r="B22" s="180"/>
      <c r="C22" s="181"/>
      <c r="D22" s="181"/>
      <c r="E22" s="181"/>
      <c r="F22" s="181"/>
      <c r="G22" s="182"/>
      <c r="H22" s="334"/>
      <c r="I22" s="335"/>
      <c r="J22" s="183"/>
      <c r="K22" s="675"/>
      <c r="L22" s="980" t="str">
        <f>IF(COUNTA(B22:J22)=0,"",COUNTA(B22:J22))</f>
        <v/>
      </c>
      <c r="M22" s="982">
        <v>19</v>
      </c>
      <c r="N22" s="972"/>
      <c r="O22" s="973">
        <v>19</v>
      </c>
      <c r="P22" s="988" t="str">
        <f>IF(IGRF!I23="","",IGRF!I23)</f>
        <v>26</v>
      </c>
      <c r="Q22" s="180"/>
      <c r="R22" s="181"/>
      <c r="S22" s="181"/>
      <c r="T22" s="181"/>
      <c r="U22" s="181"/>
      <c r="V22" s="182"/>
      <c r="W22" s="334"/>
      <c r="X22" s="335"/>
      <c r="Y22" s="183"/>
      <c r="Z22" s="675"/>
      <c r="AA22" s="990" t="str">
        <f>IF(COUNTA(Q22:Y22)=0,"",COUNTA(Q22:Y22))</f>
        <v/>
      </c>
      <c r="AB22" s="657" t="s">
        <v>115</v>
      </c>
      <c r="AC22" s="992" t="str">
        <f>IF(IGRF!B23="","",IGRF!B23)</f>
        <v>337</v>
      </c>
      <c r="AD22" s="672" t="s">
        <v>117</v>
      </c>
      <c r="AE22" s="181"/>
      <c r="AF22" s="181"/>
      <c r="AG22" s="181"/>
      <c r="AH22" s="181"/>
      <c r="AI22" s="182"/>
      <c r="AJ22" s="334"/>
      <c r="AK22" s="335"/>
      <c r="AL22" s="183"/>
      <c r="AM22" s="675"/>
      <c r="AN22" s="980">
        <f>IF(COUNTA(AD22:AL22)=0,"",COUNTA(AD22:AL22))</f>
        <v>1</v>
      </c>
      <c r="AO22" s="982">
        <v>19</v>
      </c>
      <c r="AP22" s="972"/>
      <c r="AQ22" s="973"/>
      <c r="AR22" s="983" t="str">
        <f>IF(IGRF!I23="","",IGRF!I23)</f>
        <v>26</v>
      </c>
      <c r="AS22" s="180" t="s">
        <v>111</v>
      </c>
      <c r="AT22" s="181"/>
      <c r="AU22" s="181"/>
      <c r="AV22" s="181"/>
      <c r="AW22" s="181"/>
      <c r="AX22" s="182"/>
      <c r="AY22" s="334"/>
      <c r="AZ22" s="335"/>
      <c r="BA22" s="183"/>
      <c r="BB22" s="675"/>
      <c r="BC22" s="980">
        <f>IF(COUNTA(AS22:BA22)=0,"",COUNTA(AS22:BA22))</f>
        <v>1</v>
      </c>
      <c r="BD22" s="541" t="s">
        <v>115</v>
      </c>
    </row>
    <row r="23" spans="1:56" ht="19.05" customHeight="1" thickBot="1" x14ac:dyDescent="0.35">
      <c r="A23" s="1005"/>
      <c r="B23" s="202"/>
      <c r="C23" s="184"/>
      <c r="D23" s="184"/>
      <c r="E23" s="184"/>
      <c r="F23" s="184"/>
      <c r="G23" s="185"/>
      <c r="H23" s="336"/>
      <c r="I23" s="337"/>
      <c r="J23" s="203"/>
      <c r="K23" s="676"/>
      <c r="L23" s="1003"/>
      <c r="M23" s="997">
        <v>20</v>
      </c>
      <c r="N23" s="986"/>
      <c r="O23" s="987">
        <v>20</v>
      </c>
      <c r="P23" s="1005"/>
      <c r="Q23" s="202"/>
      <c r="R23" s="184"/>
      <c r="S23" s="184"/>
      <c r="T23" s="184"/>
      <c r="U23" s="184"/>
      <c r="V23" s="185"/>
      <c r="W23" s="336"/>
      <c r="X23" s="337"/>
      <c r="Y23" s="203"/>
      <c r="Z23" s="676"/>
      <c r="AA23" s="1006"/>
      <c r="AB23" s="660" t="s">
        <v>414</v>
      </c>
      <c r="AC23" s="1007"/>
      <c r="AD23" s="673">
        <v>6</v>
      </c>
      <c r="AE23" s="184"/>
      <c r="AF23" s="184"/>
      <c r="AG23" s="184"/>
      <c r="AH23" s="184"/>
      <c r="AI23" s="185"/>
      <c r="AJ23" s="336"/>
      <c r="AK23" s="337"/>
      <c r="AL23" s="203"/>
      <c r="AM23" s="676"/>
      <c r="AN23" s="1003"/>
      <c r="AO23" s="997">
        <v>20</v>
      </c>
      <c r="AP23" s="986"/>
      <c r="AQ23" s="987"/>
      <c r="AR23" s="1004"/>
      <c r="AS23" s="202">
        <v>13</v>
      </c>
      <c r="AT23" s="184"/>
      <c r="AU23" s="184"/>
      <c r="AV23" s="184"/>
      <c r="AW23" s="184"/>
      <c r="AX23" s="185"/>
      <c r="AY23" s="336"/>
      <c r="AZ23" s="337"/>
      <c r="BA23" s="203"/>
      <c r="BB23" s="676"/>
      <c r="BC23" s="1003"/>
      <c r="BD23" s="542" t="s">
        <v>414</v>
      </c>
    </row>
    <row r="24" spans="1:56" ht="19.05" customHeight="1" thickBot="1" x14ac:dyDescent="0.35">
      <c r="A24" s="998" t="str">
        <f>IF(IGRF!B24="","",IGRF!B24)</f>
        <v>352</v>
      </c>
      <c r="B24" s="174" t="s">
        <v>114</v>
      </c>
      <c r="C24" s="175"/>
      <c r="D24" s="175"/>
      <c r="E24" s="175"/>
      <c r="F24" s="175"/>
      <c r="G24" s="328"/>
      <c r="H24" s="329"/>
      <c r="I24" s="330"/>
      <c r="J24" s="176"/>
      <c r="K24" s="675"/>
      <c r="L24" s="994">
        <f>IF(COUNTA(B24:J24)=0,"",COUNTA(B24:J24))</f>
        <v>1</v>
      </c>
      <c r="M24" s="982">
        <v>21</v>
      </c>
      <c r="N24" s="972"/>
      <c r="O24" s="973">
        <v>21</v>
      </c>
      <c r="P24" s="998" t="str">
        <f>IF(IGRF!I24="","",IGRF!I24)</f>
        <v>49</v>
      </c>
      <c r="Q24" s="174" t="s">
        <v>119</v>
      </c>
      <c r="R24" s="175"/>
      <c r="S24" s="175"/>
      <c r="T24" s="175"/>
      <c r="U24" s="175"/>
      <c r="V24" s="328"/>
      <c r="W24" s="329"/>
      <c r="X24" s="330"/>
      <c r="Y24" s="176"/>
      <c r="Z24" s="675"/>
      <c r="AA24" s="1000">
        <f>IF(COUNTA(Q24:Y24)=0,"",COUNTA(Q24:Y24))</f>
        <v>1</v>
      </c>
      <c r="AB24" s="661" t="s">
        <v>419</v>
      </c>
      <c r="AC24" s="1002" t="str">
        <f>IF(IGRF!B24="","",IGRF!B24)</f>
        <v>352</v>
      </c>
      <c r="AD24" s="670"/>
      <c r="AE24" s="175" t="s">
        <v>119</v>
      </c>
      <c r="AF24" s="175" t="s">
        <v>114</v>
      </c>
      <c r="AG24" s="175"/>
      <c r="AH24" s="175"/>
      <c r="AI24" s="328"/>
      <c r="AJ24" s="329"/>
      <c r="AK24" s="330"/>
      <c r="AL24" s="176"/>
      <c r="AM24" s="675"/>
      <c r="AN24" s="994">
        <f>IF(COUNTA(AD24:AL24)=0,"",COUNTA(AD24:AL24))</f>
        <v>2</v>
      </c>
      <c r="AO24" s="982">
        <v>21</v>
      </c>
      <c r="AP24" s="972"/>
      <c r="AQ24" s="973"/>
      <c r="AR24" s="996" t="str">
        <f>IF(IGRF!I24="","",IGRF!I24)</f>
        <v>49</v>
      </c>
      <c r="AS24" s="174"/>
      <c r="AT24" s="175" t="s">
        <v>119</v>
      </c>
      <c r="AU24" s="175"/>
      <c r="AV24" s="175"/>
      <c r="AW24" s="175"/>
      <c r="AX24" s="328"/>
      <c r="AY24" s="329"/>
      <c r="AZ24" s="330"/>
      <c r="BA24" s="176"/>
      <c r="BB24" s="675"/>
      <c r="BC24" s="994">
        <f>IF(COUNTA(AS24:BA24)=0,"",COUNTA(AS24:BA24))</f>
        <v>1</v>
      </c>
      <c r="BD24" s="543" t="s">
        <v>419</v>
      </c>
    </row>
    <row r="25" spans="1:56" ht="19.05" customHeight="1" thickBot="1" x14ac:dyDescent="0.35">
      <c r="A25" s="999"/>
      <c r="B25" s="177">
        <v>13</v>
      </c>
      <c r="C25" s="178"/>
      <c r="D25" s="178"/>
      <c r="E25" s="178"/>
      <c r="F25" s="178"/>
      <c r="G25" s="331"/>
      <c r="H25" s="332"/>
      <c r="I25" s="333"/>
      <c r="J25" s="179"/>
      <c r="K25" s="676"/>
      <c r="L25" s="995"/>
      <c r="M25" s="997">
        <v>22</v>
      </c>
      <c r="N25" s="986"/>
      <c r="O25" s="987">
        <v>22</v>
      </c>
      <c r="P25" s="999"/>
      <c r="Q25" s="177">
        <v>14</v>
      </c>
      <c r="R25" s="178"/>
      <c r="S25" s="178"/>
      <c r="T25" s="178"/>
      <c r="U25" s="178"/>
      <c r="V25" s="331"/>
      <c r="W25" s="332"/>
      <c r="X25" s="333"/>
      <c r="Y25" s="179"/>
      <c r="Z25" s="676"/>
      <c r="AA25" s="995"/>
      <c r="AB25" s="544" t="s">
        <v>423</v>
      </c>
      <c r="AC25" s="1002"/>
      <c r="AD25" s="671"/>
      <c r="AE25" s="178">
        <v>6</v>
      </c>
      <c r="AF25" s="178">
        <v>10</v>
      </c>
      <c r="AG25" s="178"/>
      <c r="AH25" s="178"/>
      <c r="AI25" s="331"/>
      <c r="AJ25" s="332"/>
      <c r="AK25" s="333"/>
      <c r="AL25" s="179"/>
      <c r="AM25" s="676"/>
      <c r="AN25" s="995"/>
      <c r="AO25" s="997">
        <v>22</v>
      </c>
      <c r="AP25" s="986"/>
      <c r="AQ25" s="987"/>
      <c r="AR25" s="996"/>
      <c r="AS25" s="177"/>
      <c r="AT25" s="178">
        <v>12</v>
      </c>
      <c r="AU25" s="178"/>
      <c r="AV25" s="178"/>
      <c r="AW25" s="178"/>
      <c r="AX25" s="331"/>
      <c r="AY25" s="332"/>
      <c r="AZ25" s="333"/>
      <c r="BA25" s="179"/>
      <c r="BB25" s="676"/>
      <c r="BC25" s="995"/>
      <c r="BD25" s="544" t="s">
        <v>423</v>
      </c>
    </row>
    <row r="26" spans="1:56" ht="19.05" customHeight="1" x14ac:dyDescent="0.3">
      <c r="A26" s="988" t="str">
        <f>IF(IGRF!B25="","",IGRF!B25)</f>
        <v>36</v>
      </c>
      <c r="B26" s="180" t="s">
        <v>111</v>
      </c>
      <c r="C26" s="181"/>
      <c r="D26" s="181"/>
      <c r="E26" s="181"/>
      <c r="F26" s="181"/>
      <c r="G26" s="182"/>
      <c r="H26" s="334"/>
      <c r="I26" s="335"/>
      <c r="J26" s="183"/>
      <c r="K26" s="675"/>
      <c r="L26" s="980">
        <f>IF(COUNTA(B26:J26)=0,"",COUNTA(B26:J26))</f>
        <v>1</v>
      </c>
      <c r="M26" s="982">
        <v>23</v>
      </c>
      <c r="N26" s="972"/>
      <c r="O26" s="973">
        <v>23</v>
      </c>
      <c r="P26" s="988" t="str">
        <f>IF(IGRF!I25="","",IGRF!I25)</f>
        <v>78</v>
      </c>
      <c r="Q26" s="180"/>
      <c r="R26" s="181"/>
      <c r="S26" s="181"/>
      <c r="T26" s="181"/>
      <c r="U26" s="181"/>
      <c r="V26" s="182"/>
      <c r="W26" s="334"/>
      <c r="X26" s="335"/>
      <c r="Y26" s="183"/>
      <c r="Z26" s="675"/>
      <c r="AA26" s="980" t="str">
        <f>IF(COUNTA(Q26:Y26)=0,"",COUNTA(Q26:Y26))</f>
        <v/>
      </c>
      <c r="AB26" s="657" t="s">
        <v>430</v>
      </c>
      <c r="AC26" s="992" t="str">
        <f>IF(IGRF!B25="","",IGRF!B25)</f>
        <v>36</v>
      </c>
      <c r="AD26" s="672"/>
      <c r="AE26" s="181" t="s">
        <v>430</v>
      </c>
      <c r="AF26" s="181"/>
      <c r="AG26" s="181"/>
      <c r="AH26" s="181"/>
      <c r="AI26" s="182"/>
      <c r="AJ26" s="334"/>
      <c r="AK26" s="335"/>
      <c r="AL26" s="183"/>
      <c r="AM26" s="675"/>
      <c r="AN26" s="980">
        <f>IF(COUNTA(AD26:AL26)=0,"",COUNTA(AD26:AL26))</f>
        <v>1</v>
      </c>
      <c r="AO26" s="982">
        <v>23</v>
      </c>
      <c r="AP26" s="972"/>
      <c r="AQ26" s="973"/>
      <c r="AR26" s="983" t="str">
        <f>IF(IGRF!I25="","",IGRF!I25)</f>
        <v>78</v>
      </c>
      <c r="AS26" s="180"/>
      <c r="AT26" s="181"/>
      <c r="AU26" s="181"/>
      <c r="AV26" s="181"/>
      <c r="AW26" s="181"/>
      <c r="AX26" s="182"/>
      <c r="AY26" s="334"/>
      <c r="AZ26" s="335"/>
      <c r="BA26" s="183"/>
      <c r="BB26" s="675"/>
      <c r="BC26" s="980" t="str">
        <f>IF(COUNTA(AS26:BA26)=0,"",COUNTA(AS26:BA26))</f>
        <v/>
      </c>
      <c r="BD26" s="541" t="s">
        <v>430</v>
      </c>
    </row>
    <row r="27" spans="1:56" ht="19.05" customHeight="1" thickBot="1" x14ac:dyDescent="0.35">
      <c r="A27" s="1005"/>
      <c r="B27" s="202">
        <v>8</v>
      </c>
      <c r="C27" s="184"/>
      <c r="D27" s="184"/>
      <c r="E27" s="184"/>
      <c r="F27" s="184"/>
      <c r="G27" s="185"/>
      <c r="H27" s="336"/>
      <c r="I27" s="337"/>
      <c r="J27" s="203"/>
      <c r="K27" s="676"/>
      <c r="L27" s="1003"/>
      <c r="M27" s="997">
        <v>24</v>
      </c>
      <c r="N27" s="986"/>
      <c r="O27" s="987">
        <v>24</v>
      </c>
      <c r="P27" s="1005"/>
      <c r="Q27" s="202"/>
      <c r="R27" s="184"/>
      <c r="S27" s="184"/>
      <c r="T27" s="184"/>
      <c r="U27" s="184"/>
      <c r="V27" s="185"/>
      <c r="W27" s="336"/>
      <c r="X27" s="337"/>
      <c r="Y27" s="203"/>
      <c r="Z27" s="676"/>
      <c r="AA27" s="1006"/>
      <c r="AB27" s="660" t="s">
        <v>415</v>
      </c>
      <c r="AC27" s="1007"/>
      <c r="AD27" s="673"/>
      <c r="AE27" s="184">
        <v>3</v>
      </c>
      <c r="AF27" s="184"/>
      <c r="AG27" s="184"/>
      <c r="AH27" s="184"/>
      <c r="AI27" s="185"/>
      <c r="AJ27" s="336"/>
      <c r="AK27" s="337"/>
      <c r="AL27" s="203"/>
      <c r="AM27" s="676"/>
      <c r="AN27" s="1003"/>
      <c r="AO27" s="997">
        <v>24</v>
      </c>
      <c r="AP27" s="986"/>
      <c r="AQ27" s="987"/>
      <c r="AR27" s="1004"/>
      <c r="AS27" s="202"/>
      <c r="AT27" s="184"/>
      <c r="AU27" s="184"/>
      <c r="AV27" s="184"/>
      <c r="AW27" s="184"/>
      <c r="AX27" s="185"/>
      <c r="AY27" s="336"/>
      <c r="AZ27" s="337"/>
      <c r="BA27" s="203"/>
      <c r="BB27" s="676"/>
      <c r="BC27" s="1003"/>
      <c r="BD27" s="542" t="s">
        <v>415</v>
      </c>
    </row>
    <row r="28" spans="1:56" ht="19.05" customHeight="1" thickBot="1" x14ac:dyDescent="0.35">
      <c r="A28" s="998" t="str">
        <f>IF(IGRF!B26="","",IGRF!B26)</f>
        <v>64</v>
      </c>
      <c r="B28" s="174"/>
      <c r="C28" s="175"/>
      <c r="D28" s="175"/>
      <c r="E28" s="175"/>
      <c r="F28" s="175"/>
      <c r="G28" s="328"/>
      <c r="H28" s="329"/>
      <c r="I28" s="330"/>
      <c r="J28" s="176"/>
      <c r="K28" s="675"/>
      <c r="L28" s="994" t="str">
        <f>IF(COUNTA(B28:J28)=0,"",COUNTA(B28:J28))</f>
        <v/>
      </c>
      <c r="M28" s="982">
        <v>25</v>
      </c>
      <c r="N28" s="972"/>
      <c r="O28" s="973">
        <v>25</v>
      </c>
      <c r="P28" s="998" t="str">
        <f>IF(IGRF!I26="","",IGRF!I26)</f>
        <v>8*</v>
      </c>
      <c r="Q28" s="174"/>
      <c r="R28" s="175"/>
      <c r="S28" s="175"/>
      <c r="T28" s="175"/>
      <c r="U28" s="175"/>
      <c r="V28" s="328"/>
      <c r="W28" s="329"/>
      <c r="X28" s="330"/>
      <c r="Y28" s="176"/>
      <c r="Z28" s="675"/>
      <c r="AA28" s="1000" t="str">
        <f>IF(COUNTA(Q28:Y28)=0,"",COUNTA(Q28:Y28))</f>
        <v/>
      </c>
      <c r="AB28" s="661" t="s">
        <v>420</v>
      </c>
      <c r="AC28" s="1002" t="str">
        <f>IF(IGRF!B26="","",IGRF!B26)</f>
        <v>64</v>
      </c>
      <c r="AD28" s="670"/>
      <c r="AE28" s="175"/>
      <c r="AF28" s="175"/>
      <c r="AG28" s="175"/>
      <c r="AH28" s="175"/>
      <c r="AI28" s="328"/>
      <c r="AJ28" s="329"/>
      <c r="AK28" s="330"/>
      <c r="AL28" s="176"/>
      <c r="AM28" s="675"/>
      <c r="AN28" s="994" t="str">
        <f>IF(COUNTA(AD28:AL28)=0,"",COUNTA(AD28:AL28))</f>
        <v/>
      </c>
      <c r="AO28" s="982">
        <v>25</v>
      </c>
      <c r="AP28" s="972"/>
      <c r="AQ28" s="973"/>
      <c r="AR28" s="996" t="str">
        <f>IF(IGRF!I26="","",IGRF!I26)</f>
        <v>8*</v>
      </c>
      <c r="AS28" s="174"/>
      <c r="AT28" s="175"/>
      <c r="AU28" s="175"/>
      <c r="AV28" s="175"/>
      <c r="AW28" s="175"/>
      <c r="AX28" s="328"/>
      <c r="AY28" s="329"/>
      <c r="AZ28" s="330"/>
      <c r="BA28" s="176"/>
      <c r="BB28" s="675"/>
      <c r="BC28" s="994" t="str">
        <f>IF(COUNTA(AS28:BA28)=0,"",COUNTA(AS28:BA28))</f>
        <v/>
      </c>
      <c r="BD28" s="543" t="s">
        <v>420</v>
      </c>
    </row>
    <row r="29" spans="1:56" ht="19.05" customHeight="1" thickBot="1" x14ac:dyDescent="0.35">
      <c r="A29" s="999"/>
      <c r="B29" s="177"/>
      <c r="C29" s="178"/>
      <c r="D29" s="178"/>
      <c r="E29" s="178"/>
      <c r="F29" s="178"/>
      <c r="G29" s="331"/>
      <c r="H29" s="332"/>
      <c r="I29" s="333"/>
      <c r="J29" s="179"/>
      <c r="K29" s="676"/>
      <c r="L29" s="995"/>
      <c r="M29" s="997">
        <v>26</v>
      </c>
      <c r="N29" s="986"/>
      <c r="O29" s="987">
        <v>26</v>
      </c>
      <c r="P29" s="999"/>
      <c r="Q29" s="177"/>
      <c r="R29" s="178"/>
      <c r="S29" s="178"/>
      <c r="T29" s="178"/>
      <c r="U29" s="178"/>
      <c r="V29" s="331"/>
      <c r="W29" s="332"/>
      <c r="X29" s="333"/>
      <c r="Y29" s="179"/>
      <c r="Z29" s="676"/>
      <c r="AA29" s="1001"/>
      <c r="AB29" s="658" t="s">
        <v>125</v>
      </c>
      <c r="AC29" s="1002"/>
      <c r="AD29" s="671"/>
      <c r="AE29" s="178"/>
      <c r="AF29" s="178"/>
      <c r="AG29" s="178"/>
      <c r="AH29" s="178"/>
      <c r="AI29" s="331"/>
      <c r="AJ29" s="332"/>
      <c r="AK29" s="333"/>
      <c r="AL29" s="179"/>
      <c r="AM29" s="676"/>
      <c r="AN29" s="995"/>
      <c r="AO29" s="997">
        <v>26</v>
      </c>
      <c r="AP29" s="986"/>
      <c r="AQ29" s="987"/>
      <c r="AR29" s="996"/>
      <c r="AS29" s="177"/>
      <c r="AT29" s="178"/>
      <c r="AU29" s="178"/>
      <c r="AV29" s="178"/>
      <c r="AW29" s="178"/>
      <c r="AX29" s="331"/>
      <c r="AY29" s="332"/>
      <c r="AZ29" s="333"/>
      <c r="BA29" s="179"/>
      <c r="BB29" s="676"/>
      <c r="BC29" s="995"/>
      <c r="BD29" s="530" t="s">
        <v>125</v>
      </c>
    </row>
    <row r="30" spans="1:56" ht="19.05" customHeight="1" x14ac:dyDescent="0.3">
      <c r="A30" s="988" t="str">
        <f>IF(IGRF!B27="","",IGRF!B27)</f>
        <v>825</v>
      </c>
      <c r="B30" s="180" t="s">
        <v>117</v>
      </c>
      <c r="C30" s="181"/>
      <c r="D30" s="181"/>
      <c r="E30" s="181"/>
      <c r="F30" s="181"/>
      <c r="G30" s="182"/>
      <c r="H30" s="334"/>
      <c r="I30" s="335"/>
      <c r="J30" s="183"/>
      <c r="K30" s="675"/>
      <c r="L30" s="980">
        <f>IF(COUNTA(B30:J30)=0,"",COUNTA(B30:J30))</f>
        <v>1</v>
      </c>
      <c r="M30" s="982">
        <v>27</v>
      </c>
      <c r="N30" s="972"/>
      <c r="O30" s="973">
        <v>27</v>
      </c>
      <c r="P30" s="988" t="str">
        <f>IF(IGRF!I27="","",IGRF!I27)</f>
        <v>800</v>
      </c>
      <c r="Q30" s="180"/>
      <c r="R30" s="181"/>
      <c r="S30" s="181"/>
      <c r="T30" s="181"/>
      <c r="U30" s="181"/>
      <c r="V30" s="182"/>
      <c r="W30" s="334"/>
      <c r="X30" s="335"/>
      <c r="Y30" s="183"/>
      <c r="Z30" s="675"/>
      <c r="AA30" s="990" t="str">
        <f>IF(COUNTA(Q30:Y30)=0,"",COUNTA(Q30:Y30))</f>
        <v/>
      </c>
      <c r="AB30" s="662" t="s">
        <v>416</v>
      </c>
      <c r="AC30" s="992" t="str">
        <f>IF(IGRF!B27="","",IGRF!B27)</f>
        <v>825</v>
      </c>
      <c r="AD30" s="672"/>
      <c r="AE30" s="181"/>
      <c r="AF30" s="181"/>
      <c r="AG30" s="181"/>
      <c r="AH30" s="181"/>
      <c r="AI30" s="182"/>
      <c r="AJ30" s="334"/>
      <c r="AK30" s="335"/>
      <c r="AL30" s="183"/>
      <c r="AM30" s="675"/>
      <c r="AN30" s="980" t="str">
        <f>IF(COUNTA(AD30:AL30)=0,"",COUNTA(AD30:AL30))</f>
        <v/>
      </c>
      <c r="AO30" s="982">
        <v>27</v>
      </c>
      <c r="AP30" s="972"/>
      <c r="AQ30" s="973"/>
      <c r="AR30" s="983" t="str">
        <f>IF(IGRF!I27="","",IGRF!I27)</f>
        <v>800</v>
      </c>
      <c r="AS30" s="180"/>
      <c r="AT30" s="181"/>
      <c r="AU30" s="181"/>
      <c r="AV30" s="181"/>
      <c r="AW30" s="181"/>
      <c r="AX30" s="182"/>
      <c r="AY30" s="334"/>
      <c r="AZ30" s="335"/>
      <c r="BA30" s="183"/>
      <c r="BB30" s="675"/>
      <c r="BC30" s="980" t="str">
        <f>IF(COUNTA(AS30:BA30)=0,"",COUNTA(AS30:BA30))</f>
        <v/>
      </c>
      <c r="BD30" s="537" t="s">
        <v>416</v>
      </c>
    </row>
    <row r="31" spans="1:56" ht="19.05" customHeight="1" thickBot="1" x14ac:dyDescent="0.35">
      <c r="A31" s="1005"/>
      <c r="B31" s="202">
        <v>9</v>
      </c>
      <c r="C31" s="184"/>
      <c r="D31" s="184"/>
      <c r="E31" s="184"/>
      <c r="F31" s="184"/>
      <c r="G31" s="185"/>
      <c r="H31" s="336"/>
      <c r="I31" s="337"/>
      <c r="J31" s="203"/>
      <c r="K31" s="676"/>
      <c r="L31" s="1003"/>
      <c r="M31" s="997">
        <v>28</v>
      </c>
      <c r="N31" s="986"/>
      <c r="O31" s="987">
        <v>28</v>
      </c>
      <c r="P31" s="1005"/>
      <c r="Q31" s="202"/>
      <c r="R31" s="184"/>
      <c r="S31" s="184"/>
      <c r="T31" s="184"/>
      <c r="U31" s="184"/>
      <c r="V31" s="185"/>
      <c r="W31" s="336"/>
      <c r="X31" s="337"/>
      <c r="Y31" s="203"/>
      <c r="Z31" s="676"/>
      <c r="AA31" s="1006"/>
      <c r="AB31" s="663" t="s">
        <v>421</v>
      </c>
      <c r="AC31" s="1007"/>
      <c r="AD31" s="673"/>
      <c r="AE31" s="184"/>
      <c r="AF31" s="184"/>
      <c r="AG31" s="184"/>
      <c r="AH31" s="184"/>
      <c r="AI31" s="185"/>
      <c r="AJ31" s="336"/>
      <c r="AK31" s="337"/>
      <c r="AL31" s="203"/>
      <c r="AM31" s="676"/>
      <c r="AN31" s="1003"/>
      <c r="AO31" s="997">
        <v>28</v>
      </c>
      <c r="AP31" s="986"/>
      <c r="AQ31" s="987"/>
      <c r="AR31" s="1004"/>
      <c r="AS31" s="202"/>
      <c r="AT31" s="184"/>
      <c r="AU31" s="184"/>
      <c r="AV31" s="184"/>
      <c r="AW31" s="184"/>
      <c r="AX31" s="185"/>
      <c r="AY31" s="336"/>
      <c r="AZ31" s="337"/>
      <c r="BA31" s="203"/>
      <c r="BB31" s="676"/>
      <c r="BC31" s="1003"/>
      <c r="BD31" s="536" t="s">
        <v>421</v>
      </c>
    </row>
    <row r="32" spans="1:56" ht="19.05" customHeight="1" thickBot="1" x14ac:dyDescent="0.35">
      <c r="A32" s="998" t="str">
        <f>IF(IGRF!B28="","",IGRF!B28)</f>
        <v>83</v>
      </c>
      <c r="B32" s="174" t="s">
        <v>114</v>
      </c>
      <c r="C32" s="175"/>
      <c r="D32" s="175"/>
      <c r="E32" s="175"/>
      <c r="F32" s="175"/>
      <c r="G32" s="328"/>
      <c r="H32" s="329"/>
      <c r="I32" s="330"/>
      <c r="J32" s="176"/>
      <c r="K32" s="675"/>
      <c r="L32" s="994">
        <f>IF(COUNTA(B32:J32)=0,"",COUNTA(B32:J32))</f>
        <v>1</v>
      </c>
      <c r="M32" s="982">
        <v>29</v>
      </c>
      <c r="N32" s="972"/>
      <c r="O32" s="973">
        <v>29</v>
      </c>
      <c r="P32" s="998" t="str">
        <f>IF(IGRF!I28="","",IGRF!I28)</f>
        <v>88*</v>
      </c>
      <c r="Q32" s="174"/>
      <c r="R32" s="175"/>
      <c r="S32" s="175"/>
      <c r="T32" s="175"/>
      <c r="U32" s="175"/>
      <c r="V32" s="328"/>
      <c r="W32" s="329"/>
      <c r="X32" s="330"/>
      <c r="Y32" s="176"/>
      <c r="Z32" s="675"/>
      <c r="AA32" s="1000" t="str">
        <f>IF(COUNTA(Q32:Y32)=0,"",COUNTA(Q32:Y32))</f>
        <v/>
      </c>
      <c r="AB32" s="663" t="s">
        <v>56</v>
      </c>
      <c r="AC32" s="1002" t="str">
        <f>IF(IGRF!B28="","",IGRF!B28)</f>
        <v>83</v>
      </c>
      <c r="AD32" s="670"/>
      <c r="AE32" s="175" t="s">
        <v>124</v>
      </c>
      <c r="AF32" s="175" t="s">
        <v>115</v>
      </c>
      <c r="AG32" s="175"/>
      <c r="AH32" s="175"/>
      <c r="AI32" s="328"/>
      <c r="AJ32" s="329"/>
      <c r="AK32" s="330"/>
      <c r="AL32" s="176"/>
      <c r="AM32" s="675"/>
      <c r="AN32" s="994">
        <f>IF(COUNTA(AD32:AL32)=0,"",COUNTA(AD32:AL32))</f>
        <v>2</v>
      </c>
      <c r="AO32" s="982">
        <v>29</v>
      </c>
      <c r="AP32" s="972"/>
      <c r="AQ32" s="973"/>
      <c r="AR32" s="996" t="str">
        <f>IF(IGRF!I28="","",IGRF!I28)</f>
        <v>88*</v>
      </c>
      <c r="AS32" s="174"/>
      <c r="AT32" s="175"/>
      <c r="AU32" s="175"/>
      <c r="AV32" s="175"/>
      <c r="AW32" s="175"/>
      <c r="AX32" s="328"/>
      <c r="AY32" s="329"/>
      <c r="AZ32" s="330"/>
      <c r="BA32" s="176"/>
      <c r="BB32" s="675"/>
      <c r="BC32" s="994" t="str">
        <f>IF(COUNTA(AS32:BA32)=0,"",COUNTA(AS32:BA32))</f>
        <v/>
      </c>
      <c r="BD32" s="536" t="s">
        <v>56</v>
      </c>
    </row>
    <row r="33" spans="1:56" ht="19.05" customHeight="1" thickBot="1" x14ac:dyDescent="0.35">
      <c r="A33" s="999"/>
      <c r="B33" s="177">
        <v>12</v>
      </c>
      <c r="C33" s="178"/>
      <c r="D33" s="178"/>
      <c r="E33" s="178"/>
      <c r="F33" s="178"/>
      <c r="G33" s="331"/>
      <c r="H33" s="332"/>
      <c r="I33" s="333"/>
      <c r="J33" s="179"/>
      <c r="K33" s="676"/>
      <c r="L33" s="995"/>
      <c r="M33" s="997">
        <v>30</v>
      </c>
      <c r="N33" s="986"/>
      <c r="O33" s="987">
        <v>30</v>
      </c>
      <c r="P33" s="999"/>
      <c r="Q33" s="177"/>
      <c r="R33" s="178"/>
      <c r="S33" s="178"/>
      <c r="T33" s="178"/>
      <c r="U33" s="178"/>
      <c r="V33" s="331"/>
      <c r="W33" s="332"/>
      <c r="X33" s="333"/>
      <c r="Y33" s="179"/>
      <c r="Z33" s="676"/>
      <c r="AA33" s="1001"/>
      <c r="AB33" s="664" t="s">
        <v>424</v>
      </c>
      <c r="AC33" s="1002"/>
      <c r="AD33" s="671"/>
      <c r="AE33" s="178">
        <v>7</v>
      </c>
      <c r="AF33" s="178">
        <v>15</v>
      </c>
      <c r="AG33" s="178"/>
      <c r="AH33" s="178"/>
      <c r="AI33" s="331"/>
      <c r="AJ33" s="332"/>
      <c r="AK33" s="333"/>
      <c r="AL33" s="179"/>
      <c r="AM33" s="676"/>
      <c r="AN33" s="995"/>
      <c r="AO33" s="997">
        <v>30</v>
      </c>
      <c r="AP33" s="986"/>
      <c r="AQ33" s="987"/>
      <c r="AR33" s="996"/>
      <c r="AS33" s="177"/>
      <c r="AT33" s="178"/>
      <c r="AU33" s="178"/>
      <c r="AV33" s="178"/>
      <c r="AW33" s="178"/>
      <c r="AX33" s="331"/>
      <c r="AY33" s="332"/>
      <c r="AZ33" s="333"/>
      <c r="BA33" s="179"/>
      <c r="BB33" s="676"/>
      <c r="BC33" s="995"/>
      <c r="BD33" s="525" t="s">
        <v>424</v>
      </c>
    </row>
    <row r="34" spans="1:56" ht="19.05" customHeight="1" x14ac:dyDescent="0.3">
      <c r="A34" s="988" t="str">
        <f>IF(IGRF!B29="","",IGRF!B29)</f>
        <v>84</v>
      </c>
      <c r="B34" s="180" t="s">
        <v>117</v>
      </c>
      <c r="C34" s="181"/>
      <c r="D34" s="181"/>
      <c r="E34" s="181"/>
      <c r="F34" s="181"/>
      <c r="G34" s="182"/>
      <c r="H34" s="334"/>
      <c r="I34" s="335"/>
      <c r="J34" s="183"/>
      <c r="K34" s="675"/>
      <c r="L34" s="980">
        <f>IF(COUNTA(B34:J34)=0,"",COUNTA(B34:J34))</f>
        <v>1</v>
      </c>
      <c r="M34" s="982">
        <v>31</v>
      </c>
      <c r="N34" s="972"/>
      <c r="O34" s="973">
        <v>31</v>
      </c>
      <c r="P34" s="988" t="str">
        <f>IF(IGRF!I29="","",IGRF!I29)</f>
        <v>911</v>
      </c>
      <c r="Q34" s="180"/>
      <c r="R34" s="181"/>
      <c r="S34" s="181"/>
      <c r="T34" s="181"/>
      <c r="U34" s="181"/>
      <c r="V34" s="182"/>
      <c r="W34" s="334"/>
      <c r="X34" s="335"/>
      <c r="Y34" s="183"/>
      <c r="Z34" s="675"/>
      <c r="AA34" s="990" t="str">
        <f>IF(COUNTA(Q34:Y34)=0,"",COUNTA(Q34:Y34))</f>
        <v/>
      </c>
      <c r="AB34" s="665" t="s">
        <v>425</v>
      </c>
      <c r="AC34" s="992" t="str">
        <f>IF(IGRF!B29="","",IGRF!B29)</f>
        <v>84</v>
      </c>
      <c r="AD34" s="672"/>
      <c r="AE34" s="181" t="s">
        <v>430</v>
      </c>
      <c r="AF34" s="181" t="s">
        <v>117</v>
      </c>
      <c r="AG34" s="181" t="s">
        <v>117</v>
      </c>
      <c r="AH34" s="181" t="s">
        <v>117</v>
      </c>
      <c r="AI34" s="182"/>
      <c r="AJ34" s="334"/>
      <c r="AK34" s="335"/>
      <c r="AL34" s="183"/>
      <c r="AM34" s="675"/>
      <c r="AN34" s="980">
        <f>IF(COUNTA(AD34:AL34)=0,"",COUNTA(AD34:AL34))</f>
        <v>4</v>
      </c>
      <c r="AO34" s="982">
        <v>31</v>
      </c>
      <c r="AP34" s="972"/>
      <c r="AQ34" s="973"/>
      <c r="AR34" s="983" t="str">
        <f>IF(IGRF!I29="","",IGRF!I29)</f>
        <v>911</v>
      </c>
      <c r="AS34" s="180" t="s">
        <v>115</v>
      </c>
      <c r="AT34" s="181"/>
      <c r="AU34" s="181"/>
      <c r="AV34" s="181"/>
      <c r="AW34" s="181"/>
      <c r="AX34" s="182"/>
      <c r="AY34" s="334"/>
      <c r="AZ34" s="335"/>
      <c r="BA34" s="183"/>
      <c r="BB34" s="675"/>
      <c r="BC34" s="980">
        <f>IF(COUNTA(AS34:BA34)=0,"",COUNTA(AS34:BA34))</f>
        <v>1</v>
      </c>
      <c r="BD34" s="526" t="s">
        <v>425</v>
      </c>
    </row>
    <row r="35" spans="1:56" ht="19.05" customHeight="1" thickBot="1" x14ac:dyDescent="0.35">
      <c r="A35" s="1005"/>
      <c r="B35" s="202">
        <v>5</v>
      </c>
      <c r="C35" s="184"/>
      <c r="D35" s="184"/>
      <c r="E35" s="184"/>
      <c r="F35" s="184"/>
      <c r="G35" s="185"/>
      <c r="H35" s="336"/>
      <c r="I35" s="337"/>
      <c r="J35" s="203"/>
      <c r="K35" s="676"/>
      <c r="L35" s="1003"/>
      <c r="M35" s="997">
        <v>32</v>
      </c>
      <c r="N35" s="986"/>
      <c r="O35" s="987">
        <v>32</v>
      </c>
      <c r="P35" s="1005"/>
      <c r="Q35" s="202"/>
      <c r="R35" s="184"/>
      <c r="S35" s="184"/>
      <c r="T35" s="184"/>
      <c r="U35" s="184"/>
      <c r="V35" s="185"/>
      <c r="W35" s="336"/>
      <c r="X35" s="337"/>
      <c r="Y35" s="203"/>
      <c r="Z35" s="676"/>
      <c r="AA35" s="1006"/>
      <c r="AB35" s="665" t="s">
        <v>271</v>
      </c>
      <c r="AC35" s="1007"/>
      <c r="AD35" s="673"/>
      <c r="AE35" s="184">
        <v>3</v>
      </c>
      <c r="AF35" s="184">
        <v>4</v>
      </c>
      <c r="AG35" s="184">
        <v>11</v>
      </c>
      <c r="AH35" s="184">
        <v>12</v>
      </c>
      <c r="AI35" s="185"/>
      <c r="AJ35" s="336"/>
      <c r="AK35" s="337"/>
      <c r="AL35" s="203"/>
      <c r="AM35" s="676"/>
      <c r="AN35" s="1003"/>
      <c r="AO35" s="997">
        <v>32</v>
      </c>
      <c r="AP35" s="986"/>
      <c r="AQ35" s="987"/>
      <c r="AR35" s="1004"/>
      <c r="AS35" s="202">
        <v>6</v>
      </c>
      <c r="AT35" s="184"/>
      <c r="AU35" s="184"/>
      <c r="AV35" s="184"/>
      <c r="AW35" s="184"/>
      <c r="AX35" s="185"/>
      <c r="AY35" s="336"/>
      <c r="AZ35" s="337"/>
      <c r="BA35" s="203"/>
      <c r="BB35" s="676"/>
      <c r="BC35" s="1003"/>
      <c r="BD35" s="526" t="s">
        <v>271</v>
      </c>
    </row>
    <row r="36" spans="1:56" ht="19.05" customHeight="1" thickBot="1" x14ac:dyDescent="0.35">
      <c r="A36" s="998" t="str">
        <f>IF(IGRF!B30="","",IGRF!B30)</f>
        <v>86</v>
      </c>
      <c r="B36" s="174" t="s">
        <v>117</v>
      </c>
      <c r="C36" s="175"/>
      <c r="D36" s="175"/>
      <c r="E36" s="175"/>
      <c r="F36" s="175"/>
      <c r="G36" s="328"/>
      <c r="H36" s="329"/>
      <c r="I36" s="330"/>
      <c r="J36" s="176"/>
      <c r="K36" s="675"/>
      <c r="L36" s="994">
        <f>IF(COUNTA(B36:J36)=0,"",COUNTA(B36:J36))</f>
        <v>1</v>
      </c>
      <c r="M36" s="982">
        <v>33</v>
      </c>
      <c r="N36" s="972"/>
      <c r="O36" s="973">
        <v>33</v>
      </c>
      <c r="P36" s="998" t="str">
        <f>IF(IGRF!I30="","",IGRF!I30)</f>
        <v>94</v>
      </c>
      <c r="Q36" s="174" t="s">
        <v>117</v>
      </c>
      <c r="R36" s="175"/>
      <c r="S36" s="175"/>
      <c r="T36" s="175"/>
      <c r="U36" s="175"/>
      <c r="V36" s="328"/>
      <c r="W36" s="329"/>
      <c r="X36" s="330"/>
      <c r="Y36" s="176"/>
      <c r="Z36" s="675"/>
      <c r="AA36" s="1000">
        <f>IF(COUNTA(Q36:Y36)=0,"",COUNTA(Q36:Y36))</f>
        <v>1</v>
      </c>
      <c r="AB36" s="657" t="s">
        <v>114</v>
      </c>
      <c r="AC36" s="1002" t="str">
        <f>IF(IGRF!B30="","",IGRF!B30)</f>
        <v>86</v>
      </c>
      <c r="AD36" s="670"/>
      <c r="AE36" s="175" t="s">
        <v>124</v>
      </c>
      <c r="AF36" s="175"/>
      <c r="AG36" s="175"/>
      <c r="AH36" s="175"/>
      <c r="AI36" s="328"/>
      <c r="AJ36" s="329"/>
      <c r="AK36" s="330"/>
      <c r="AL36" s="176"/>
      <c r="AM36" s="675"/>
      <c r="AN36" s="994">
        <f>IF(COUNTA(AD36:AL36)=0,"",COUNTA(AD36:AL36))</f>
        <v>1</v>
      </c>
      <c r="AO36" s="982">
        <v>33</v>
      </c>
      <c r="AP36" s="972"/>
      <c r="AQ36" s="973"/>
      <c r="AR36" s="996" t="str">
        <f>IF(IGRF!I30="","",IGRF!I30)</f>
        <v>94</v>
      </c>
      <c r="AS36" s="174"/>
      <c r="AT36" s="175" t="s">
        <v>117</v>
      </c>
      <c r="AU36" s="175"/>
      <c r="AV36" s="175"/>
      <c r="AW36" s="175"/>
      <c r="AX36" s="328"/>
      <c r="AY36" s="329"/>
      <c r="AZ36" s="330"/>
      <c r="BA36" s="176"/>
      <c r="BB36" s="675"/>
      <c r="BC36" s="994">
        <f>IF(COUNTA(AS36:BA36)=0,"",COUNTA(AS36:BA36))</f>
        <v>1</v>
      </c>
      <c r="BD36" s="541" t="s">
        <v>114</v>
      </c>
    </row>
    <row r="37" spans="1:56" ht="19.05" customHeight="1" thickBot="1" x14ac:dyDescent="0.35">
      <c r="A37" s="999"/>
      <c r="B37" s="177">
        <v>5</v>
      </c>
      <c r="C37" s="178"/>
      <c r="D37" s="178"/>
      <c r="E37" s="178"/>
      <c r="F37" s="178"/>
      <c r="G37" s="331"/>
      <c r="H37" s="332"/>
      <c r="I37" s="333"/>
      <c r="J37" s="179"/>
      <c r="K37" s="676"/>
      <c r="L37" s="995"/>
      <c r="M37" s="997">
        <v>34</v>
      </c>
      <c r="N37" s="986"/>
      <c r="O37" s="987">
        <v>34</v>
      </c>
      <c r="P37" s="999"/>
      <c r="Q37" s="177">
        <v>19</v>
      </c>
      <c r="R37" s="178"/>
      <c r="S37" s="178"/>
      <c r="T37" s="178"/>
      <c r="U37" s="178"/>
      <c r="V37" s="331"/>
      <c r="W37" s="332"/>
      <c r="X37" s="333"/>
      <c r="Y37" s="179"/>
      <c r="Z37" s="676"/>
      <c r="AA37" s="1001"/>
      <c r="AB37" s="660" t="s">
        <v>417</v>
      </c>
      <c r="AC37" s="1002"/>
      <c r="AD37" s="671"/>
      <c r="AE37" s="178">
        <v>5</v>
      </c>
      <c r="AF37" s="178"/>
      <c r="AG37" s="178"/>
      <c r="AH37" s="178"/>
      <c r="AI37" s="331"/>
      <c r="AJ37" s="332"/>
      <c r="AK37" s="333"/>
      <c r="AL37" s="179"/>
      <c r="AM37" s="676"/>
      <c r="AN37" s="995"/>
      <c r="AO37" s="997">
        <v>34</v>
      </c>
      <c r="AP37" s="986"/>
      <c r="AQ37" s="987"/>
      <c r="AR37" s="996"/>
      <c r="AS37" s="177"/>
      <c r="AT37" s="178">
        <v>14</v>
      </c>
      <c r="AU37" s="178"/>
      <c r="AV37" s="178"/>
      <c r="AW37" s="178"/>
      <c r="AX37" s="331"/>
      <c r="AY37" s="332"/>
      <c r="AZ37" s="333"/>
      <c r="BA37" s="179"/>
      <c r="BB37" s="676"/>
      <c r="BC37" s="995"/>
      <c r="BD37" s="542" t="s">
        <v>417</v>
      </c>
    </row>
    <row r="38" spans="1:56" ht="19.05" customHeight="1" thickBot="1" x14ac:dyDescent="0.35">
      <c r="A38" s="988" t="str">
        <f>IF(IGRF!B31="","",IGRF!B31)</f>
        <v/>
      </c>
      <c r="B38" s="180"/>
      <c r="C38" s="181"/>
      <c r="D38" s="181"/>
      <c r="E38" s="181"/>
      <c r="F38" s="181"/>
      <c r="G38" s="182"/>
      <c r="H38" s="334"/>
      <c r="I38" s="335"/>
      <c r="J38" s="183"/>
      <c r="K38" s="675"/>
      <c r="L38" s="980" t="str">
        <f>IF(COUNTA(B38:J38)=0,"",COUNTA(B38:J38))</f>
        <v/>
      </c>
      <c r="M38" s="982">
        <v>35</v>
      </c>
      <c r="N38" s="972"/>
      <c r="O38" s="973">
        <v>35</v>
      </c>
      <c r="P38" s="988" t="str">
        <f>IF(IGRF!I31="","",IGRF!I31)</f>
        <v/>
      </c>
      <c r="Q38" s="180"/>
      <c r="R38" s="181"/>
      <c r="S38" s="181"/>
      <c r="T38" s="181"/>
      <c r="U38" s="181"/>
      <c r="V38" s="182"/>
      <c r="W38" s="334"/>
      <c r="X38" s="335"/>
      <c r="Y38" s="183"/>
      <c r="Z38" s="675"/>
      <c r="AA38" s="990" t="str">
        <f>IF(COUNTA(Q38:Y38)=0,"",COUNTA(Q38:Y38))</f>
        <v/>
      </c>
      <c r="AB38" s="545" t="s">
        <v>422</v>
      </c>
      <c r="AC38" s="992" t="str">
        <f>IF(IGRF!B31="","",IGRF!B31)</f>
        <v/>
      </c>
      <c r="AD38" s="672"/>
      <c r="AE38" s="181"/>
      <c r="AF38" s="181"/>
      <c r="AG38" s="181"/>
      <c r="AH38" s="181"/>
      <c r="AI38" s="182"/>
      <c r="AJ38" s="334"/>
      <c r="AK38" s="335"/>
      <c r="AL38" s="183"/>
      <c r="AM38" s="675"/>
      <c r="AN38" s="980" t="str">
        <f>IF(COUNTA(AD38:AL38)=0,"",COUNTA(AD38:AL38))</f>
        <v/>
      </c>
      <c r="AO38" s="982">
        <v>35</v>
      </c>
      <c r="AP38" s="972"/>
      <c r="AQ38" s="973"/>
      <c r="AR38" s="983" t="str">
        <f>IF(IGRF!I31="","",IGRF!I31)</f>
        <v/>
      </c>
      <c r="AS38" s="180"/>
      <c r="AT38" s="181"/>
      <c r="AU38" s="181"/>
      <c r="AV38" s="181"/>
      <c r="AW38" s="181"/>
      <c r="AX38" s="182"/>
      <c r="AY38" s="334"/>
      <c r="AZ38" s="335"/>
      <c r="BA38" s="183"/>
      <c r="BB38" s="675"/>
      <c r="BC38" s="980" t="str">
        <f>IF(COUNTA(AS38:BA38)=0,"",COUNTA(AS38:BA38))</f>
        <v/>
      </c>
      <c r="BD38" s="545" t="s">
        <v>422</v>
      </c>
    </row>
    <row r="39" spans="1:56" ht="19.05" customHeight="1" thickBot="1" x14ac:dyDescent="0.35">
      <c r="A39" s="1005"/>
      <c r="B39" s="202"/>
      <c r="C39" s="184"/>
      <c r="D39" s="184"/>
      <c r="E39" s="184"/>
      <c r="F39" s="184"/>
      <c r="G39" s="185"/>
      <c r="H39" s="336"/>
      <c r="I39" s="337"/>
      <c r="J39" s="203"/>
      <c r="K39" s="676"/>
      <c r="L39" s="1003"/>
      <c r="M39" s="997">
        <v>36</v>
      </c>
      <c r="N39" s="986"/>
      <c r="O39" s="987">
        <v>36</v>
      </c>
      <c r="P39" s="1005"/>
      <c r="Q39" s="202"/>
      <c r="R39" s="184"/>
      <c r="S39" s="184"/>
      <c r="T39" s="184"/>
      <c r="U39" s="184"/>
      <c r="V39" s="185"/>
      <c r="W39" s="336"/>
      <c r="X39" s="337"/>
      <c r="Y39" s="203"/>
      <c r="Z39" s="676"/>
      <c r="AA39" s="1006"/>
      <c r="AB39" s="658" t="s">
        <v>127</v>
      </c>
      <c r="AC39" s="1007"/>
      <c r="AD39" s="673"/>
      <c r="AE39" s="184"/>
      <c r="AF39" s="184"/>
      <c r="AG39" s="184"/>
      <c r="AH39" s="184"/>
      <c r="AI39" s="185"/>
      <c r="AJ39" s="336"/>
      <c r="AK39" s="337"/>
      <c r="AL39" s="203"/>
      <c r="AM39" s="676"/>
      <c r="AN39" s="1003"/>
      <c r="AO39" s="997">
        <v>36</v>
      </c>
      <c r="AP39" s="986"/>
      <c r="AQ39" s="987"/>
      <c r="AR39" s="1004"/>
      <c r="AS39" s="202"/>
      <c r="AT39" s="184"/>
      <c r="AU39" s="184"/>
      <c r="AV39" s="184"/>
      <c r="AW39" s="184"/>
      <c r="AX39" s="185"/>
      <c r="AY39" s="336"/>
      <c r="AZ39" s="337"/>
      <c r="BA39" s="203"/>
      <c r="BB39" s="676"/>
      <c r="BC39" s="1003"/>
      <c r="BD39" s="530" t="s">
        <v>127</v>
      </c>
    </row>
    <row r="40" spans="1:56" ht="19.05" customHeight="1" thickBot="1" x14ac:dyDescent="0.35">
      <c r="A40" s="998" t="str">
        <f>IF(IGRF!B32="","",IGRF!B32)</f>
        <v/>
      </c>
      <c r="B40" s="174"/>
      <c r="C40" s="175"/>
      <c r="D40" s="175"/>
      <c r="E40" s="175"/>
      <c r="F40" s="175"/>
      <c r="G40" s="328"/>
      <c r="H40" s="329"/>
      <c r="I40" s="330"/>
      <c r="J40" s="176"/>
      <c r="K40" s="675"/>
      <c r="L40" s="994" t="str">
        <f>IF(COUNTA(B40:J40)=0,"",COUNTA(B40:J40))</f>
        <v/>
      </c>
      <c r="M40" s="982">
        <v>37</v>
      </c>
      <c r="N40" s="972"/>
      <c r="O40" s="973">
        <v>37</v>
      </c>
      <c r="P40" s="998" t="str">
        <f>IF(IGRF!I32="","",IGRF!I32)</f>
        <v/>
      </c>
      <c r="Q40" s="174"/>
      <c r="R40" s="175"/>
      <c r="S40" s="175"/>
      <c r="T40" s="175"/>
      <c r="U40" s="175"/>
      <c r="V40" s="328"/>
      <c r="W40" s="329"/>
      <c r="X40" s="330"/>
      <c r="Y40" s="176"/>
      <c r="Z40" s="675"/>
      <c r="AA40" s="1000" t="str">
        <f>IF(COUNTA(Q40:Y40)=0,"",COUNTA(Q40:Y40))</f>
        <v/>
      </c>
      <c r="AB40" s="654" t="s">
        <v>418</v>
      </c>
      <c r="AC40" s="1002" t="str">
        <f>IF(IGRF!B32="","",IGRF!B32)</f>
        <v/>
      </c>
      <c r="AD40" s="670"/>
      <c r="AE40" s="175"/>
      <c r="AF40" s="175"/>
      <c r="AG40" s="175"/>
      <c r="AH40" s="175"/>
      <c r="AI40" s="328"/>
      <c r="AJ40" s="329"/>
      <c r="AK40" s="330"/>
      <c r="AL40" s="176"/>
      <c r="AM40" s="675"/>
      <c r="AN40" s="994" t="str">
        <f>IF(COUNTA(AD40:AL40)=0,"",COUNTA(AD40:AL40))</f>
        <v/>
      </c>
      <c r="AO40" s="982">
        <v>37</v>
      </c>
      <c r="AP40" s="972"/>
      <c r="AQ40" s="973"/>
      <c r="AR40" s="996" t="str">
        <f>IF(IGRF!I32="","",IGRF!I32)</f>
        <v/>
      </c>
      <c r="AS40" s="174"/>
      <c r="AT40" s="175"/>
      <c r="AU40" s="175"/>
      <c r="AV40" s="175"/>
      <c r="AW40" s="175"/>
      <c r="AX40" s="328"/>
      <c r="AY40" s="329"/>
      <c r="AZ40" s="330"/>
      <c r="BA40" s="176"/>
      <c r="BB40" s="675"/>
      <c r="BC40" s="994" t="str">
        <f>IF(COUNTA(AS40:BA40)=0,"",COUNTA(AS40:BA40))</f>
        <v/>
      </c>
      <c r="BD40" s="535" t="s">
        <v>418</v>
      </c>
    </row>
    <row r="41" spans="1:56" ht="19.05" customHeight="1" thickBot="1" x14ac:dyDescent="0.35">
      <c r="A41" s="999"/>
      <c r="B41" s="177"/>
      <c r="C41" s="178"/>
      <c r="D41" s="178"/>
      <c r="E41" s="178"/>
      <c r="F41" s="178"/>
      <c r="G41" s="331"/>
      <c r="H41" s="332"/>
      <c r="I41" s="333"/>
      <c r="J41" s="179"/>
      <c r="K41" s="676"/>
      <c r="L41" s="995"/>
      <c r="M41" s="997">
        <v>38</v>
      </c>
      <c r="N41" s="986"/>
      <c r="O41" s="987">
        <v>38</v>
      </c>
      <c r="P41" s="999"/>
      <c r="Q41" s="177"/>
      <c r="R41" s="178"/>
      <c r="S41" s="178"/>
      <c r="T41" s="178"/>
      <c r="U41" s="178"/>
      <c r="V41" s="331"/>
      <c r="W41" s="332"/>
      <c r="X41" s="333"/>
      <c r="Y41" s="179"/>
      <c r="Z41" s="676"/>
      <c r="AA41" s="1001"/>
      <c r="AB41" s="547" t="s">
        <v>172</v>
      </c>
      <c r="AC41" s="1002"/>
      <c r="AD41" s="671"/>
      <c r="AE41" s="178"/>
      <c r="AF41" s="178"/>
      <c r="AG41" s="178"/>
      <c r="AH41" s="178"/>
      <c r="AI41" s="331"/>
      <c r="AJ41" s="332"/>
      <c r="AK41" s="333"/>
      <c r="AL41" s="179"/>
      <c r="AM41" s="676"/>
      <c r="AN41" s="995"/>
      <c r="AO41" s="997">
        <v>38</v>
      </c>
      <c r="AP41" s="986"/>
      <c r="AQ41" s="987"/>
      <c r="AR41" s="996"/>
      <c r="AS41" s="177"/>
      <c r="AT41" s="178"/>
      <c r="AU41" s="178"/>
      <c r="AV41" s="178"/>
      <c r="AW41" s="178"/>
      <c r="AX41" s="331"/>
      <c r="AY41" s="332"/>
      <c r="AZ41" s="333"/>
      <c r="BA41" s="179"/>
      <c r="BB41" s="676"/>
      <c r="BC41" s="995"/>
      <c r="BD41" s="547" t="s">
        <v>172</v>
      </c>
    </row>
    <row r="42" spans="1:56" ht="19.05" customHeight="1" x14ac:dyDescent="0.3">
      <c r="A42" s="988" t="str">
        <f>IF(IGRF!B33="","",IGRF!B33)</f>
        <v/>
      </c>
      <c r="B42" s="180"/>
      <c r="C42" s="181"/>
      <c r="D42" s="181"/>
      <c r="E42" s="181"/>
      <c r="F42" s="181"/>
      <c r="G42" s="182"/>
      <c r="H42" s="334"/>
      <c r="I42" s="335"/>
      <c r="J42" s="183"/>
      <c r="K42" s="675"/>
      <c r="L42" s="980" t="str">
        <f>IF(COUNTA(B42:J42)=0,"",COUNTA(B42:J42))</f>
        <v/>
      </c>
      <c r="M42" s="982"/>
      <c r="N42" s="972"/>
      <c r="O42" s="973">
        <v>39</v>
      </c>
      <c r="P42" s="988" t="str">
        <f>IF(IGRF!I33="","",IGRF!I33)</f>
        <v/>
      </c>
      <c r="Q42" s="180"/>
      <c r="R42" s="181"/>
      <c r="S42" s="181"/>
      <c r="T42" s="181"/>
      <c r="U42" s="181"/>
      <c r="V42" s="182"/>
      <c r="W42" s="334"/>
      <c r="X42" s="335"/>
      <c r="Y42" s="183"/>
      <c r="Z42" s="675"/>
      <c r="AA42" s="990" t="str">
        <f>IF(COUNTA(Q42:Y42)=0,"",COUNTA(Q42:Y42))</f>
        <v/>
      </c>
      <c r="AB42" s="657" t="s">
        <v>121</v>
      </c>
      <c r="AC42" s="992" t="str">
        <f>IF(IGRF!B33="","",IGRF!B33)</f>
        <v/>
      </c>
      <c r="AD42" s="672"/>
      <c r="AE42" s="181"/>
      <c r="AF42" s="181"/>
      <c r="AG42" s="181"/>
      <c r="AH42" s="181"/>
      <c r="AI42" s="182"/>
      <c r="AJ42" s="334"/>
      <c r="AK42" s="335"/>
      <c r="AL42" s="183"/>
      <c r="AM42" s="675"/>
      <c r="AN42" s="980" t="str">
        <f>IF(COUNTA(AD42:AL42)=0,"",COUNTA(AD42:AL42))</f>
        <v/>
      </c>
      <c r="AO42" s="982"/>
      <c r="AP42" s="972"/>
      <c r="AQ42" s="973"/>
      <c r="AR42" s="983" t="str">
        <f>IF(IGRF!I33="","",IGRF!I33)</f>
        <v/>
      </c>
      <c r="AS42" s="180"/>
      <c r="AT42" s="181"/>
      <c r="AU42" s="181"/>
      <c r="AV42" s="181"/>
      <c r="AW42" s="181"/>
      <c r="AX42" s="182"/>
      <c r="AY42" s="334"/>
      <c r="AZ42" s="335"/>
      <c r="BA42" s="183"/>
      <c r="BB42" s="675"/>
      <c r="BC42" s="980" t="str">
        <f>IF(COUNTA(AS42:BA42)=0,"",COUNTA(AS42:BA42))</f>
        <v/>
      </c>
      <c r="BD42" s="541" t="s">
        <v>121</v>
      </c>
    </row>
    <row r="43" spans="1:56" ht="19.05" customHeight="1" thickBot="1" x14ac:dyDescent="0.35">
      <c r="A43" s="989"/>
      <c r="B43" s="186"/>
      <c r="C43" s="187"/>
      <c r="D43" s="187"/>
      <c r="E43" s="187"/>
      <c r="F43" s="187"/>
      <c r="G43" s="188"/>
      <c r="H43" s="470"/>
      <c r="I43" s="338"/>
      <c r="J43" s="189"/>
      <c r="K43" s="676"/>
      <c r="L43" s="981"/>
      <c r="M43" s="985"/>
      <c r="N43" s="986"/>
      <c r="O43" s="987">
        <v>40</v>
      </c>
      <c r="P43" s="989"/>
      <c r="Q43" s="186"/>
      <c r="R43" s="187"/>
      <c r="S43" s="187"/>
      <c r="T43" s="187"/>
      <c r="U43" s="187"/>
      <c r="V43" s="188"/>
      <c r="W43" s="470"/>
      <c r="X43" s="338"/>
      <c r="Y43" s="189"/>
      <c r="Z43" s="676"/>
      <c r="AA43" s="991"/>
      <c r="AB43" s="666" t="s">
        <v>57</v>
      </c>
      <c r="AC43" s="993"/>
      <c r="AD43" s="674"/>
      <c r="AE43" s="187"/>
      <c r="AF43" s="187"/>
      <c r="AG43" s="187"/>
      <c r="AH43" s="187"/>
      <c r="AI43" s="188"/>
      <c r="AJ43" s="470"/>
      <c r="AK43" s="338"/>
      <c r="AL43" s="189"/>
      <c r="AM43" s="676"/>
      <c r="AN43" s="981"/>
      <c r="AO43" s="985"/>
      <c r="AP43" s="986"/>
      <c r="AQ43" s="987"/>
      <c r="AR43" s="984"/>
      <c r="AS43" s="186"/>
      <c r="AT43" s="187"/>
      <c r="AU43" s="187"/>
      <c r="AV43" s="187"/>
      <c r="AW43" s="187"/>
      <c r="AX43" s="188"/>
      <c r="AY43" s="470"/>
      <c r="AZ43" s="338"/>
      <c r="BA43" s="189"/>
      <c r="BB43" s="676"/>
      <c r="BC43" s="981"/>
      <c r="BD43" s="546" t="s">
        <v>57</v>
      </c>
    </row>
    <row r="44" spans="1:56" s="13" customFormat="1" ht="16.5" customHeight="1" x14ac:dyDescent="0.25">
      <c r="A44" s="958" t="s">
        <v>272</v>
      </c>
      <c r="B44" s="959"/>
      <c r="C44" s="330"/>
      <c r="D44" s="175"/>
      <c r="E44" s="457">
        <f>COUNTA(C44:D44)</f>
        <v>0</v>
      </c>
      <c r="F44" s="976" t="s">
        <v>284</v>
      </c>
      <c r="G44" s="976"/>
      <c r="H44" s="976"/>
      <c r="I44" s="976"/>
      <c r="J44" s="976"/>
      <c r="K44" s="977"/>
      <c r="L44" s="974">
        <f>IF(SUM(L4:L43)=0,"",SUM(L4:L43,E44))</f>
        <v>12</v>
      </c>
      <c r="M44" s="971"/>
      <c r="N44" s="972"/>
      <c r="O44" s="973">
        <v>41</v>
      </c>
      <c r="P44" s="958" t="s">
        <v>272</v>
      </c>
      <c r="Q44" s="959"/>
      <c r="R44" s="330"/>
      <c r="S44" s="175"/>
      <c r="T44" s="457">
        <f>COUNTA(R44:S44)</f>
        <v>0</v>
      </c>
      <c r="U44" s="976" t="s">
        <v>284</v>
      </c>
      <c r="V44" s="976"/>
      <c r="W44" s="976"/>
      <c r="X44" s="976"/>
      <c r="Y44" s="976"/>
      <c r="Z44" s="977"/>
      <c r="AA44" s="967">
        <f>IF(SUM(AA4:AA43)=0,"",SUM(AA4:AA43,T44))</f>
        <v>4</v>
      </c>
      <c r="AB44" s="667" t="s">
        <v>511</v>
      </c>
      <c r="AC44" s="960" t="s">
        <v>272</v>
      </c>
      <c r="AD44" s="961"/>
      <c r="AE44" s="330"/>
      <c r="AF44" s="175"/>
      <c r="AG44" s="457">
        <f>COUNTA(AE44:AF44)</f>
        <v>0</v>
      </c>
      <c r="AH44" s="976" t="s">
        <v>285</v>
      </c>
      <c r="AI44" s="976"/>
      <c r="AJ44" s="976"/>
      <c r="AK44" s="976"/>
      <c r="AL44" s="976"/>
      <c r="AM44" s="977"/>
      <c r="AN44" s="969">
        <f>IF(SUM(AN4:AN43)=0,"",SUM(AN4:AN43,AG44))</f>
        <v>16</v>
      </c>
      <c r="AO44" s="971"/>
      <c r="AP44" s="972"/>
      <c r="AQ44" s="973"/>
      <c r="AR44" s="958" t="s">
        <v>272</v>
      </c>
      <c r="AS44" s="959"/>
      <c r="AT44" s="330"/>
      <c r="AU44" s="175"/>
      <c r="AV44" s="457">
        <f>COUNTA(AT44:AU44)</f>
        <v>0</v>
      </c>
      <c r="AW44" s="976" t="s">
        <v>285</v>
      </c>
      <c r="AX44" s="976"/>
      <c r="AY44" s="976"/>
      <c r="AZ44" s="976"/>
      <c r="BA44" s="976"/>
      <c r="BB44" s="977"/>
      <c r="BC44" s="962">
        <f>IF(SUM(BC4:BC43)=0,"",SUM(BC4:BC43,AV44))</f>
        <v>12</v>
      </c>
      <c r="BD44" s="667" t="s">
        <v>511</v>
      </c>
    </row>
    <row r="45" spans="1:56" ht="16.5" customHeight="1" thickBot="1" x14ac:dyDescent="0.35">
      <c r="A45" s="452"/>
      <c r="B45" s="453"/>
      <c r="C45" s="333"/>
      <c r="D45" s="178"/>
      <c r="E45" s="456"/>
      <c r="F45" s="978"/>
      <c r="G45" s="978"/>
      <c r="H45" s="978"/>
      <c r="I45" s="978"/>
      <c r="J45" s="978"/>
      <c r="K45" s="979"/>
      <c r="L45" s="975"/>
      <c r="M45" s="964"/>
      <c r="N45" s="965"/>
      <c r="O45" s="966">
        <v>42</v>
      </c>
      <c r="P45" s="452"/>
      <c r="Q45" s="453"/>
      <c r="R45" s="333"/>
      <c r="S45" s="178"/>
      <c r="T45" s="456"/>
      <c r="U45" s="978"/>
      <c r="V45" s="978"/>
      <c r="W45" s="978"/>
      <c r="X45" s="978"/>
      <c r="Y45" s="978"/>
      <c r="Z45" s="979"/>
      <c r="AA45" s="968"/>
      <c r="AB45" s="545" t="s">
        <v>512</v>
      </c>
      <c r="AC45" s="668"/>
      <c r="AD45" s="669"/>
      <c r="AE45" s="333"/>
      <c r="AF45" s="178"/>
      <c r="AG45" s="456"/>
      <c r="AH45" s="978"/>
      <c r="AI45" s="978"/>
      <c r="AJ45" s="978"/>
      <c r="AK45" s="978"/>
      <c r="AL45" s="978"/>
      <c r="AM45" s="979"/>
      <c r="AN45" s="970"/>
      <c r="AO45" s="964"/>
      <c r="AP45" s="965"/>
      <c r="AQ45" s="966"/>
      <c r="AR45" s="454"/>
      <c r="AS45" s="455"/>
      <c r="AT45" s="333"/>
      <c r="AU45" s="178"/>
      <c r="AV45" s="456"/>
      <c r="AW45" s="978"/>
      <c r="AX45" s="978"/>
      <c r="AY45" s="978"/>
      <c r="AZ45" s="978"/>
      <c r="BA45" s="978"/>
      <c r="BB45" s="979"/>
      <c r="BC45" s="963"/>
      <c r="BD45" s="545" t="s">
        <v>512</v>
      </c>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6" type="noConversion"/>
  <conditionalFormatting sqref="AD4:AM43 AS4:BB43 AE44:AF45 AT44:AU45">
    <cfRule type="expression" dxfId="6"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Q4:Y4 AD4:AL4 AS4:BA4 B6:J6 Q6:Y6 AD6:AL6 AS6:BA6 B8:J8 Q8:Y8 AD8:AL8 AS8:BA8 B10:J10 Q10:Y10 AD10:AL10 AS10:BA10 B12:J12 Q12:Y12 AD12:AL12 AS12:BA12 B14:J14 Q14:Y14 AD14:AL14 AS14:BA14 B16:J16 Q16:Y16 AD16:AL16 AS16:BA16 B18:J18 Q18:Y18 AD18:AL18 AS18:BA18 B20:J20 Q20:Y20 AD20:AL20 AS20:BA20 B22:J22 Q22:Y22 AD22:AL22 AS22:BA22 B24:J24 Q24:Y24 AD24:AL24 AS24:BA24 B26:J26 Q26:Y26 AD26:AL26 AS26:BA26 B28:J28 Q28:Y28 AD28:AL28 AS28:BA28 B30:J30 Q30:Y30 AD30:AL30 AS30:BA30 B32:J32 Q32:Y32 AD32:AL32 AS32:BA32 B34:J34 Q34:Y34 AD34:AL34 AS34:BA34 B36:J36 Q36:Y36 AD36:AL36 AS36:BA36 B38:J38 Q38:Y38 AD38:AL38 AS38:BA38 B40:J40 Q40:Y40 AD40:AL40 AS40:BA40 B42:J42 Q42:Y42 AD42:AL42 AS42:BA42</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A29" zoomScaleNormal="100" zoomScaleSheetLayoutView="100" workbookViewId="0">
      <selection activeCell="D68" sqref="D68"/>
    </sheetView>
  </sheetViews>
  <sheetFormatPr defaultColWidth="8.77734375" defaultRowHeight="13.8" x14ac:dyDescent="0.3"/>
  <cols>
    <col min="1" max="1" width="7.6640625" style="11" customWidth="1"/>
    <col min="2" max="2" width="6.44140625" style="11" customWidth="1"/>
    <col min="3" max="3" width="14.33203125" style="11" customWidth="1"/>
    <col min="4" max="6" width="4.109375" style="11" customWidth="1"/>
    <col min="7" max="7" width="14.33203125" style="11" customWidth="1"/>
    <col min="8" max="10" width="4.109375" style="11" customWidth="1"/>
    <col min="11" max="11" width="14.33203125" style="11" customWidth="1"/>
    <col min="12" max="14" width="4.109375" style="11" customWidth="1"/>
    <col min="15" max="15" width="14.33203125" style="11" customWidth="1"/>
    <col min="16" max="18" width="4.109375" style="11" customWidth="1"/>
    <col min="19" max="19" width="14.33203125" style="11" customWidth="1"/>
    <col min="20" max="22" width="4.109375" style="11" customWidth="1"/>
    <col min="23" max="23" width="5.44140625" style="11" hidden="1" customWidth="1"/>
    <col min="24" max="24" width="2.6640625" style="11" customWidth="1"/>
    <col min="25" max="25" width="6.44140625" style="11" customWidth="1"/>
    <col min="26" max="26" width="19.6640625" style="11" customWidth="1"/>
    <col min="27" max="27" width="7.6640625" style="11" customWidth="1"/>
    <col min="28" max="28" width="6.44140625" style="11" customWidth="1"/>
    <col min="29" max="29" width="14.33203125" style="11" customWidth="1"/>
    <col min="30" max="32" width="4.109375" style="11" customWidth="1"/>
    <col min="33" max="33" width="14.33203125" style="11" customWidth="1"/>
    <col min="34" max="36" width="4.109375" style="11" customWidth="1"/>
    <col min="37" max="37" width="14.33203125" style="11" customWidth="1"/>
    <col min="38" max="40" width="4.109375" style="11" customWidth="1"/>
    <col min="41" max="41" width="14.33203125" style="11" customWidth="1"/>
    <col min="42" max="44" width="4.109375" style="11" customWidth="1"/>
    <col min="45" max="45" width="14.33203125" style="11" customWidth="1"/>
    <col min="46" max="48" width="4.109375" style="11" customWidth="1"/>
    <col min="49" max="49" width="5.44140625" style="11" hidden="1" customWidth="1"/>
    <col min="50" max="50" width="2.6640625" style="11" customWidth="1"/>
    <col min="51" max="51" width="6.44140625" style="11" customWidth="1"/>
    <col min="52" max="52" width="19.33203125" style="11" customWidth="1"/>
    <col min="53" max="16384" width="8.77734375" style="11"/>
  </cols>
  <sheetData>
    <row r="1" spans="1:52" ht="28.95" customHeight="1" x14ac:dyDescent="0.45">
      <c r="A1" s="1031" t="str">
        <f>Score!$A$1</f>
        <v>Black Rose Rollers / All Stars</v>
      </c>
      <c r="B1" s="1031"/>
      <c r="C1" s="1031"/>
      <c r="D1" s="1031"/>
      <c r="E1" s="1031"/>
      <c r="F1" s="1031"/>
      <c r="G1" s="1031"/>
      <c r="H1" s="1028" t="str">
        <f>IF(ISBLANK(IGRF!$B$12), "", IGRF!$B$12)</f>
        <v>Black</v>
      </c>
      <c r="I1" s="1028"/>
      <c r="J1" s="1028"/>
      <c r="K1" s="1028"/>
      <c r="L1" s="1029">
        <f>IF(ISBLANK(IGRF!$B$7), "", IGRF!$B$7)</f>
        <v>45144</v>
      </c>
      <c r="M1" s="1029"/>
      <c r="N1" s="1029"/>
      <c r="O1" s="1029"/>
      <c r="P1" s="1030" t="s">
        <v>533</v>
      </c>
      <c r="Q1" s="1030"/>
      <c r="R1" s="1030"/>
      <c r="S1" s="1030"/>
      <c r="T1" s="1030"/>
      <c r="U1" s="1030"/>
      <c r="V1" s="1030"/>
      <c r="W1" s="1030"/>
      <c r="X1" s="1030"/>
      <c r="Y1" s="1030"/>
      <c r="Z1" s="514">
        <v>1</v>
      </c>
      <c r="AA1" s="1031" t="str">
        <f>Score!T1</f>
        <v>Steel City Roller Derby / Steel Hurtin'</v>
      </c>
      <c r="AB1" s="1031"/>
      <c r="AC1" s="1031"/>
      <c r="AD1" s="1031"/>
      <c r="AE1" s="1031"/>
      <c r="AF1" s="1031"/>
      <c r="AG1" s="1031"/>
      <c r="AH1" s="1028" t="str">
        <f>IF(ISBLANK(IGRF!$I$12), "", IGRF!$I$12)</f>
        <v>Yellow</v>
      </c>
      <c r="AI1" s="1028"/>
      <c r="AJ1" s="1028"/>
      <c r="AK1" s="1028"/>
      <c r="AL1" s="1029">
        <f>L1</f>
        <v>45144</v>
      </c>
      <c r="AM1" s="1029"/>
      <c r="AN1" s="1029"/>
      <c r="AO1" s="1029"/>
      <c r="AP1" s="1030" t="s">
        <v>534</v>
      </c>
      <c r="AQ1" s="1030"/>
      <c r="AR1" s="1030"/>
      <c r="AS1" s="1030"/>
      <c r="AT1" s="1030"/>
      <c r="AU1" s="1030"/>
      <c r="AV1" s="1030"/>
      <c r="AW1" s="1030"/>
      <c r="AX1" s="1030"/>
      <c r="AY1" s="1030"/>
      <c r="AZ1" s="514">
        <v>1</v>
      </c>
    </row>
    <row r="2" spans="1:52" ht="15" customHeight="1" thickBot="1" x14ac:dyDescent="0.35">
      <c r="A2" s="1032"/>
      <c r="B2" s="1032"/>
      <c r="C2" s="1032"/>
      <c r="D2" s="1032"/>
      <c r="E2" s="1032"/>
      <c r="F2" s="1032"/>
      <c r="G2" s="1032"/>
      <c r="H2" s="1025" t="s">
        <v>181</v>
      </c>
      <c r="I2" s="1025"/>
      <c r="J2" s="1025"/>
      <c r="K2" s="1025"/>
      <c r="L2" s="1026" t="s">
        <v>184</v>
      </c>
      <c r="M2" s="1026"/>
      <c r="N2" s="1026"/>
      <c r="O2" s="1026"/>
      <c r="P2" s="1027" t="s">
        <v>176</v>
      </c>
      <c r="Q2" s="1027"/>
      <c r="R2" s="1027"/>
      <c r="S2" s="1027"/>
      <c r="T2" s="1027"/>
      <c r="U2" s="1027"/>
      <c r="V2" s="1027"/>
      <c r="W2" s="1027"/>
      <c r="X2" s="1027"/>
      <c r="Y2" s="1027"/>
      <c r="Z2" s="515" t="str">
        <f>IF(ISBLANK(IGRF!$L$3), "", "GAME " &amp; IGRF!$L$3)</f>
        <v/>
      </c>
      <c r="AA2" s="1032"/>
      <c r="AB2" s="1032"/>
      <c r="AC2" s="1032"/>
      <c r="AD2" s="1032"/>
      <c r="AE2" s="1032"/>
      <c r="AF2" s="1032"/>
      <c r="AG2" s="1032"/>
      <c r="AH2" s="1025" t="s">
        <v>181</v>
      </c>
      <c r="AI2" s="1025"/>
      <c r="AJ2" s="1025"/>
      <c r="AK2" s="1025"/>
      <c r="AL2" s="1026" t="s">
        <v>184</v>
      </c>
      <c r="AM2" s="1026"/>
      <c r="AN2" s="1026"/>
      <c r="AO2" s="1026"/>
      <c r="AP2" s="1027" t="s">
        <v>176</v>
      </c>
      <c r="AQ2" s="1027"/>
      <c r="AR2" s="1027"/>
      <c r="AS2" s="1027"/>
      <c r="AT2" s="1027"/>
      <c r="AU2" s="1027"/>
      <c r="AV2" s="1027"/>
      <c r="AW2" s="1027"/>
      <c r="AX2" s="1027"/>
      <c r="AY2" s="1027"/>
      <c r="AZ2" s="515" t="str">
        <f>Z2</f>
        <v/>
      </c>
    </row>
    <row r="3" spans="1:52" s="15" customFormat="1" ht="13.5" customHeight="1" thickBot="1" x14ac:dyDescent="0.35">
      <c r="A3" s="270" t="s">
        <v>268</v>
      </c>
      <c r="B3" s="271" t="s">
        <v>182</v>
      </c>
      <c r="C3" s="272" t="s">
        <v>105</v>
      </c>
      <c r="D3" s="1033" t="s">
        <v>269</v>
      </c>
      <c r="E3" s="1033"/>
      <c r="F3" s="1033"/>
      <c r="G3" s="272" t="s">
        <v>103</v>
      </c>
      <c r="H3" s="1033" t="s">
        <v>269</v>
      </c>
      <c r="I3" s="1033"/>
      <c r="J3" s="1033"/>
      <c r="K3" s="272" t="s">
        <v>104</v>
      </c>
      <c r="L3" s="1033" t="s">
        <v>269</v>
      </c>
      <c r="M3" s="1033"/>
      <c r="N3" s="1033"/>
      <c r="O3" s="272" t="s">
        <v>104</v>
      </c>
      <c r="P3" s="1033" t="s">
        <v>269</v>
      </c>
      <c r="Q3" s="1033"/>
      <c r="R3" s="1033"/>
      <c r="S3" s="272" t="s">
        <v>104</v>
      </c>
      <c r="T3" s="1033" t="s">
        <v>269</v>
      </c>
      <c r="U3" s="1033"/>
      <c r="V3" s="1033"/>
      <c r="W3" s="299"/>
      <c r="X3" s="1034" t="s">
        <v>177</v>
      </c>
      <c r="Y3" s="1035"/>
      <c r="Z3" s="1036"/>
      <c r="AA3" s="270" t="s">
        <v>268</v>
      </c>
      <c r="AB3" s="271" t="s">
        <v>182</v>
      </c>
      <c r="AC3" s="272" t="s">
        <v>105</v>
      </c>
      <c r="AD3" s="1033" t="s">
        <v>269</v>
      </c>
      <c r="AE3" s="1033"/>
      <c r="AF3" s="1033"/>
      <c r="AG3" s="272" t="s">
        <v>103</v>
      </c>
      <c r="AH3" s="1033" t="s">
        <v>269</v>
      </c>
      <c r="AI3" s="1033"/>
      <c r="AJ3" s="1033"/>
      <c r="AK3" s="272" t="s">
        <v>104</v>
      </c>
      <c r="AL3" s="1033" t="s">
        <v>269</v>
      </c>
      <c r="AM3" s="1033"/>
      <c r="AN3" s="1033"/>
      <c r="AO3" s="272" t="s">
        <v>104</v>
      </c>
      <c r="AP3" s="1033" t="s">
        <v>269</v>
      </c>
      <c r="AQ3" s="1033"/>
      <c r="AR3" s="1033"/>
      <c r="AS3" s="272" t="s">
        <v>104</v>
      </c>
      <c r="AT3" s="1033" t="s">
        <v>269</v>
      </c>
      <c r="AU3" s="1033"/>
      <c r="AV3" s="1033"/>
      <c r="AW3" s="299"/>
      <c r="AX3" s="1034" t="s">
        <v>177</v>
      </c>
      <c r="AY3" s="1035"/>
      <c r="AZ3" s="1036"/>
    </row>
    <row r="4" spans="1:52" ht="31.95" customHeight="1" thickBot="1" x14ac:dyDescent="0.35">
      <c r="A4" s="476">
        <f>IF(Score!A4="", "",Score!A4 )</f>
        <v>1</v>
      </c>
      <c r="B4" s="477"/>
      <c r="C4" s="478" t="str">
        <f>IF(Score!B4="", "",Score!B4 )</f>
        <v>352</v>
      </c>
      <c r="D4" s="479"/>
      <c r="E4" s="479"/>
      <c r="F4" s="479"/>
      <c r="G4" s="480" t="s">
        <v>578</v>
      </c>
      <c r="H4" s="479"/>
      <c r="I4" s="479"/>
      <c r="J4" s="479"/>
      <c r="K4" s="480" t="s">
        <v>562</v>
      </c>
      <c r="L4" s="479"/>
      <c r="M4" s="479"/>
      <c r="N4" s="479"/>
      <c r="O4" s="480" t="s">
        <v>553</v>
      </c>
      <c r="P4" s="479"/>
      <c r="Q4" s="479"/>
      <c r="R4" s="479"/>
      <c r="S4" s="480" t="s">
        <v>549</v>
      </c>
      <c r="T4" s="479"/>
      <c r="U4" s="479"/>
      <c r="V4" s="481"/>
      <c r="W4" s="298">
        <f ca="1">IF(A4="","",SUMIF(SK!B$3:B$78,ROW(),SK!D$3:D$78))</f>
        <v>0</v>
      </c>
      <c r="Y4" s="681" t="str">
        <f>IF(IGRF!B14="","",IGRF!B14)</f>
        <v>101</v>
      </c>
      <c r="Z4" s="466" t="str">
        <f>IF(IGRF!C14="","",IGRF!C14)</f>
        <v>Jackie Treehorn</v>
      </c>
      <c r="AA4" s="280">
        <f>IF(Score!T4="", "",Score!T4 )</f>
        <v>1</v>
      </c>
      <c r="AB4" s="477"/>
      <c r="AC4" s="478" t="str">
        <f>IF(Score!U4="", "",Score!U4 )</f>
        <v>12</v>
      </c>
      <c r="AD4" s="479"/>
      <c r="AE4" s="479"/>
      <c r="AF4" s="479"/>
      <c r="AG4" s="480" t="s">
        <v>606</v>
      </c>
      <c r="AH4" s="479"/>
      <c r="AI4" s="479"/>
      <c r="AJ4" s="479"/>
      <c r="AK4" s="480" t="s">
        <v>556</v>
      </c>
      <c r="AL4" s="479"/>
      <c r="AM4" s="479"/>
      <c r="AN4" s="479"/>
      <c r="AO4" s="480" t="s">
        <v>588</v>
      </c>
      <c r="AP4" s="479"/>
      <c r="AQ4" s="479"/>
      <c r="AR4" s="479"/>
      <c r="AS4" s="480" t="s">
        <v>610</v>
      </c>
      <c r="AT4" s="479"/>
      <c r="AU4" s="479"/>
      <c r="AV4" s="481"/>
      <c r="AW4" s="298">
        <f ca="1">IF(AA4="","",SUMIF(SK!R$3:R$78,ROW(),SK!T$3:T$78))</f>
        <v>4</v>
      </c>
      <c r="AY4" s="681" t="str">
        <f>IF(IGRF!I14="","",IGRF!I14)</f>
        <v>12</v>
      </c>
      <c r="AZ4" s="466" t="str">
        <f>IF(IGRF!J14="","",IGRF!J14)</f>
        <v>Zorra</v>
      </c>
    </row>
    <row r="5" spans="1:52" ht="31.95" customHeight="1" thickBot="1" x14ac:dyDescent="0.35">
      <c r="A5" s="277" t="str">
        <f>IF(Score!A5="", "",Score!A5 )</f>
        <v>SP</v>
      </c>
      <c r="B5" s="281" t="s">
        <v>114</v>
      </c>
      <c r="C5" s="279" t="str">
        <f>IF(Score!B5="", "",Score!B5 )</f>
        <v>84</v>
      </c>
      <c r="D5" s="294"/>
      <c r="E5" s="294"/>
      <c r="F5" s="294"/>
      <c r="G5" s="297" t="s">
        <v>568</v>
      </c>
      <c r="H5" s="294"/>
      <c r="I5" s="294"/>
      <c r="J5" s="294"/>
      <c r="K5" s="297" t="s">
        <v>562</v>
      </c>
      <c r="L5" s="294"/>
      <c r="M5" s="294"/>
      <c r="N5" s="294"/>
      <c r="O5" s="297" t="s">
        <v>553</v>
      </c>
      <c r="P5" s="294"/>
      <c r="Q5" s="294"/>
      <c r="R5" s="294"/>
      <c r="S5" s="297" t="s">
        <v>549</v>
      </c>
      <c r="T5" s="294"/>
      <c r="U5" s="294"/>
      <c r="V5" s="296"/>
      <c r="W5" s="298">
        <f ca="1">IF(A5="","",SUMIF(SK!B$3:B$78,ROW(),SK!D$3:D$78))</f>
        <v>0</v>
      </c>
      <c r="AA5" s="281" t="str">
        <f>IF(Score!T5="", "",Score!T5 )</f>
        <v>SP*</v>
      </c>
      <c r="AB5" s="281"/>
      <c r="AC5" s="279" t="str">
        <f>IF(Score!U5="", "",Score!U5 )</f>
        <v/>
      </c>
      <c r="AD5" s="294"/>
      <c r="AE5" s="294"/>
      <c r="AF5" s="294"/>
      <c r="AG5" s="297"/>
      <c r="AH5" s="294"/>
      <c r="AI5" s="294"/>
      <c r="AJ5" s="294"/>
      <c r="AK5" s="297"/>
      <c r="AL5" s="294"/>
      <c r="AM5" s="294"/>
      <c r="AN5" s="294"/>
      <c r="AO5" s="297"/>
      <c r="AP5" s="294"/>
      <c r="AQ5" s="294"/>
      <c r="AR5" s="294"/>
      <c r="AS5" s="297"/>
      <c r="AT5" s="294"/>
      <c r="AU5" s="294"/>
      <c r="AV5" s="296"/>
      <c r="AW5" s="298">
        <f ca="1">IF(AA5="","",SUMIF(SK!R$3:R$78,ROW(),SK!T$3:T$78))</f>
        <v>0</v>
      </c>
    </row>
    <row r="6" spans="1:52" ht="31.95" customHeight="1" thickBot="1" x14ac:dyDescent="0.35">
      <c r="A6" s="276">
        <f>IF(Score!A6="", "",Score!A6 )</f>
        <v>2</v>
      </c>
      <c r="B6" s="280"/>
      <c r="C6" s="278" t="str">
        <f>IF(Score!B6="", "",Score!B6 )</f>
        <v>123</v>
      </c>
      <c r="D6" s="294"/>
      <c r="E6" s="294"/>
      <c r="F6" s="294"/>
      <c r="G6" s="295" t="s">
        <v>553</v>
      </c>
      <c r="H6" s="294"/>
      <c r="I6" s="294"/>
      <c r="J6" s="294"/>
      <c r="K6" s="295" t="s">
        <v>580</v>
      </c>
      <c r="L6" s="294"/>
      <c r="M6" s="294"/>
      <c r="N6" s="294"/>
      <c r="O6" s="295" t="s">
        <v>566</v>
      </c>
      <c r="P6" s="294"/>
      <c r="Q6" s="294"/>
      <c r="R6" s="294"/>
      <c r="S6" s="295" t="s">
        <v>549</v>
      </c>
      <c r="T6" s="294"/>
      <c r="U6" s="294"/>
      <c r="V6" s="296"/>
      <c r="W6" s="298">
        <f ca="1">IF(A6="","",SUMIF(SK!B$3:B$78,ROW(),SK!D$3:D$78))</f>
        <v>0</v>
      </c>
      <c r="Y6" s="681" t="str">
        <f>IF(IGRF!B15="","",IGRF!B15)</f>
        <v>123</v>
      </c>
      <c r="Z6" s="466" t="str">
        <f>IF(IGRF!C15="","",IGRF!C15)</f>
        <v>Bacon 4 Mercy</v>
      </c>
      <c r="AA6" s="280">
        <f>IF(Score!T6="", "",Score!T6 )</f>
        <v>2</v>
      </c>
      <c r="AB6" s="280"/>
      <c r="AC6" s="278" t="str">
        <f>IF(Score!U6="", "",Score!U6 )</f>
        <v>23</v>
      </c>
      <c r="AD6" s="294"/>
      <c r="AE6" s="294"/>
      <c r="AF6" s="294"/>
      <c r="AG6" s="295" t="s">
        <v>590</v>
      </c>
      <c r="AH6" s="294"/>
      <c r="AI6" s="294"/>
      <c r="AJ6" s="294"/>
      <c r="AK6" s="295" t="s">
        <v>586</v>
      </c>
      <c r="AL6" s="294"/>
      <c r="AM6" s="294"/>
      <c r="AN6" s="294"/>
      <c r="AO6" s="295" t="s">
        <v>597</v>
      </c>
      <c r="AP6" s="294"/>
      <c r="AQ6" s="294"/>
      <c r="AR6" s="294"/>
      <c r="AS6" s="295" t="s">
        <v>599</v>
      </c>
      <c r="AT6" s="294"/>
      <c r="AU6" s="294"/>
      <c r="AV6" s="296"/>
      <c r="AW6" s="298">
        <f ca="1">IF(AA6="","",SUMIF(SK!R$3:R$78,ROW(),SK!T$3:T$78))</f>
        <v>2</v>
      </c>
      <c r="AY6" s="681" t="str">
        <f>IF(IGRF!I15="","",IGRF!I15)</f>
        <v>16</v>
      </c>
      <c r="AZ6" s="466" t="str">
        <f>IF(IGRF!J15="","",IGRF!J15)</f>
        <v>Dodge n Burn</v>
      </c>
    </row>
    <row r="7" spans="1:52" ht="31.95" customHeight="1" thickBot="1" x14ac:dyDescent="0.35">
      <c r="A7" s="277">
        <f>IF(Score!A7="", "",Score!A7 )</f>
        <v>3</v>
      </c>
      <c r="B7" s="281"/>
      <c r="C7" s="279" t="str">
        <f>IF(Score!B7="", "",Score!B7 )</f>
        <v>352</v>
      </c>
      <c r="D7" s="294"/>
      <c r="E7" s="294"/>
      <c r="F7" s="294"/>
      <c r="G7" s="297" t="s">
        <v>578</v>
      </c>
      <c r="H7" s="294"/>
      <c r="I7" s="294"/>
      <c r="J7" s="294"/>
      <c r="K7" s="297" t="s">
        <v>576</v>
      </c>
      <c r="L7" s="294"/>
      <c r="M7" s="294"/>
      <c r="N7" s="294"/>
      <c r="O7" s="297" t="s">
        <v>562</v>
      </c>
      <c r="P7" s="294"/>
      <c r="Q7" s="294"/>
      <c r="R7" s="294"/>
      <c r="S7" s="297" t="s">
        <v>570</v>
      </c>
      <c r="T7" s="294"/>
      <c r="U7" s="294"/>
      <c r="V7" s="296"/>
      <c r="W7" s="298">
        <f ca="1">IF(A7="","",SUMIF(SK!B$3:B$78,ROW(),SK!D$3:D$78))</f>
        <v>3</v>
      </c>
      <c r="AA7" s="281">
        <f>IF(Score!T7="", "",Score!T7 )</f>
        <v>3</v>
      </c>
      <c r="AB7" s="281"/>
      <c r="AC7" s="279" t="str">
        <f>IF(Score!U7="", "",Score!U7 )</f>
        <v>49</v>
      </c>
      <c r="AD7" s="294"/>
      <c r="AE7" s="294"/>
      <c r="AF7" s="294"/>
      <c r="AG7" s="297" t="s">
        <v>606</v>
      </c>
      <c r="AH7" s="294"/>
      <c r="AI7" s="294"/>
      <c r="AJ7" s="294"/>
      <c r="AK7" s="297" t="s">
        <v>588</v>
      </c>
      <c r="AL7" s="294"/>
      <c r="AM7" s="294"/>
      <c r="AN7" s="294"/>
      <c r="AO7" s="297" t="s">
        <v>556</v>
      </c>
      <c r="AP7" s="294"/>
      <c r="AQ7" s="294"/>
      <c r="AR7" s="294"/>
      <c r="AS7" s="297" t="s">
        <v>610</v>
      </c>
      <c r="AT7" s="294"/>
      <c r="AU7" s="294"/>
      <c r="AV7" s="296"/>
      <c r="AW7" s="298">
        <f ca="1">IF(AA7="","",SUMIF(SK!R$3:R$78,ROW(),SK!T$3:T$78))</f>
        <v>0</v>
      </c>
    </row>
    <row r="8" spans="1:52" ht="31.95" customHeight="1" thickBot="1" x14ac:dyDescent="0.35">
      <c r="A8" s="276">
        <f>IF(Score!A8="", "",Score!A8 )</f>
        <v>4</v>
      </c>
      <c r="B8" s="280"/>
      <c r="C8" s="278" t="str">
        <f>IF(Score!B8="", "",Score!B8 )</f>
        <v>202</v>
      </c>
      <c r="D8" s="294" t="s">
        <v>617</v>
      </c>
      <c r="E8" s="294"/>
      <c r="F8" s="294"/>
      <c r="G8" s="295" t="s">
        <v>574</v>
      </c>
      <c r="H8" s="294"/>
      <c r="I8" s="294"/>
      <c r="J8" s="294"/>
      <c r="K8" s="295" t="s">
        <v>553</v>
      </c>
      <c r="L8" s="294"/>
      <c r="M8" s="294"/>
      <c r="N8" s="294"/>
      <c r="O8" s="295" t="s">
        <v>566</v>
      </c>
      <c r="P8" s="294"/>
      <c r="Q8" s="294"/>
      <c r="R8" s="294"/>
      <c r="S8" s="295" t="s">
        <v>549</v>
      </c>
      <c r="T8" s="294"/>
      <c r="U8" s="294"/>
      <c r="V8" s="296"/>
      <c r="W8" s="298">
        <f ca="1">IF(A8="","",SUMIF(SK!B$3:B$78,ROW(),SK!D$3:D$78))</f>
        <v>8</v>
      </c>
      <c r="Y8" s="681" t="str">
        <f>IF(IGRF!B16="","",IGRF!B16)</f>
        <v>1760</v>
      </c>
      <c r="Z8" s="466" t="str">
        <f>IF(IGRF!C16="","",IGRF!C16)</f>
        <v>By O. Hazard</v>
      </c>
      <c r="AA8" s="280">
        <f>IF(Score!T8="", "",Score!T8 )</f>
        <v>4</v>
      </c>
      <c r="AB8" s="280"/>
      <c r="AC8" s="278" t="str">
        <f>IF(Score!U8="", "",Score!U8 )</f>
        <v>223</v>
      </c>
      <c r="AD8" s="294"/>
      <c r="AE8" s="294"/>
      <c r="AF8" s="294"/>
      <c r="AG8" s="295" t="s">
        <v>590</v>
      </c>
      <c r="AH8" s="294"/>
      <c r="AI8" s="294"/>
      <c r="AJ8" s="294"/>
      <c r="AK8" s="295" t="s">
        <v>599</v>
      </c>
      <c r="AL8" s="294"/>
      <c r="AM8" s="294"/>
      <c r="AN8" s="294"/>
      <c r="AO8" s="295" t="s">
        <v>586</v>
      </c>
      <c r="AP8" s="294"/>
      <c r="AQ8" s="294"/>
      <c r="AR8" s="294"/>
      <c r="AS8" s="295" t="s">
        <v>597</v>
      </c>
      <c r="AT8" s="294"/>
      <c r="AU8" s="294"/>
      <c r="AV8" s="296"/>
      <c r="AW8" s="298">
        <f ca="1">IF(AA8="","",SUMIF(SK!R$3:R$78,ROW(),SK!T$3:T$78))</f>
        <v>0</v>
      </c>
      <c r="AY8" s="681" t="str">
        <f>IF(IGRF!I16="","",IGRF!I16)</f>
        <v>17</v>
      </c>
      <c r="AZ8" s="466" t="str">
        <f>IF(IGRF!J16="","",IGRF!J16)</f>
        <v>Yinzey Lohan</v>
      </c>
    </row>
    <row r="9" spans="1:52" ht="31.95" customHeight="1" thickBot="1" x14ac:dyDescent="0.35">
      <c r="A9" s="277" t="str">
        <f>IF(Score!A9="", "",Score!A9 )</f>
        <v>SP*</v>
      </c>
      <c r="B9" s="281"/>
      <c r="C9" s="279" t="str">
        <f>IF(Score!B9="", "",Score!B9 )</f>
        <v/>
      </c>
      <c r="D9" s="294"/>
      <c r="E9" s="294"/>
      <c r="F9" s="294"/>
      <c r="G9" s="297"/>
      <c r="H9" s="294"/>
      <c r="I9" s="294"/>
      <c r="J9" s="294"/>
      <c r="K9" s="297"/>
      <c r="L9" s="294"/>
      <c r="M9" s="294"/>
      <c r="N9" s="294"/>
      <c r="O9" s="297"/>
      <c r="P9" s="294"/>
      <c r="Q9" s="294"/>
      <c r="R9" s="294"/>
      <c r="S9" s="297"/>
      <c r="T9" s="294"/>
      <c r="U9" s="294"/>
      <c r="V9" s="296"/>
      <c r="W9" s="298">
        <f ca="1">IF(A9="","",SUMIF(SK!B$3:B$78,ROW(),SK!D$3:D$78))</f>
        <v>0</v>
      </c>
      <c r="AA9" s="281" t="str">
        <f>IF(Score!T9="", "",Score!T9 )</f>
        <v>SP</v>
      </c>
      <c r="AB9" s="281" t="s">
        <v>114</v>
      </c>
      <c r="AC9" s="279" t="str">
        <f>IF(Score!U9="", "",Score!U9 )</f>
        <v>219</v>
      </c>
      <c r="AD9" s="294"/>
      <c r="AE9" s="294"/>
      <c r="AF9" s="294"/>
      <c r="AG9" s="297" t="s">
        <v>593</v>
      </c>
      <c r="AH9" s="294"/>
      <c r="AI9" s="294"/>
      <c r="AJ9" s="294"/>
      <c r="AK9" s="297" t="s">
        <v>599</v>
      </c>
      <c r="AL9" s="294"/>
      <c r="AM9" s="294"/>
      <c r="AN9" s="294"/>
      <c r="AO9" s="297" t="s">
        <v>586</v>
      </c>
      <c r="AP9" s="294"/>
      <c r="AQ9" s="294"/>
      <c r="AR9" s="294"/>
      <c r="AS9" s="297" t="s">
        <v>597</v>
      </c>
      <c r="AT9" s="294"/>
      <c r="AU9" s="294"/>
      <c r="AV9" s="296"/>
      <c r="AW9" s="298">
        <f ca="1">IF(AA9="","",SUMIF(SK!R$3:R$78,ROW(),SK!T$3:T$78))</f>
        <v>4</v>
      </c>
    </row>
    <row r="10" spans="1:52" ht="31.95" customHeight="1" thickBot="1" x14ac:dyDescent="0.35">
      <c r="A10" s="276">
        <f>IF(Score!A10="", "",Score!A10 )</f>
        <v>5</v>
      </c>
      <c r="B10" s="280"/>
      <c r="C10" s="278" t="str">
        <f>IF(Score!B10="", "",Score!B10 )</f>
        <v>123</v>
      </c>
      <c r="D10" s="294"/>
      <c r="E10" s="294"/>
      <c r="F10" s="294"/>
      <c r="G10" s="295" t="s">
        <v>578</v>
      </c>
      <c r="H10" s="294" t="s">
        <v>617</v>
      </c>
      <c r="I10" s="294"/>
      <c r="J10" s="294"/>
      <c r="K10" s="295" t="s">
        <v>580</v>
      </c>
      <c r="L10" s="294" t="s">
        <v>618</v>
      </c>
      <c r="M10" s="294"/>
      <c r="N10" s="294"/>
      <c r="O10" s="295" t="s">
        <v>560</v>
      </c>
      <c r="P10" s="294" t="s">
        <v>617</v>
      </c>
      <c r="Q10" s="294" t="s">
        <v>618</v>
      </c>
      <c r="R10" s="294"/>
      <c r="S10" s="295" t="s">
        <v>562</v>
      </c>
      <c r="T10" s="294"/>
      <c r="U10" s="294"/>
      <c r="V10" s="296"/>
      <c r="W10" s="298">
        <f ca="1">IF(A10="","",SUMIF(SK!B$3:B$78,ROW(),SK!D$3:D$78))</f>
        <v>8</v>
      </c>
      <c r="Y10" s="681" t="str">
        <f>IF(IGRF!B17="","",IGRF!B17)</f>
        <v>202</v>
      </c>
      <c r="Z10" s="466" t="str">
        <f>IF(IGRF!C17="","",IGRF!C17)</f>
        <v>Thai-GRRR</v>
      </c>
      <c r="AA10" s="280">
        <f>IF(Score!T10="", "",Score!T10 )</f>
        <v>5</v>
      </c>
      <c r="AB10" s="280"/>
      <c r="AC10" s="278" t="str">
        <f>IF(Score!U10="", "",Score!U10 )</f>
        <v>23</v>
      </c>
      <c r="AD10" s="294"/>
      <c r="AE10" s="294"/>
      <c r="AF10" s="294"/>
      <c r="AG10" s="295" t="s">
        <v>606</v>
      </c>
      <c r="AH10" s="294"/>
      <c r="AI10" s="294"/>
      <c r="AJ10" s="294"/>
      <c r="AK10" s="295" t="s">
        <v>588</v>
      </c>
      <c r="AL10" s="294"/>
      <c r="AM10" s="294"/>
      <c r="AN10" s="294"/>
      <c r="AO10" s="295" t="s">
        <v>584</v>
      </c>
      <c r="AP10" s="294"/>
      <c r="AQ10" s="294"/>
      <c r="AR10" s="294"/>
      <c r="AS10" s="295" t="s">
        <v>610</v>
      </c>
      <c r="AT10" s="294"/>
      <c r="AU10" s="294"/>
      <c r="AV10" s="296"/>
      <c r="AW10" s="298">
        <f ca="1">IF(AA10="","",SUMIF(SK!R$3:R$78,ROW(),SK!T$3:T$78))</f>
        <v>0</v>
      </c>
      <c r="AY10" s="681" t="str">
        <f>IF(IGRF!I17="","",IGRF!I17)</f>
        <v>2</v>
      </c>
      <c r="AZ10" s="466" t="str">
        <f>IF(IGRF!J17="","",IGRF!J17)</f>
        <v>Stark Raven</v>
      </c>
    </row>
    <row r="11" spans="1:52" ht="31.95" customHeight="1" thickBot="1" x14ac:dyDescent="0.35">
      <c r="A11" s="277">
        <f>IF(Score!A11="", "",Score!A11 )</f>
        <v>6</v>
      </c>
      <c r="B11" s="281"/>
      <c r="C11" s="279" t="str">
        <f>IF(Score!B11="", "",Score!B11 )</f>
        <v>352</v>
      </c>
      <c r="D11" s="294"/>
      <c r="E11" s="294"/>
      <c r="F11" s="294"/>
      <c r="G11" s="297" t="s">
        <v>553</v>
      </c>
      <c r="H11" s="294"/>
      <c r="I11" s="294"/>
      <c r="J11" s="294"/>
      <c r="K11" s="297" t="s">
        <v>580</v>
      </c>
      <c r="L11" s="294" t="s">
        <v>619</v>
      </c>
      <c r="M11" s="294"/>
      <c r="N11" s="294"/>
      <c r="O11" s="297" t="s">
        <v>560</v>
      </c>
      <c r="P11" s="294" t="s">
        <v>619</v>
      </c>
      <c r="Q11" s="294"/>
      <c r="R11" s="294"/>
      <c r="S11" s="297" t="s">
        <v>549</v>
      </c>
      <c r="T11" s="294"/>
      <c r="U11" s="294"/>
      <c r="V11" s="296"/>
      <c r="W11" s="298">
        <f ca="1">IF(A11="","",SUMIF(SK!B$3:B$78,ROW(),SK!D$3:D$78))</f>
        <v>0</v>
      </c>
      <c r="AA11" s="281">
        <f>IF(Score!T11="", "",Score!T11 )</f>
        <v>6</v>
      </c>
      <c r="AB11" s="281"/>
      <c r="AC11" s="279" t="str">
        <f>IF(Score!U11="", "",Score!U11 )</f>
        <v>12</v>
      </c>
      <c r="AD11" s="294"/>
      <c r="AE11" s="294"/>
      <c r="AF11" s="294"/>
      <c r="AG11" s="297" t="s">
        <v>597</v>
      </c>
      <c r="AH11" s="294"/>
      <c r="AI11" s="294"/>
      <c r="AJ11" s="294"/>
      <c r="AK11" s="297" t="s">
        <v>586</v>
      </c>
      <c r="AL11" s="294"/>
      <c r="AM11" s="294"/>
      <c r="AN11" s="294"/>
      <c r="AO11" s="297" t="s">
        <v>599</v>
      </c>
      <c r="AP11" s="294"/>
      <c r="AQ11" s="294"/>
      <c r="AR11" s="294"/>
      <c r="AS11" s="297" t="s">
        <v>590</v>
      </c>
      <c r="AT11" s="294"/>
      <c r="AU11" s="294"/>
      <c r="AV11" s="296"/>
      <c r="AW11" s="298">
        <f ca="1">IF(AA11="","",SUMIF(SK!R$3:R$78,ROW(),SK!T$3:T$78))</f>
        <v>0</v>
      </c>
    </row>
    <row r="12" spans="1:52" ht="31.95" customHeight="1" thickBot="1" x14ac:dyDescent="0.35">
      <c r="A12" s="276">
        <f>IF(Score!A12="", "",Score!A12 )</f>
        <v>7</v>
      </c>
      <c r="B12" s="280"/>
      <c r="C12" s="278" t="str">
        <f>IF(Score!B12="", "",Score!B12 )</f>
        <v>202</v>
      </c>
      <c r="D12" s="294"/>
      <c r="E12" s="294"/>
      <c r="F12" s="294"/>
      <c r="G12" s="295" t="s">
        <v>553</v>
      </c>
      <c r="H12" s="294" t="s">
        <v>617</v>
      </c>
      <c r="I12" s="294"/>
      <c r="J12" s="294"/>
      <c r="K12" s="295" t="s">
        <v>562</v>
      </c>
      <c r="L12" s="294"/>
      <c r="M12" s="294"/>
      <c r="N12" s="294"/>
      <c r="O12" s="295" t="s">
        <v>580</v>
      </c>
      <c r="P12" s="294"/>
      <c r="Q12" s="294"/>
      <c r="R12" s="294"/>
      <c r="S12" s="295" t="s">
        <v>549</v>
      </c>
      <c r="T12" s="294"/>
      <c r="U12" s="294"/>
      <c r="V12" s="296"/>
      <c r="W12" s="298">
        <f ca="1">IF(A12="","",SUMIF(SK!B$3:B$78,ROW(),SK!D$3:D$78))</f>
        <v>8</v>
      </c>
      <c r="Y12" s="681" t="str">
        <f>IF(IGRF!B18="","",IGRF!B18)</f>
        <v>22</v>
      </c>
      <c r="Z12" s="466" t="str">
        <f>IF(IGRF!C18="","",IGRF!C18)</f>
        <v>Jen Hex</v>
      </c>
      <c r="AA12" s="280">
        <f>IF(Score!T12="", "",Score!T12 )</f>
        <v>7</v>
      </c>
      <c r="AB12" s="280"/>
      <c r="AC12" s="278" t="str">
        <f>IF(Score!U12="", "",Score!U12 )</f>
        <v>49</v>
      </c>
      <c r="AD12" s="294"/>
      <c r="AE12" s="294"/>
      <c r="AF12" s="294"/>
      <c r="AG12" s="295" t="s">
        <v>606</v>
      </c>
      <c r="AH12" s="294"/>
      <c r="AI12" s="294"/>
      <c r="AJ12" s="294"/>
      <c r="AK12" s="295" t="s">
        <v>588</v>
      </c>
      <c r="AL12" s="294"/>
      <c r="AM12" s="294"/>
      <c r="AN12" s="294"/>
      <c r="AO12" s="295" t="s">
        <v>556</v>
      </c>
      <c r="AP12" s="294"/>
      <c r="AQ12" s="294"/>
      <c r="AR12" s="294"/>
      <c r="AS12" s="295" t="s">
        <v>610</v>
      </c>
      <c r="AT12" s="294"/>
      <c r="AU12" s="294"/>
      <c r="AV12" s="296"/>
      <c r="AW12" s="298">
        <f ca="1">IF(AA12="","",SUMIF(SK!R$3:R$78,ROW(),SK!T$3:T$78))</f>
        <v>0</v>
      </c>
      <c r="AY12" s="681" t="str">
        <f>IF(IGRF!I18="","",IGRF!I18)</f>
        <v>219</v>
      </c>
      <c r="AZ12" s="466" t="str">
        <f>IF(IGRF!J18="","",IGRF!J18)</f>
        <v>Dakota Slamming</v>
      </c>
    </row>
    <row r="13" spans="1:52" ht="31.95" customHeight="1" thickBot="1" x14ac:dyDescent="0.35">
      <c r="A13" s="277" t="str">
        <f>IF(Score!A13="", "",Score!A13 )</f>
        <v>SP*</v>
      </c>
      <c r="B13" s="281"/>
      <c r="C13" s="279" t="str">
        <f>IF(Score!B13="", "",Score!B13 )</f>
        <v/>
      </c>
      <c r="D13" s="294"/>
      <c r="E13" s="294"/>
      <c r="F13" s="294"/>
      <c r="G13" s="297"/>
      <c r="H13" s="294"/>
      <c r="I13" s="294"/>
      <c r="J13" s="294"/>
      <c r="K13" s="297"/>
      <c r="L13" s="294"/>
      <c r="M13" s="294"/>
      <c r="N13" s="294"/>
      <c r="O13" s="297"/>
      <c r="P13" s="294"/>
      <c r="Q13" s="294"/>
      <c r="R13" s="294"/>
      <c r="S13" s="297"/>
      <c r="T13" s="294"/>
      <c r="U13" s="294"/>
      <c r="V13" s="296"/>
      <c r="W13" s="298">
        <f ca="1">IF(A13="","",SUMIF(SK!B$3:B$78,ROW(),SK!D$3:D$78))</f>
        <v>0</v>
      </c>
      <c r="AA13" s="281" t="str">
        <f>IF(Score!T13="", "",Score!T13 )</f>
        <v>SP</v>
      </c>
      <c r="AB13" s="281" t="s">
        <v>114</v>
      </c>
      <c r="AC13" s="279" t="str">
        <f>IF(Score!U13="", "",Score!U13 )</f>
        <v>800</v>
      </c>
      <c r="AD13" s="294"/>
      <c r="AE13" s="294"/>
      <c r="AF13" s="294"/>
      <c r="AG13" s="297" t="s">
        <v>600</v>
      </c>
      <c r="AH13" s="294"/>
      <c r="AI13" s="294"/>
      <c r="AJ13" s="294"/>
      <c r="AK13" s="297" t="s">
        <v>588</v>
      </c>
      <c r="AL13" s="294"/>
      <c r="AM13" s="294"/>
      <c r="AN13" s="294"/>
      <c r="AO13" s="297" t="s">
        <v>556</v>
      </c>
      <c r="AP13" s="294" t="s">
        <v>618</v>
      </c>
      <c r="AQ13" s="294"/>
      <c r="AR13" s="294"/>
      <c r="AS13" s="297" t="s">
        <v>610</v>
      </c>
      <c r="AT13" s="294"/>
      <c r="AU13" s="294"/>
      <c r="AV13" s="296"/>
      <c r="AW13" s="298">
        <f ca="1">IF(AA13="","",SUMIF(SK!R$3:R$78,ROW(),SK!T$3:T$78))</f>
        <v>0</v>
      </c>
    </row>
    <row r="14" spans="1:52" ht="31.95" customHeight="1" thickBot="1" x14ac:dyDescent="0.35">
      <c r="A14" s="276">
        <f>IF(Score!A14="", "",Score!A14 )</f>
        <v>8</v>
      </c>
      <c r="B14" s="280"/>
      <c r="C14" s="278" t="str">
        <f>IF(Score!B14="", "",Score!B14 )</f>
        <v>22</v>
      </c>
      <c r="D14" s="294"/>
      <c r="E14" s="294"/>
      <c r="F14" s="294"/>
      <c r="G14" s="295" t="s">
        <v>578</v>
      </c>
      <c r="H14" s="294"/>
      <c r="I14" s="294"/>
      <c r="J14" s="294"/>
      <c r="K14" s="295" t="s">
        <v>570</v>
      </c>
      <c r="L14" s="294" t="s">
        <v>618</v>
      </c>
      <c r="M14" s="294"/>
      <c r="N14" s="294"/>
      <c r="O14" s="295" t="s">
        <v>576</v>
      </c>
      <c r="P14" s="294"/>
      <c r="Q14" s="294"/>
      <c r="R14" s="294"/>
      <c r="S14" s="295" t="s">
        <v>562</v>
      </c>
      <c r="T14" s="294"/>
      <c r="U14" s="294"/>
      <c r="V14" s="296"/>
      <c r="W14" s="298">
        <f ca="1">IF(A14="","",SUMIF(SK!B$3:B$78,ROW(),SK!D$3:D$78))</f>
        <v>0</v>
      </c>
      <c r="Y14" s="681" t="str">
        <f>IF(IGRF!B19="","",IGRF!B19)</f>
        <v>221*</v>
      </c>
      <c r="Z14" s="466" t="str">
        <f>IF(IGRF!C19="","",IGRF!C19)</f>
        <v>Kili Pepa</v>
      </c>
      <c r="AA14" s="280">
        <f>IF(Score!T14="", "",Score!T14 )</f>
        <v>8</v>
      </c>
      <c r="AB14" s="280"/>
      <c r="AC14" s="278" t="str">
        <f>IF(Score!U14="", "",Score!U14 )</f>
        <v>23</v>
      </c>
      <c r="AD14" s="294"/>
      <c r="AE14" s="294"/>
      <c r="AF14" s="294"/>
      <c r="AG14" s="295" t="s">
        <v>597</v>
      </c>
      <c r="AH14" s="294"/>
      <c r="AI14" s="294"/>
      <c r="AJ14" s="294"/>
      <c r="AK14" s="295" t="s">
        <v>590</v>
      </c>
      <c r="AL14" s="294"/>
      <c r="AM14" s="294"/>
      <c r="AN14" s="294"/>
      <c r="AO14" s="295" t="s">
        <v>599</v>
      </c>
      <c r="AP14" s="294"/>
      <c r="AQ14" s="294"/>
      <c r="AR14" s="294"/>
      <c r="AS14" s="295" t="s">
        <v>556</v>
      </c>
      <c r="AT14" s="294" t="s">
        <v>619</v>
      </c>
      <c r="AU14" s="294"/>
      <c r="AV14" s="296"/>
      <c r="AW14" s="298">
        <f ca="1">IF(AA14="","",SUMIF(SK!R$3:R$78,ROW(),SK!T$3:T$78))</f>
        <v>4</v>
      </c>
      <c r="AY14" s="681" t="str">
        <f>IF(IGRF!I19="","",IGRF!I19)</f>
        <v>22</v>
      </c>
      <c r="AZ14" s="466" t="str">
        <f>IF(IGRF!J19="","",IGRF!J19)</f>
        <v>Dammit Jammit</v>
      </c>
    </row>
    <row r="15" spans="1:52" ht="31.95" customHeight="1" thickBot="1" x14ac:dyDescent="0.35">
      <c r="A15" s="277" t="str">
        <f>IF(Score!A15="", "",Score!A15 )</f>
        <v>SP</v>
      </c>
      <c r="B15" s="281" t="s">
        <v>114</v>
      </c>
      <c r="C15" s="279" t="str">
        <f>IF(Score!B15="", "",Score!B15 )</f>
        <v>84</v>
      </c>
      <c r="D15" s="294"/>
      <c r="E15" s="294"/>
      <c r="F15" s="294"/>
      <c r="G15" s="297" t="s">
        <v>556</v>
      </c>
      <c r="H15" s="294"/>
      <c r="I15" s="294"/>
      <c r="J15" s="294"/>
      <c r="K15" s="297" t="s">
        <v>570</v>
      </c>
      <c r="L15" s="294" t="s">
        <v>619</v>
      </c>
      <c r="M15" s="294"/>
      <c r="N15" s="294"/>
      <c r="O15" s="297" t="s">
        <v>576</v>
      </c>
      <c r="P15" s="294"/>
      <c r="Q15" s="294"/>
      <c r="R15" s="294"/>
      <c r="S15" s="297" t="s">
        <v>562</v>
      </c>
      <c r="T15" s="294"/>
      <c r="U15" s="294"/>
      <c r="V15" s="296"/>
      <c r="W15" s="298">
        <f ca="1">IF(A15="","",SUMIF(SK!B$3:B$78,ROW(),SK!D$3:D$78))</f>
        <v>0</v>
      </c>
      <c r="AA15" s="281" t="str">
        <f>IF(Score!T15="", "",Score!T15 )</f>
        <v>SP*</v>
      </c>
      <c r="AB15" s="281"/>
      <c r="AC15" s="279" t="str">
        <f>IF(Score!U15="", "",Score!U15 )</f>
        <v/>
      </c>
      <c r="AD15" s="294"/>
      <c r="AE15" s="294"/>
      <c r="AF15" s="294"/>
      <c r="AG15" s="297"/>
      <c r="AH15" s="294"/>
      <c r="AI15" s="294"/>
      <c r="AJ15" s="294"/>
      <c r="AK15" s="297"/>
      <c r="AL15" s="294"/>
      <c r="AM15" s="294"/>
      <c r="AN15" s="294"/>
      <c r="AO15" s="297"/>
      <c r="AP15" s="294"/>
      <c r="AQ15" s="294"/>
      <c r="AR15" s="294"/>
      <c r="AS15" s="297"/>
      <c r="AT15" s="294"/>
      <c r="AU15" s="294"/>
      <c r="AV15" s="296"/>
      <c r="AW15" s="298">
        <f ca="1">IF(AA15="","",SUMIF(SK!R$3:R$78,ROW(),SK!T$3:T$78))</f>
        <v>0</v>
      </c>
    </row>
    <row r="16" spans="1:52" ht="31.95" customHeight="1" thickBot="1" x14ac:dyDescent="0.35">
      <c r="A16" s="276">
        <f>IF(Score!A16="", "",Score!A16 )</f>
        <v>9</v>
      </c>
      <c r="B16" s="280"/>
      <c r="C16" s="278" t="str">
        <f>IF(Score!B16="", "",Score!B16 )</f>
        <v>352</v>
      </c>
      <c r="D16" s="294"/>
      <c r="E16" s="294"/>
      <c r="F16" s="294"/>
      <c r="G16" s="295" t="s">
        <v>574</v>
      </c>
      <c r="H16" s="294" t="s">
        <v>618</v>
      </c>
      <c r="I16" s="294"/>
      <c r="J16" s="294"/>
      <c r="K16" s="295" t="s">
        <v>580</v>
      </c>
      <c r="L16" s="294"/>
      <c r="M16" s="294"/>
      <c r="N16" s="294"/>
      <c r="O16" s="295" t="s">
        <v>549</v>
      </c>
      <c r="P16" s="294"/>
      <c r="Q16" s="294"/>
      <c r="R16" s="294"/>
      <c r="S16" s="295" t="s">
        <v>566</v>
      </c>
      <c r="T16" s="294"/>
      <c r="U16" s="294"/>
      <c r="V16" s="296"/>
      <c r="W16" s="298">
        <f ca="1">IF(A16="","",SUMIF(SK!B$3:B$78,ROW(),SK!D$3:D$78))</f>
        <v>0</v>
      </c>
      <c r="Y16" s="681" t="str">
        <f>IF(IGRF!B20="","",IGRF!B20)</f>
        <v>229</v>
      </c>
      <c r="Z16" s="466" t="str">
        <f>IF(IGRF!C20="","",IGRF!C20)</f>
        <v>Sparky</v>
      </c>
      <c r="AA16" s="280">
        <f>IF(Score!T16="", "",Score!T16 )</f>
        <v>9</v>
      </c>
      <c r="AB16" s="280"/>
      <c r="AC16" s="278" t="str">
        <f>IF(Score!U16="", "",Score!U16 )</f>
        <v>12</v>
      </c>
      <c r="AD16" s="294"/>
      <c r="AE16" s="294"/>
      <c r="AF16" s="294"/>
      <c r="AG16" s="295" t="s">
        <v>610</v>
      </c>
      <c r="AH16" s="294"/>
      <c r="AI16" s="294"/>
      <c r="AJ16" s="294"/>
      <c r="AK16" s="295" t="s">
        <v>588</v>
      </c>
      <c r="AL16" s="294"/>
      <c r="AM16" s="294"/>
      <c r="AN16" s="294"/>
      <c r="AO16" s="295" t="s">
        <v>606</v>
      </c>
      <c r="AP16" s="294"/>
      <c r="AQ16" s="294"/>
      <c r="AR16" s="294"/>
      <c r="AS16" s="295" t="s">
        <v>556</v>
      </c>
      <c r="AT16" s="294"/>
      <c r="AU16" s="294"/>
      <c r="AV16" s="296"/>
      <c r="AW16" s="298">
        <f ca="1">IF(AA16="","",SUMIF(SK!R$3:R$78,ROW(),SK!T$3:T$78))</f>
        <v>4</v>
      </c>
      <c r="AY16" s="681" t="str">
        <f>IF(IGRF!I20="","",IGRF!I20)</f>
        <v>223</v>
      </c>
      <c r="AZ16" s="466" t="str">
        <f>IF(IGRF!J20="","",IGRF!J20)</f>
        <v>Frida Killah</v>
      </c>
    </row>
    <row r="17" spans="1:52" ht="31.95" customHeight="1" thickBot="1" x14ac:dyDescent="0.35">
      <c r="A17" s="277">
        <f>IF(Score!A17="", "",Score!A17 )</f>
        <v>10</v>
      </c>
      <c r="B17" s="281"/>
      <c r="C17" s="279" t="str">
        <f>IF(Score!B17="", "",Score!B17 )</f>
        <v>123</v>
      </c>
      <c r="D17" s="294"/>
      <c r="E17" s="294"/>
      <c r="F17" s="294"/>
      <c r="G17" s="297" t="s">
        <v>574</v>
      </c>
      <c r="H17" s="294" t="s">
        <v>619</v>
      </c>
      <c r="I17" s="294"/>
      <c r="J17" s="294"/>
      <c r="K17" s="297" t="s">
        <v>578</v>
      </c>
      <c r="L17" s="294"/>
      <c r="M17" s="294"/>
      <c r="N17" s="294"/>
      <c r="O17" s="297" t="s">
        <v>576</v>
      </c>
      <c r="P17" s="294"/>
      <c r="Q17" s="294"/>
      <c r="R17" s="294"/>
      <c r="S17" s="297" t="s">
        <v>562</v>
      </c>
      <c r="T17" s="294"/>
      <c r="U17" s="294"/>
      <c r="V17" s="296"/>
      <c r="W17" s="298">
        <f ca="1">IF(A17="","",SUMIF(SK!B$3:B$78,ROW(),SK!D$3:D$78))</f>
        <v>4</v>
      </c>
      <c r="AA17" s="281">
        <f>IF(Score!T17="", "",Score!T17 )</f>
        <v>10</v>
      </c>
      <c r="AB17" s="281"/>
      <c r="AC17" s="279" t="str">
        <f>IF(Score!U17="", "",Score!U17 )</f>
        <v>49</v>
      </c>
      <c r="AD17" s="294"/>
      <c r="AE17" s="294"/>
      <c r="AF17" s="294"/>
      <c r="AG17" s="297" t="s">
        <v>597</v>
      </c>
      <c r="AH17" s="294"/>
      <c r="AI17" s="294"/>
      <c r="AJ17" s="294"/>
      <c r="AK17" s="297" t="s">
        <v>586</v>
      </c>
      <c r="AL17" s="294"/>
      <c r="AM17" s="294"/>
      <c r="AN17" s="294"/>
      <c r="AO17" s="297" t="s">
        <v>599</v>
      </c>
      <c r="AP17" s="294"/>
      <c r="AQ17" s="294"/>
      <c r="AR17" s="294"/>
      <c r="AS17" s="297" t="s">
        <v>590</v>
      </c>
      <c r="AT17" s="294"/>
      <c r="AU17" s="294"/>
      <c r="AV17" s="296"/>
      <c r="AW17" s="298">
        <f ca="1">IF(AA17="","",SUMIF(SK!R$3:R$78,ROW(),SK!T$3:T$78))</f>
        <v>0</v>
      </c>
    </row>
    <row r="18" spans="1:52" ht="31.95" customHeight="1" thickBot="1" x14ac:dyDescent="0.35">
      <c r="A18" s="276" t="str">
        <f>IF(Score!A18="", "",Score!A18 )</f>
        <v>SP*</v>
      </c>
      <c r="B18" s="280"/>
      <c r="C18" s="278" t="str">
        <f>IF(Score!B18="", "",Score!B18 )</f>
        <v/>
      </c>
      <c r="D18" s="294"/>
      <c r="E18" s="294"/>
      <c r="F18" s="294"/>
      <c r="G18" s="295"/>
      <c r="H18" s="294"/>
      <c r="I18" s="294"/>
      <c r="J18" s="294"/>
      <c r="K18" s="295"/>
      <c r="L18" s="294"/>
      <c r="M18" s="294"/>
      <c r="N18" s="294"/>
      <c r="O18" s="295"/>
      <c r="P18" s="294"/>
      <c r="Q18" s="294"/>
      <c r="R18" s="294"/>
      <c r="S18" s="295"/>
      <c r="T18" s="294"/>
      <c r="U18" s="294"/>
      <c r="V18" s="296"/>
      <c r="W18" s="298">
        <f ca="1">IF(A18="","",SUMIF(SK!B$3:B$78,ROW(),SK!D$3:D$78))</f>
        <v>0</v>
      </c>
      <c r="Y18" s="681" t="str">
        <f>IF(IGRF!B21="","",IGRF!B21)</f>
        <v>237</v>
      </c>
      <c r="Z18" s="466" t="str">
        <f>IF(IGRF!C21="","",IGRF!C21)</f>
        <v>RedRum</v>
      </c>
      <c r="AA18" s="280" t="str">
        <f>IF(Score!T18="", "",Score!T18 )</f>
        <v>SP</v>
      </c>
      <c r="AB18" s="280" t="s">
        <v>114</v>
      </c>
      <c r="AC18" s="278" t="str">
        <f>IF(Score!U18="", "",Score!U18 )</f>
        <v>25</v>
      </c>
      <c r="AD18" s="294"/>
      <c r="AE18" s="294"/>
      <c r="AF18" s="294"/>
      <c r="AG18" s="295" t="s">
        <v>600</v>
      </c>
      <c r="AH18" s="294"/>
      <c r="AI18" s="294"/>
      <c r="AJ18" s="294"/>
      <c r="AK18" s="295" t="s">
        <v>586</v>
      </c>
      <c r="AL18" s="294"/>
      <c r="AM18" s="294"/>
      <c r="AN18" s="294"/>
      <c r="AO18" s="295" t="s">
        <v>599</v>
      </c>
      <c r="AP18" s="294"/>
      <c r="AQ18" s="294"/>
      <c r="AR18" s="294"/>
      <c r="AS18" s="295" t="s">
        <v>590</v>
      </c>
      <c r="AT18" s="294"/>
      <c r="AU18" s="294"/>
      <c r="AV18" s="296"/>
      <c r="AW18" s="298">
        <f ca="1">IF(AA18="","",SUMIF(SK!R$3:R$78,ROW(),SK!T$3:T$78))</f>
        <v>0</v>
      </c>
      <c r="AY18" s="681" t="str">
        <f>IF(IGRF!I21="","",IGRF!I21)</f>
        <v>23</v>
      </c>
      <c r="AZ18" s="466" t="str">
        <f>IF(IGRF!J21="","",IGRF!J21)</f>
        <v>Towanda Woman</v>
      </c>
    </row>
    <row r="19" spans="1:52" ht="31.95" customHeight="1" thickBot="1" x14ac:dyDescent="0.35">
      <c r="A19" s="277">
        <f>IF(Score!A19="", "",Score!A19 )</f>
        <v>11</v>
      </c>
      <c r="B19" s="281"/>
      <c r="C19" s="279" t="str">
        <f>IF(Score!B19="", "",Score!B19 )</f>
        <v>202</v>
      </c>
      <c r="D19" s="294"/>
      <c r="E19" s="294"/>
      <c r="F19" s="294"/>
      <c r="G19" s="297" t="s">
        <v>553</v>
      </c>
      <c r="H19" s="294"/>
      <c r="I19" s="294"/>
      <c r="J19" s="294"/>
      <c r="K19" s="297" t="s">
        <v>560</v>
      </c>
      <c r="L19" s="294"/>
      <c r="M19" s="294"/>
      <c r="N19" s="294"/>
      <c r="O19" s="297" t="s">
        <v>549</v>
      </c>
      <c r="P19" s="294"/>
      <c r="Q19" s="294"/>
      <c r="R19" s="294"/>
      <c r="S19" s="297" t="s">
        <v>580</v>
      </c>
      <c r="T19" s="294"/>
      <c r="U19" s="294"/>
      <c r="V19" s="296"/>
      <c r="W19" s="298">
        <f ca="1">IF(A19="","",SUMIF(SK!B$3:B$78,ROW(),SK!D$3:D$78))</f>
        <v>0</v>
      </c>
      <c r="AA19" s="281">
        <f>IF(Score!T19="", "",Score!T19 )</f>
        <v>11</v>
      </c>
      <c r="AB19" s="281"/>
      <c r="AC19" s="279" t="str">
        <f>IF(Score!U19="", "",Score!U19 )</f>
        <v>23</v>
      </c>
      <c r="AD19" s="294"/>
      <c r="AE19" s="294"/>
      <c r="AF19" s="294"/>
      <c r="AG19" s="297" t="s">
        <v>606</v>
      </c>
      <c r="AH19" s="294"/>
      <c r="AI19" s="294"/>
      <c r="AJ19" s="294"/>
      <c r="AK19" s="297" t="s">
        <v>588</v>
      </c>
      <c r="AL19" s="294"/>
      <c r="AM19" s="294"/>
      <c r="AN19" s="294"/>
      <c r="AO19" s="297" t="s">
        <v>612</v>
      </c>
      <c r="AP19" s="294"/>
      <c r="AQ19" s="294"/>
      <c r="AR19" s="294"/>
      <c r="AS19" s="297" t="s">
        <v>610</v>
      </c>
      <c r="AT19" s="294"/>
      <c r="AU19" s="294"/>
      <c r="AV19" s="296"/>
      <c r="AW19" s="298">
        <f ca="1">IF(AA19="","",SUMIF(SK!R$3:R$78,ROW(),SK!T$3:T$78))</f>
        <v>0</v>
      </c>
    </row>
    <row r="20" spans="1:52" ht="31.95" customHeight="1" thickBot="1" x14ac:dyDescent="0.35">
      <c r="A20" s="276">
        <f>IF(Score!A20="", "",Score!A20 )</f>
        <v>12</v>
      </c>
      <c r="B20" s="280"/>
      <c r="C20" s="278" t="str">
        <f>IF(Score!B20="", "",Score!B20 )</f>
        <v>123</v>
      </c>
      <c r="D20" s="294"/>
      <c r="E20" s="294"/>
      <c r="F20" s="294"/>
      <c r="G20" s="295" t="s">
        <v>578</v>
      </c>
      <c r="H20" s="294"/>
      <c r="I20" s="294"/>
      <c r="J20" s="294"/>
      <c r="K20" s="295" t="s">
        <v>576</v>
      </c>
      <c r="L20" s="294" t="s">
        <v>618</v>
      </c>
      <c r="M20" s="294"/>
      <c r="N20" s="294"/>
      <c r="O20" s="295" t="s">
        <v>570</v>
      </c>
      <c r="P20" s="294"/>
      <c r="Q20" s="294"/>
      <c r="R20" s="294"/>
      <c r="S20" s="295" t="s">
        <v>562</v>
      </c>
      <c r="T20" s="294"/>
      <c r="U20" s="294"/>
      <c r="V20" s="296"/>
      <c r="W20" s="298">
        <f ca="1">IF(A20="","",SUMIF(SK!B$3:B$78,ROW(),SK!D$3:D$78))</f>
        <v>4</v>
      </c>
      <c r="Y20" s="681" t="str">
        <f>IF(IGRF!B22="","",IGRF!B22)</f>
        <v>282*</v>
      </c>
      <c r="Z20" s="466" t="str">
        <f>IF(IGRF!C22="","",IGRF!C22)</f>
        <v>Dash Ketchum</v>
      </c>
      <c r="AA20" s="280">
        <f>IF(Score!T20="", "",Score!T20 )</f>
        <v>12</v>
      </c>
      <c r="AB20" s="280"/>
      <c r="AC20" s="278" t="str">
        <f>IF(Score!U20="", "",Score!U20 )</f>
        <v>12</v>
      </c>
      <c r="AD20" s="294"/>
      <c r="AE20" s="294"/>
      <c r="AF20" s="294"/>
      <c r="AG20" s="295" t="s">
        <v>590</v>
      </c>
      <c r="AH20" s="294"/>
      <c r="AI20" s="294"/>
      <c r="AJ20" s="294"/>
      <c r="AK20" s="295" t="s">
        <v>586</v>
      </c>
      <c r="AL20" s="294"/>
      <c r="AM20" s="294"/>
      <c r="AN20" s="294"/>
      <c r="AO20" s="295" t="s">
        <v>597</v>
      </c>
      <c r="AP20" s="294"/>
      <c r="AQ20" s="294"/>
      <c r="AR20" s="294"/>
      <c r="AS20" s="295" t="s">
        <v>599</v>
      </c>
      <c r="AT20" s="294"/>
      <c r="AU20" s="294"/>
      <c r="AV20" s="296"/>
      <c r="AW20" s="298">
        <f ca="1">IF(AA20="","",SUMIF(SK!R$3:R$78,ROW(),SK!T$3:T$78))</f>
        <v>0</v>
      </c>
      <c r="AY20" s="681" t="str">
        <f>IF(IGRF!I22="","",IGRF!I22)</f>
        <v>25</v>
      </c>
      <c r="AZ20" s="466" t="str">
        <f>IF(IGRF!J22="","",IGRF!J22)</f>
        <v>Ally McKill</v>
      </c>
    </row>
    <row r="21" spans="1:52" ht="31.95" customHeight="1" thickBot="1" x14ac:dyDescent="0.35">
      <c r="A21" s="277">
        <f>IF(Score!A21="", "",Score!A21 )</f>
        <v>13</v>
      </c>
      <c r="B21" s="281"/>
      <c r="C21" s="279" t="str">
        <f>IF(Score!B21="", "",Score!B21 )</f>
        <v>352</v>
      </c>
      <c r="D21" s="294" t="s">
        <v>617</v>
      </c>
      <c r="E21" s="294"/>
      <c r="F21" s="294"/>
      <c r="G21" s="297" t="s">
        <v>553</v>
      </c>
      <c r="H21" s="294"/>
      <c r="I21" s="294"/>
      <c r="J21" s="294"/>
      <c r="K21" s="297" t="s">
        <v>576</v>
      </c>
      <c r="L21" s="294" t="s">
        <v>619</v>
      </c>
      <c r="M21" s="294"/>
      <c r="N21" s="294"/>
      <c r="O21" s="297" t="s">
        <v>580</v>
      </c>
      <c r="P21" s="294"/>
      <c r="Q21" s="294"/>
      <c r="R21" s="294"/>
      <c r="S21" s="297" t="s">
        <v>566</v>
      </c>
      <c r="T21" s="294"/>
      <c r="U21" s="294"/>
      <c r="V21" s="296"/>
      <c r="W21" s="298">
        <f ca="1">IF(A21="","",SUMIF(SK!B$3:B$78,ROW(),SK!D$3:D$78))</f>
        <v>0</v>
      </c>
      <c r="AA21" s="281">
        <f>IF(Score!T21="", "",Score!T21 )</f>
        <v>13</v>
      </c>
      <c r="AB21" s="281"/>
      <c r="AC21" s="279" t="str">
        <f>IF(Score!U21="", "",Score!U21 )</f>
        <v>12</v>
      </c>
      <c r="AD21" s="294"/>
      <c r="AE21" s="294"/>
      <c r="AF21" s="294"/>
      <c r="AG21" s="297" t="s">
        <v>606</v>
      </c>
      <c r="AH21" s="294"/>
      <c r="AI21" s="294"/>
      <c r="AJ21" s="294"/>
      <c r="AK21" s="297" t="s">
        <v>588</v>
      </c>
      <c r="AL21" s="294"/>
      <c r="AM21" s="294"/>
      <c r="AN21" s="294"/>
      <c r="AO21" s="297" t="s">
        <v>556</v>
      </c>
      <c r="AP21" s="294"/>
      <c r="AQ21" s="294"/>
      <c r="AR21" s="294"/>
      <c r="AS21" s="297" t="s">
        <v>610</v>
      </c>
      <c r="AT21" s="294"/>
      <c r="AU21" s="294"/>
      <c r="AV21" s="296"/>
      <c r="AW21" s="298">
        <f ca="1">IF(AA21="","",SUMIF(SK!R$3:R$78,ROW(),SK!T$3:T$78))</f>
        <v>7</v>
      </c>
    </row>
    <row r="22" spans="1:52" ht="31.95" customHeight="1" thickBot="1" x14ac:dyDescent="0.35">
      <c r="A22" s="276" t="str">
        <f>IF(Score!A22="", "",Score!A22 )</f>
        <v>SP</v>
      </c>
      <c r="B22" s="280" t="s">
        <v>114</v>
      </c>
      <c r="C22" s="278" t="str">
        <f>IF(Score!B22="", "",Score!B22 )</f>
        <v>1760</v>
      </c>
      <c r="D22" s="294"/>
      <c r="E22" s="294"/>
      <c r="F22" s="294"/>
      <c r="G22" s="295" t="s">
        <v>568</v>
      </c>
      <c r="H22" s="294"/>
      <c r="I22" s="294"/>
      <c r="J22" s="294"/>
      <c r="K22" s="295" t="s">
        <v>576</v>
      </c>
      <c r="L22" s="294"/>
      <c r="M22" s="294"/>
      <c r="N22" s="294"/>
      <c r="O22" s="295" t="s">
        <v>580</v>
      </c>
      <c r="P22" s="294"/>
      <c r="Q22" s="294"/>
      <c r="R22" s="294"/>
      <c r="S22" s="295" t="s">
        <v>566</v>
      </c>
      <c r="T22" s="294"/>
      <c r="U22" s="294"/>
      <c r="V22" s="296"/>
      <c r="W22" s="298">
        <f ca="1">IF(A22="","",SUMIF(SK!B$3:B$78,ROW(),SK!D$3:D$78))</f>
        <v>0</v>
      </c>
      <c r="Y22" s="681" t="str">
        <f>IF(IGRF!B23="","",IGRF!B23)</f>
        <v>337</v>
      </c>
      <c r="Z22" s="466" t="str">
        <f>IF(IGRF!C23="","",IGRF!C23)</f>
        <v>Susan Sure Ram Dem</v>
      </c>
      <c r="AA22" s="280" t="str">
        <f>IF(Score!T22="", "",Score!T22 )</f>
        <v>SP*</v>
      </c>
      <c r="AB22" s="280"/>
      <c r="AC22" s="278" t="str">
        <f>IF(Score!U22="", "",Score!U22 )</f>
        <v/>
      </c>
      <c r="AD22" s="294"/>
      <c r="AE22" s="294"/>
      <c r="AF22" s="294"/>
      <c r="AG22" s="295"/>
      <c r="AH22" s="294"/>
      <c r="AI22" s="294"/>
      <c r="AJ22" s="294"/>
      <c r="AK22" s="295"/>
      <c r="AL22" s="294"/>
      <c r="AM22" s="294"/>
      <c r="AN22" s="294"/>
      <c r="AO22" s="295"/>
      <c r="AP22" s="294"/>
      <c r="AQ22" s="294"/>
      <c r="AR22" s="294"/>
      <c r="AS22" s="295"/>
      <c r="AT22" s="294"/>
      <c r="AU22" s="294"/>
      <c r="AV22" s="296"/>
      <c r="AW22" s="298">
        <f ca="1">IF(AA22="","",SUMIF(SK!R$3:R$78,ROW(),SK!T$3:T$78))</f>
        <v>0</v>
      </c>
      <c r="AY22" s="681" t="str">
        <f>IF(IGRF!I23="","",IGRF!I23)</f>
        <v>26</v>
      </c>
      <c r="AZ22" s="466" t="str">
        <f>IF(IGRF!J23="","",IGRF!J23)</f>
        <v>Strange</v>
      </c>
    </row>
    <row r="23" spans="1:52" ht="31.95" customHeight="1" thickBot="1" x14ac:dyDescent="0.35">
      <c r="A23" s="277">
        <f>IF(Score!A23="", "",Score!A23 )</f>
        <v>14</v>
      </c>
      <c r="B23" s="281"/>
      <c r="C23" s="279" t="str">
        <f>IF(Score!B23="", "",Score!B23 )</f>
        <v>123</v>
      </c>
      <c r="D23" s="294"/>
      <c r="E23" s="294"/>
      <c r="F23" s="294"/>
      <c r="G23" s="297" t="s">
        <v>578</v>
      </c>
      <c r="H23" s="294"/>
      <c r="I23" s="294"/>
      <c r="J23" s="294"/>
      <c r="K23" s="297" t="s">
        <v>562</v>
      </c>
      <c r="L23" s="294"/>
      <c r="M23" s="294"/>
      <c r="N23" s="294"/>
      <c r="O23" s="297" t="s">
        <v>549</v>
      </c>
      <c r="P23" s="294"/>
      <c r="Q23" s="294"/>
      <c r="R23" s="294"/>
      <c r="S23" s="297" t="s">
        <v>553</v>
      </c>
      <c r="T23" s="294"/>
      <c r="U23" s="294"/>
      <c r="V23" s="296"/>
      <c r="W23" s="298">
        <f ca="1">IF(A23="","",SUMIF(SK!B$3:B$78,ROW(),SK!D$3:D$78))</f>
        <v>4</v>
      </c>
      <c r="AA23" s="281">
        <f>IF(Score!T23="", "",Score!T23 )</f>
        <v>14</v>
      </c>
      <c r="AB23" s="281"/>
      <c r="AC23" s="279" t="str">
        <f>IF(Score!U23="", "",Score!U23 )</f>
        <v>49</v>
      </c>
      <c r="AD23" s="294"/>
      <c r="AE23" s="294"/>
      <c r="AF23" s="294"/>
      <c r="AG23" s="297" t="s">
        <v>590</v>
      </c>
      <c r="AH23" s="294"/>
      <c r="AI23" s="294"/>
      <c r="AJ23" s="294"/>
      <c r="AK23" s="297" t="s">
        <v>599</v>
      </c>
      <c r="AL23" s="294"/>
      <c r="AM23" s="294"/>
      <c r="AN23" s="294"/>
      <c r="AO23" s="297" t="s">
        <v>586</v>
      </c>
      <c r="AP23" s="294"/>
      <c r="AQ23" s="294"/>
      <c r="AR23" s="294"/>
      <c r="AS23" s="297" t="s">
        <v>597</v>
      </c>
      <c r="AT23" s="294"/>
      <c r="AU23" s="294"/>
      <c r="AV23" s="296"/>
      <c r="AW23" s="298">
        <f ca="1">IF(AA23="","",SUMIF(SK!R$3:R$78,ROW(),SK!T$3:T$78))</f>
        <v>0</v>
      </c>
    </row>
    <row r="24" spans="1:52" ht="31.95" customHeight="1" thickBot="1" x14ac:dyDescent="0.35">
      <c r="A24" s="276" t="str">
        <f>IF(Score!A24="", "",Score!A24 )</f>
        <v>SP*</v>
      </c>
      <c r="B24" s="280"/>
      <c r="C24" s="278" t="str">
        <f>IF(Score!B24="", "",Score!B24 )</f>
        <v/>
      </c>
      <c r="D24" s="294"/>
      <c r="E24" s="294"/>
      <c r="F24" s="294"/>
      <c r="G24" s="295"/>
      <c r="H24" s="294"/>
      <c r="I24" s="294"/>
      <c r="J24" s="294"/>
      <c r="K24" s="295"/>
      <c r="L24" s="294"/>
      <c r="M24" s="294"/>
      <c r="N24" s="294"/>
      <c r="O24" s="295"/>
      <c r="P24" s="294"/>
      <c r="Q24" s="294"/>
      <c r="R24" s="294"/>
      <c r="S24" s="295"/>
      <c r="T24" s="294"/>
      <c r="U24" s="294"/>
      <c r="V24" s="296"/>
      <c r="W24" s="298">
        <f ca="1">IF(A24="","",SUMIF(SK!B$3:B$78,ROW(),SK!D$3:D$78))</f>
        <v>0</v>
      </c>
      <c r="Y24" s="681" t="str">
        <f>IF(IGRF!B24="","",IGRF!B24)</f>
        <v>352</v>
      </c>
      <c r="Z24" s="466" t="str">
        <f>IF(IGRF!C24="","",IGRF!C24)</f>
        <v>Olive Havoc</v>
      </c>
      <c r="AA24" s="280" t="str">
        <f>IF(Score!T24="", "",Score!T24 )</f>
        <v>SP</v>
      </c>
      <c r="AB24" s="280" t="s">
        <v>114</v>
      </c>
      <c r="AC24" s="278" t="str">
        <f>IF(Score!U24="", "",Score!U24 )</f>
        <v>219</v>
      </c>
      <c r="AD24" s="294"/>
      <c r="AE24" s="294"/>
      <c r="AF24" s="294"/>
      <c r="AG24" s="295" t="s">
        <v>600</v>
      </c>
      <c r="AH24" s="294"/>
      <c r="AI24" s="294"/>
      <c r="AJ24" s="294"/>
      <c r="AK24" s="295" t="s">
        <v>599</v>
      </c>
      <c r="AL24" s="294"/>
      <c r="AM24" s="294"/>
      <c r="AN24" s="294"/>
      <c r="AO24" s="295" t="s">
        <v>586</v>
      </c>
      <c r="AP24" s="294"/>
      <c r="AQ24" s="294"/>
      <c r="AR24" s="294"/>
      <c r="AS24" s="295" t="s">
        <v>597</v>
      </c>
      <c r="AT24" s="294"/>
      <c r="AU24" s="294"/>
      <c r="AV24" s="296"/>
      <c r="AW24" s="298">
        <f ca="1">IF(AA24="","",SUMIF(SK!R$3:R$78,ROW(),SK!T$3:T$78))</f>
        <v>0</v>
      </c>
      <c r="AY24" s="681" t="str">
        <f>IF(IGRF!I24="","",IGRF!I24)</f>
        <v>49</v>
      </c>
      <c r="AZ24" s="466" t="str">
        <f>IF(IGRF!J24="","",IGRF!J24)</f>
        <v>Gnarly Manson</v>
      </c>
    </row>
    <row r="25" spans="1:52" ht="31.95" customHeight="1" thickBot="1" x14ac:dyDescent="0.35">
      <c r="A25" s="277">
        <f>IF(Score!A25="", "",Score!A25 )</f>
        <v>15</v>
      </c>
      <c r="B25" s="281"/>
      <c r="C25" s="279" t="str">
        <f>IF(Score!B25="", "",Score!B25 )</f>
        <v>352</v>
      </c>
      <c r="D25" s="294"/>
      <c r="E25" s="294"/>
      <c r="F25" s="294"/>
      <c r="G25" s="297" t="s">
        <v>553</v>
      </c>
      <c r="H25" s="294"/>
      <c r="I25" s="294"/>
      <c r="J25" s="294"/>
      <c r="K25" s="297" t="s">
        <v>566</v>
      </c>
      <c r="L25" s="294"/>
      <c r="M25" s="294"/>
      <c r="N25" s="294"/>
      <c r="O25" s="297" t="s">
        <v>549</v>
      </c>
      <c r="P25" s="294"/>
      <c r="Q25" s="294"/>
      <c r="R25" s="294"/>
      <c r="S25" s="297" t="s">
        <v>580</v>
      </c>
      <c r="T25" s="294"/>
      <c r="U25" s="294"/>
      <c r="V25" s="296"/>
      <c r="W25" s="298">
        <f ca="1">IF(A25="","",SUMIF(SK!B$3:B$78,ROW(),SK!D$3:D$78))</f>
        <v>4</v>
      </c>
      <c r="AA25" s="281">
        <f>IF(Score!T25="", "",Score!T25 )</f>
        <v>15</v>
      </c>
      <c r="AB25" s="281"/>
      <c r="AC25" s="279" t="str">
        <f>IF(Score!U25="", "",Score!U25 )</f>
        <v>12</v>
      </c>
      <c r="AD25" s="294"/>
      <c r="AE25" s="294"/>
      <c r="AF25" s="294"/>
      <c r="AG25" s="297" t="s">
        <v>606</v>
      </c>
      <c r="AH25" s="294"/>
      <c r="AI25" s="294"/>
      <c r="AJ25" s="294"/>
      <c r="AK25" s="297" t="s">
        <v>600</v>
      </c>
      <c r="AL25" s="294" t="s">
        <v>619</v>
      </c>
      <c r="AM25" s="294"/>
      <c r="AN25" s="294"/>
      <c r="AO25" s="297" t="s">
        <v>588</v>
      </c>
      <c r="AP25" s="294"/>
      <c r="AQ25" s="294"/>
      <c r="AR25" s="294"/>
      <c r="AS25" s="297" t="s">
        <v>556</v>
      </c>
      <c r="AT25" s="294"/>
      <c r="AU25" s="294"/>
      <c r="AV25" s="296"/>
      <c r="AW25" s="298">
        <f ca="1">IF(AA25="","",SUMIF(SK!R$3:R$78,ROW(),SK!T$3:T$78))</f>
        <v>3</v>
      </c>
    </row>
    <row r="26" spans="1:52" ht="31.95" customHeight="1" thickBot="1" x14ac:dyDescent="0.35">
      <c r="A26" s="276">
        <f>IF(Score!A26="", "",Score!A26 )</f>
        <v>16</v>
      </c>
      <c r="B26" s="280"/>
      <c r="C26" s="278" t="str">
        <f>IF(Score!B26="", "",Score!B26 )</f>
        <v>64</v>
      </c>
      <c r="D26" s="294"/>
      <c r="E26" s="294"/>
      <c r="F26" s="294"/>
      <c r="G26" s="295" t="s">
        <v>578</v>
      </c>
      <c r="H26" s="294"/>
      <c r="I26" s="294"/>
      <c r="J26" s="294"/>
      <c r="K26" s="295" t="s">
        <v>553</v>
      </c>
      <c r="L26" s="294"/>
      <c r="M26" s="294"/>
      <c r="N26" s="294"/>
      <c r="O26" s="295" t="s">
        <v>562</v>
      </c>
      <c r="P26" s="294"/>
      <c r="Q26" s="294"/>
      <c r="R26" s="294"/>
      <c r="S26" s="295" t="s">
        <v>580</v>
      </c>
      <c r="T26" s="294"/>
      <c r="U26" s="294"/>
      <c r="V26" s="296"/>
      <c r="W26" s="298">
        <f ca="1">IF(A26="","",SUMIF(SK!B$3:B$78,ROW(),SK!D$3:D$78))</f>
        <v>4</v>
      </c>
      <c r="Y26" s="681" t="str">
        <f>IF(IGRF!B25="","",IGRF!B25)</f>
        <v>36</v>
      </c>
      <c r="Z26" s="466" t="str">
        <f>IF(IGRF!C25="","",IGRF!C25)</f>
        <v>Meanie</v>
      </c>
      <c r="AA26" s="280">
        <f>IF(Score!T26="", "",Score!T26 )</f>
        <v>16</v>
      </c>
      <c r="AB26" s="280"/>
      <c r="AC26" s="278" t="str">
        <f>IF(Score!U26="", "",Score!U26 )</f>
        <v>23</v>
      </c>
      <c r="AD26" s="294"/>
      <c r="AE26" s="294"/>
      <c r="AF26" s="294"/>
      <c r="AG26" s="295" t="s">
        <v>590</v>
      </c>
      <c r="AH26" s="294"/>
      <c r="AI26" s="294"/>
      <c r="AJ26" s="294"/>
      <c r="AK26" s="295" t="s">
        <v>597</v>
      </c>
      <c r="AL26" s="294"/>
      <c r="AM26" s="294"/>
      <c r="AN26" s="294"/>
      <c r="AO26" s="295" t="s">
        <v>586</v>
      </c>
      <c r="AP26" s="294"/>
      <c r="AQ26" s="294"/>
      <c r="AR26" s="294"/>
      <c r="AS26" s="295" t="s">
        <v>599</v>
      </c>
      <c r="AT26" s="294"/>
      <c r="AU26" s="294"/>
      <c r="AV26" s="296"/>
      <c r="AW26" s="298">
        <f ca="1">IF(AA26="","",SUMIF(SK!R$3:R$78,ROW(),SK!T$3:T$78))</f>
        <v>0</v>
      </c>
      <c r="AY26" s="681" t="str">
        <f>IF(IGRF!I25="","",IGRF!I25)</f>
        <v>78</v>
      </c>
      <c r="AZ26" s="466" t="str">
        <f>IF(IGRF!J25="","",IGRF!J25)</f>
        <v>Debbie Scary</v>
      </c>
    </row>
    <row r="27" spans="1:52" ht="31.95" customHeight="1" thickBot="1" x14ac:dyDescent="0.35">
      <c r="A27" s="277" t="str">
        <f>IF(Score!A27="", "",Score!A27 )</f>
        <v>SP*</v>
      </c>
      <c r="B27" s="281"/>
      <c r="C27" s="279" t="str">
        <f>IF(Score!B27="", "",Score!B27 )</f>
        <v/>
      </c>
      <c r="D27" s="294"/>
      <c r="E27" s="294"/>
      <c r="F27" s="294"/>
      <c r="G27" s="297"/>
      <c r="H27" s="294"/>
      <c r="I27" s="294"/>
      <c r="J27" s="294"/>
      <c r="K27" s="297"/>
      <c r="L27" s="294"/>
      <c r="M27" s="294"/>
      <c r="N27" s="294"/>
      <c r="O27" s="297"/>
      <c r="P27" s="294"/>
      <c r="Q27" s="294"/>
      <c r="R27" s="294"/>
      <c r="S27" s="297"/>
      <c r="T27" s="294"/>
      <c r="U27" s="294"/>
      <c r="V27" s="296"/>
      <c r="W27" s="298">
        <f ca="1">IF(A27="","",SUMIF(SK!B$3:B$78,ROW(),SK!D$3:D$78))</f>
        <v>0</v>
      </c>
      <c r="AA27" s="281" t="str">
        <f>IF(Score!T27="", "",Score!T27 )</f>
        <v>SP</v>
      </c>
      <c r="AB27" s="281" t="s">
        <v>114</v>
      </c>
      <c r="AC27" s="279" t="str">
        <f>IF(Score!U27="", "",Score!U27 )</f>
        <v>219</v>
      </c>
      <c r="AD27" s="294"/>
      <c r="AE27" s="294"/>
      <c r="AF27" s="294"/>
      <c r="AG27" s="297" t="s">
        <v>595</v>
      </c>
      <c r="AH27" s="294"/>
      <c r="AI27" s="294"/>
      <c r="AJ27" s="294"/>
      <c r="AK27" s="297" t="s">
        <v>597</v>
      </c>
      <c r="AL27" s="294"/>
      <c r="AM27" s="294"/>
      <c r="AN27" s="294"/>
      <c r="AO27" s="297" t="s">
        <v>586</v>
      </c>
      <c r="AP27" s="294"/>
      <c r="AQ27" s="294"/>
      <c r="AR27" s="294"/>
      <c r="AS27" s="297" t="s">
        <v>599</v>
      </c>
      <c r="AT27" s="294"/>
      <c r="AU27" s="294"/>
      <c r="AV27" s="296"/>
      <c r="AW27" s="298">
        <f ca="1">IF(AA27="","",SUMIF(SK!R$3:R$78,ROW(),SK!T$3:T$78))</f>
        <v>0</v>
      </c>
    </row>
    <row r="28" spans="1:52" ht="31.95" customHeight="1" thickBot="1" x14ac:dyDescent="0.35">
      <c r="A28" s="276">
        <f>IF(Score!A28="", "",Score!A28 )</f>
        <v>17</v>
      </c>
      <c r="B28" s="280"/>
      <c r="C28" s="278" t="str">
        <f>IF(Score!B28="", "",Score!B28 )</f>
        <v>123</v>
      </c>
      <c r="D28" s="294"/>
      <c r="E28" s="294"/>
      <c r="F28" s="294"/>
      <c r="G28" s="295" t="s">
        <v>578</v>
      </c>
      <c r="H28" s="294"/>
      <c r="I28" s="294"/>
      <c r="J28" s="294"/>
      <c r="K28" s="295" t="s">
        <v>549</v>
      </c>
      <c r="L28" s="294" t="s">
        <v>617</v>
      </c>
      <c r="M28" s="294"/>
      <c r="N28" s="294"/>
      <c r="O28" s="295" t="s">
        <v>576</v>
      </c>
      <c r="P28" s="294"/>
      <c r="Q28" s="294"/>
      <c r="R28" s="294"/>
      <c r="S28" s="295" t="s">
        <v>562</v>
      </c>
      <c r="T28" s="294"/>
      <c r="U28" s="294"/>
      <c r="V28" s="296"/>
      <c r="W28" s="298">
        <f ca="1">IF(A28="","",SUMIF(SK!B$3:B$78,ROW(),SK!D$3:D$78))</f>
        <v>11</v>
      </c>
      <c r="Y28" s="681" t="str">
        <f>IF(IGRF!B26="","",IGRF!B26)</f>
        <v>64</v>
      </c>
      <c r="Z28" s="466" t="str">
        <f>IF(IGRF!C26="","",IGRF!C26)</f>
        <v>Cruzella</v>
      </c>
      <c r="AA28" s="280">
        <f>IF(Score!T28="", "",Score!T28 )</f>
        <v>17</v>
      </c>
      <c r="AB28" s="280"/>
      <c r="AC28" s="278" t="str">
        <f>IF(Score!U28="", "",Score!U28 )</f>
        <v>49</v>
      </c>
      <c r="AD28" s="294"/>
      <c r="AE28" s="294"/>
      <c r="AF28" s="294"/>
      <c r="AG28" s="295" t="s">
        <v>606</v>
      </c>
      <c r="AH28" s="294"/>
      <c r="AI28" s="294"/>
      <c r="AJ28" s="294"/>
      <c r="AK28" s="295" t="s">
        <v>588</v>
      </c>
      <c r="AL28" s="294"/>
      <c r="AM28" s="294"/>
      <c r="AN28" s="294"/>
      <c r="AO28" s="295" t="s">
        <v>556</v>
      </c>
      <c r="AP28" s="294"/>
      <c r="AQ28" s="294"/>
      <c r="AR28" s="294"/>
      <c r="AS28" s="295" t="s">
        <v>597</v>
      </c>
      <c r="AT28" s="294" t="s">
        <v>619</v>
      </c>
      <c r="AU28" s="294"/>
      <c r="AV28" s="296"/>
      <c r="AW28" s="298">
        <f ca="1">IF(AA28="","",SUMIF(SK!R$3:R$78,ROW(),SK!T$3:T$78))</f>
        <v>0</v>
      </c>
      <c r="AY28" s="681" t="str">
        <f>IF(IGRF!I26="","",IGRF!I26)</f>
        <v>8*</v>
      </c>
      <c r="AZ28" s="466" t="str">
        <f>IF(IGRF!J26="","",IGRF!J26)</f>
        <v>Venus Thigh Trap</v>
      </c>
    </row>
    <row r="29" spans="1:52" ht="31.95" customHeight="1" thickBot="1" x14ac:dyDescent="0.35">
      <c r="A29" s="277">
        <f>IF(Score!A29="", "",Score!A29 )</f>
        <v>18</v>
      </c>
      <c r="B29" s="281"/>
      <c r="C29" s="279" t="str">
        <f>IF(Score!B29="", "",Score!B29 )</f>
        <v>352</v>
      </c>
      <c r="D29" s="294"/>
      <c r="E29" s="294"/>
      <c r="F29" s="294"/>
      <c r="G29" s="297" t="s">
        <v>553</v>
      </c>
      <c r="H29" s="294"/>
      <c r="I29" s="294"/>
      <c r="J29" s="294"/>
      <c r="K29" s="297" t="s">
        <v>566</v>
      </c>
      <c r="L29" s="294"/>
      <c r="M29" s="294"/>
      <c r="N29" s="294"/>
      <c r="O29" s="297" t="s">
        <v>580</v>
      </c>
      <c r="P29" s="294"/>
      <c r="Q29" s="294"/>
      <c r="R29" s="294"/>
      <c r="S29" s="297" t="s">
        <v>549</v>
      </c>
      <c r="T29" s="294"/>
      <c r="U29" s="294"/>
      <c r="V29" s="296"/>
      <c r="W29" s="298">
        <f ca="1">IF(A29="","",SUMIF(SK!B$3:B$78,ROW(),SK!D$3:D$78))</f>
        <v>0</v>
      </c>
      <c r="AA29" s="281">
        <f>IF(Score!T29="", "",Score!T29 )</f>
        <v>18</v>
      </c>
      <c r="AB29" s="281"/>
      <c r="AC29" s="279" t="str">
        <f>IF(Score!U29="", "",Score!U29 )</f>
        <v>12</v>
      </c>
      <c r="AD29" s="294"/>
      <c r="AE29" s="294"/>
      <c r="AF29" s="294"/>
      <c r="AG29" s="297" t="s">
        <v>590</v>
      </c>
      <c r="AH29" s="294"/>
      <c r="AI29" s="294"/>
      <c r="AJ29" s="294"/>
      <c r="AK29" s="297" t="s">
        <v>586</v>
      </c>
      <c r="AL29" s="294"/>
      <c r="AM29" s="294"/>
      <c r="AN29" s="294"/>
      <c r="AO29" s="297" t="s">
        <v>597</v>
      </c>
      <c r="AP29" s="294"/>
      <c r="AQ29" s="294"/>
      <c r="AR29" s="294"/>
      <c r="AS29" s="297" t="s">
        <v>599</v>
      </c>
      <c r="AT29" s="294"/>
      <c r="AU29" s="294"/>
      <c r="AV29" s="296"/>
      <c r="AW29" s="298">
        <f ca="1">IF(AA29="","",SUMIF(SK!R$3:R$78,ROW(),SK!T$3:T$78))</f>
        <v>1</v>
      </c>
    </row>
    <row r="30" spans="1:52" ht="31.95" customHeight="1" thickBot="1" x14ac:dyDescent="0.35">
      <c r="A30" s="276">
        <f>IF(Score!A30="", "",Score!A30 )</f>
        <v>19</v>
      </c>
      <c r="B30" s="280"/>
      <c r="C30" s="278" t="str">
        <f>IF(Score!B30="", "",Score!B30 )</f>
        <v>202</v>
      </c>
      <c r="D30" s="294"/>
      <c r="E30" s="294"/>
      <c r="F30" s="294"/>
      <c r="G30" s="295" t="s">
        <v>578</v>
      </c>
      <c r="H30" s="294"/>
      <c r="I30" s="294"/>
      <c r="J30" s="294"/>
      <c r="K30" s="295" t="s">
        <v>553</v>
      </c>
      <c r="L30" s="294" t="s">
        <v>617</v>
      </c>
      <c r="M30" s="294"/>
      <c r="N30" s="294"/>
      <c r="O30" s="295" t="s">
        <v>576</v>
      </c>
      <c r="P30" s="294"/>
      <c r="Q30" s="294"/>
      <c r="R30" s="294"/>
      <c r="S30" s="295" t="s">
        <v>562</v>
      </c>
      <c r="T30" s="294"/>
      <c r="U30" s="294"/>
      <c r="V30" s="296"/>
      <c r="W30" s="298">
        <f ca="1">IF(A30="","",SUMIF(SK!B$3:B$78,ROW(),SK!D$3:D$78))</f>
        <v>8</v>
      </c>
      <c r="Y30" s="681" t="str">
        <f>IF(IGRF!B27="","",IGRF!B27)</f>
        <v>825</v>
      </c>
      <c r="Z30" s="466" t="str">
        <f>IF(IGRF!C27="","",IGRF!C27)</f>
        <v>Rot-N 2 the Cor-E</v>
      </c>
      <c r="AA30" s="280">
        <f>IF(Score!T30="", "",Score!T30 )</f>
        <v>19</v>
      </c>
      <c r="AB30" s="280"/>
      <c r="AC30" s="278" t="str">
        <f>IF(Score!U30="", "",Score!U30 )</f>
        <v>23</v>
      </c>
      <c r="AD30" s="294"/>
      <c r="AE30" s="294"/>
      <c r="AF30" s="294"/>
      <c r="AG30" s="295" t="s">
        <v>556</v>
      </c>
      <c r="AH30" s="294"/>
      <c r="AI30" s="294"/>
      <c r="AJ30" s="294"/>
      <c r="AK30" s="295" t="s">
        <v>588</v>
      </c>
      <c r="AL30" s="294"/>
      <c r="AM30" s="294"/>
      <c r="AN30" s="294"/>
      <c r="AO30" s="295" t="s">
        <v>606</v>
      </c>
      <c r="AP30" s="294"/>
      <c r="AQ30" s="294"/>
      <c r="AR30" s="294"/>
      <c r="AS30" s="295" t="s">
        <v>612</v>
      </c>
      <c r="AT30" s="294" t="s">
        <v>617</v>
      </c>
      <c r="AU30" s="294"/>
      <c r="AV30" s="296"/>
      <c r="AW30" s="298">
        <f ca="1">IF(AA30="","",SUMIF(SK!R$3:R$78,ROW(),SK!T$3:T$78))</f>
        <v>3</v>
      </c>
      <c r="AY30" s="681" t="str">
        <f>IF(IGRF!I27="","",IGRF!I27)</f>
        <v>800</v>
      </c>
      <c r="AZ30" s="466" t="str">
        <f>IF(IGRF!J27="","",IGRF!J27)</f>
        <v>Terminate Her</v>
      </c>
    </row>
    <row r="31" spans="1:52" ht="31.95" customHeight="1" thickBot="1" x14ac:dyDescent="0.35">
      <c r="A31" s="277">
        <f>IF(Score!A31="", "",Score!A31 )</f>
        <v>20</v>
      </c>
      <c r="B31" s="281"/>
      <c r="C31" s="279" t="str">
        <f>IF(Score!B31="", "",Score!B31 )</f>
        <v>352</v>
      </c>
      <c r="D31" s="294"/>
      <c r="E31" s="294"/>
      <c r="F31" s="294"/>
      <c r="G31" s="297" t="s">
        <v>553</v>
      </c>
      <c r="H31" s="294" t="s">
        <v>619</v>
      </c>
      <c r="I31" s="294"/>
      <c r="J31" s="294"/>
      <c r="K31" s="297" t="s">
        <v>580</v>
      </c>
      <c r="L31" s="294"/>
      <c r="M31" s="294"/>
      <c r="N31" s="294"/>
      <c r="O31" s="297" t="s">
        <v>566</v>
      </c>
      <c r="P31" s="294"/>
      <c r="Q31" s="294"/>
      <c r="R31" s="294"/>
      <c r="S31" s="297" t="s">
        <v>549</v>
      </c>
      <c r="T31" s="294"/>
      <c r="U31" s="294"/>
      <c r="V31" s="296"/>
      <c r="W31" s="298">
        <f ca="1">IF(A31="","",SUMIF(SK!B$3:B$78,ROW(),SK!D$3:D$78))</f>
        <v>4</v>
      </c>
      <c r="AA31" s="281">
        <f>IF(Score!T31="", "",Score!T31 )</f>
        <v>20</v>
      </c>
      <c r="AB31" s="281"/>
      <c r="AC31" s="279" t="str">
        <f>IF(Score!U31="", "",Score!U31 )</f>
        <v>12</v>
      </c>
      <c r="AD31" s="294"/>
      <c r="AE31" s="294"/>
      <c r="AF31" s="294"/>
      <c r="AG31" s="297" t="s">
        <v>590</v>
      </c>
      <c r="AH31" s="294"/>
      <c r="AI31" s="294"/>
      <c r="AJ31" s="294"/>
      <c r="AK31" s="297" t="s">
        <v>597</v>
      </c>
      <c r="AL31" s="294"/>
      <c r="AM31" s="294"/>
      <c r="AN31" s="294"/>
      <c r="AO31" s="297" t="s">
        <v>599</v>
      </c>
      <c r="AP31" s="294"/>
      <c r="AQ31" s="294"/>
      <c r="AR31" s="294"/>
      <c r="AS31" s="297" t="s">
        <v>610</v>
      </c>
      <c r="AT31" s="294"/>
      <c r="AU31" s="294"/>
      <c r="AV31" s="296"/>
      <c r="AW31" s="298">
        <f ca="1">IF(AA31="","",SUMIF(SK!R$3:R$78,ROW(),SK!T$3:T$78))</f>
        <v>10</v>
      </c>
    </row>
    <row r="32" spans="1:52" ht="31.95" customHeight="1" thickBot="1" x14ac:dyDescent="0.35">
      <c r="A32" s="276" t="str">
        <f>IF(Score!A32="", "",Score!A32 )</f>
        <v/>
      </c>
      <c r="B32" s="280"/>
      <c r="C32" s="278" t="str">
        <f>IF(Score!B32="", "",Score!B32 )</f>
        <v/>
      </c>
      <c r="D32" s="294"/>
      <c r="E32" s="294"/>
      <c r="F32" s="294"/>
      <c r="G32" s="295"/>
      <c r="H32" s="294"/>
      <c r="I32" s="294"/>
      <c r="J32" s="294"/>
      <c r="K32" s="295"/>
      <c r="L32" s="294"/>
      <c r="M32" s="294"/>
      <c r="N32" s="294"/>
      <c r="O32" s="295"/>
      <c r="P32" s="294"/>
      <c r="Q32" s="294"/>
      <c r="R32" s="294"/>
      <c r="S32" s="295"/>
      <c r="T32" s="294"/>
      <c r="U32" s="294"/>
      <c r="V32" s="296"/>
      <c r="W32" s="298" t="str">
        <f>IF(A32="","",SUMIF(SK!B$3:B$78,ROW(),SK!D$3:D$78))</f>
        <v/>
      </c>
      <c r="Y32" s="681" t="str">
        <f>IF(IGRF!B28="","",IGRF!B28)</f>
        <v>83</v>
      </c>
      <c r="Z32" s="466" t="str">
        <f>IF(IGRF!C28="","",IGRF!C28)</f>
        <v>Grit n Barite</v>
      </c>
      <c r="AA32" s="280" t="str">
        <f>IF(Score!T32="", "",Score!T32 )</f>
        <v/>
      </c>
      <c r="AB32" s="280"/>
      <c r="AC32" s="278" t="str">
        <f>IF(Score!U32="", "",Score!U32 )</f>
        <v/>
      </c>
      <c r="AD32" s="294"/>
      <c r="AE32" s="294"/>
      <c r="AF32" s="294"/>
      <c r="AG32" s="295"/>
      <c r="AH32" s="294"/>
      <c r="AI32" s="294"/>
      <c r="AJ32" s="294"/>
      <c r="AK32" s="295"/>
      <c r="AL32" s="294"/>
      <c r="AM32" s="294"/>
      <c r="AN32" s="294"/>
      <c r="AO32" s="295"/>
      <c r="AP32" s="294"/>
      <c r="AQ32" s="294"/>
      <c r="AR32" s="294"/>
      <c r="AS32" s="295"/>
      <c r="AT32" s="294"/>
      <c r="AU32" s="294"/>
      <c r="AV32" s="296"/>
      <c r="AW32" s="298" t="str">
        <f>IF(AA32="","",SUMIF(SK!R$3:R$78,ROW(),SK!T$3:T$78))</f>
        <v/>
      </c>
      <c r="AY32" s="681" t="str">
        <f>IF(IGRF!I28="","",IGRF!I28)</f>
        <v>88*</v>
      </c>
      <c r="AZ32" s="466" t="str">
        <f>IF(IGRF!J28="","",IGRF!J28)</f>
        <v>Flux</v>
      </c>
    </row>
    <row r="33" spans="1:52" ht="31.95" customHeight="1" thickBot="1" x14ac:dyDescent="0.35">
      <c r="A33" s="277" t="str">
        <f>IF(Score!A33="", "",Score!A33 )</f>
        <v/>
      </c>
      <c r="B33" s="281"/>
      <c r="C33" s="279" t="str">
        <f>IF(Score!B33="", "",Score!B33 )</f>
        <v/>
      </c>
      <c r="D33" s="294"/>
      <c r="E33" s="294"/>
      <c r="F33" s="294"/>
      <c r="G33" s="297"/>
      <c r="H33" s="294"/>
      <c r="I33" s="294"/>
      <c r="J33" s="294"/>
      <c r="K33" s="297"/>
      <c r="L33" s="294"/>
      <c r="M33" s="294"/>
      <c r="N33" s="294"/>
      <c r="O33" s="297"/>
      <c r="P33" s="294"/>
      <c r="Q33" s="294"/>
      <c r="R33" s="294"/>
      <c r="S33" s="297"/>
      <c r="T33" s="294"/>
      <c r="U33" s="294"/>
      <c r="V33" s="296"/>
      <c r="W33" s="298" t="str">
        <f>IF(A33="","",SUMIF(SK!B$3:B$78,ROW(),SK!D$3:D$78))</f>
        <v/>
      </c>
      <c r="AA33" s="281" t="str">
        <f>IF(Score!T33="", "",Score!T33 )</f>
        <v/>
      </c>
      <c r="AB33" s="281"/>
      <c r="AC33" s="279" t="str">
        <f>IF(Score!U33="", "",Score!U33 )</f>
        <v/>
      </c>
      <c r="AD33" s="294"/>
      <c r="AE33" s="294"/>
      <c r="AF33" s="294"/>
      <c r="AG33" s="297"/>
      <c r="AH33" s="294"/>
      <c r="AI33" s="294"/>
      <c r="AJ33" s="294"/>
      <c r="AK33" s="297"/>
      <c r="AL33" s="294"/>
      <c r="AM33" s="294"/>
      <c r="AN33" s="294"/>
      <c r="AO33" s="297"/>
      <c r="AP33" s="294"/>
      <c r="AQ33" s="294"/>
      <c r="AR33" s="294"/>
      <c r="AS33" s="297"/>
      <c r="AT33" s="294"/>
      <c r="AU33" s="294"/>
      <c r="AV33" s="296"/>
      <c r="AW33" s="298" t="str">
        <f>IF(AA33="","",SUMIF(SK!R$3:R$78,ROW(),SK!T$3:T$78))</f>
        <v/>
      </c>
    </row>
    <row r="34" spans="1:52" ht="31.95" customHeight="1" thickBot="1" x14ac:dyDescent="0.35">
      <c r="A34" s="276" t="str">
        <f>IF(Score!A34="", "",Score!A34 )</f>
        <v/>
      </c>
      <c r="B34" s="280"/>
      <c r="C34" s="278" t="str">
        <f>IF(Score!B34="", "",Score!B34 )</f>
        <v/>
      </c>
      <c r="D34" s="294"/>
      <c r="E34" s="294"/>
      <c r="F34" s="294"/>
      <c r="G34" s="295"/>
      <c r="H34" s="294"/>
      <c r="I34" s="294"/>
      <c r="J34" s="294"/>
      <c r="K34" s="295"/>
      <c r="L34" s="294"/>
      <c r="M34" s="294"/>
      <c r="N34" s="294"/>
      <c r="O34" s="295"/>
      <c r="P34" s="294"/>
      <c r="Q34" s="294"/>
      <c r="R34" s="294"/>
      <c r="S34" s="295"/>
      <c r="T34" s="294"/>
      <c r="U34" s="294"/>
      <c r="V34" s="296"/>
      <c r="W34" s="298" t="str">
        <f>IF(A34="","",SUMIF(SK!B$3:B$78,ROW(),SK!D$3:D$78))</f>
        <v/>
      </c>
      <c r="Y34" s="681" t="str">
        <f>IF(IGRF!B29="","",IGRF!B29)</f>
        <v>84</v>
      </c>
      <c r="Z34" s="466" t="str">
        <f>IF(IGRF!C29="","",IGRF!C29)</f>
        <v>Phoenix</v>
      </c>
      <c r="AA34" s="280" t="str">
        <f>IF(Score!T34="", "",Score!T34 )</f>
        <v/>
      </c>
      <c r="AB34" s="280"/>
      <c r="AC34" s="278" t="str">
        <f>IF(Score!U34="", "",Score!U34 )</f>
        <v/>
      </c>
      <c r="AD34" s="294"/>
      <c r="AE34" s="294"/>
      <c r="AF34" s="294"/>
      <c r="AG34" s="295"/>
      <c r="AH34" s="294"/>
      <c r="AI34" s="294"/>
      <c r="AJ34" s="294"/>
      <c r="AK34" s="295"/>
      <c r="AL34" s="294"/>
      <c r="AM34" s="294"/>
      <c r="AN34" s="294"/>
      <c r="AO34" s="295"/>
      <c r="AP34" s="294"/>
      <c r="AQ34" s="294"/>
      <c r="AR34" s="294"/>
      <c r="AS34" s="295"/>
      <c r="AT34" s="294"/>
      <c r="AU34" s="294"/>
      <c r="AV34" s="296"/>
      <c r="AW34" s="298" t="str">
        <f>IF(AA34="","",SUMIF(SK!R$3:R$78,ROW(),SK!T$3:T$78))</f>
        <v/>
      </c>
      <c r="AY34" s="681" t="str">
        <f>IF(IGRF!I29="","",IGRF!I29)</f>
        <v>911</v>
      </c>
      <c r="AZ34" s="466" t="str">
        <f>IF(IGRF!J29="","",IGRF!J29)</f>
        <v>Annie Mergency</v>
      </c>
    </row>
    <row r="35" spans="1:52" ht="31.95" customHeight="1" thickBot="1" x14ac:dyDescent="0.35">
      <c r="A35" s="277" t="str">
        <f>IF(Score!A35="", "",Score!A35 )</f>
        <v/>
      </c>
      <c r="B35" s="281"/>
      <c r="C35" s="279" t="str">
        <f>IF(Score!B35="", "",Score!B35 )</f>
        <v/>
      </c>
      <c r="D35" s="294"/>
      <c r="E35" s="294"/>
      <c r="F35" s="294"/>
      <c r="G35" s="297"/>
      <c r="H35" s="294"/>
      <c r="I35" s="294"/>
      <c r="J35" s="294"/>
      <c r="K35" s="297"/>
      <c r="L35" s="294"/>
      <c r="M35" s="294"/>
      <c r="N35" s="294"/>
      <c r="O35" s="297"/>
      <c r="P35" s="294"/>
      <c r="Q35" s="294"/>
      <c r="R35" s="294"/>
      <c r="S35" s="297"/>
      <c r="T35" s="294"/>
      <c r="U35" s="294"/>
      <c r="V35" s="296"/>
      <c r="W35" s="298" t="str">
        <f>IF(A35="","",SUMIF(SK!B$3:B$78,ROW(),SK!D$3:D$78))</f>
        <v/>
      </c>
      <c r="Y35" s="469"/>
      <c r="Z35" s="466"/>
      <c r="AA35" s="281" t="str">
        <f>IF(Score!T35="", "",Score!T35 )</f>
        <v/>
      </c>
      <c r="AB35" s="281"/>
      <c r="AC35" s="279" t="str">
        <f>IF(Score!U35="", "",Score!U35 )</f>
        <v/>
      </c>
      <c r="AD35" s="294"/>
      <c r="AE35" s="294"/>
      <c r="AF35" s="294"/>
      <c r="AG35" s="297"/>
      <c r="AH35" s="294"/>
      <c r="AI35" s="294"/>
      <c r="AJ35" s="294"/>
      <c r="AK35" s="297"/>
      <c r="AL35" s="294"/>
      <c r="AM35" s="294"/>
      <c r="AN35" s="294"/>
      <c r="AO35" s="297"/>
      <c r="AP35" s="294"/>
      <c r="AQ35" s="294"/>
      <c r="AR35" s="294"/>
      <c r="AS35" s="297"/>
      <c r="AT35" s="294"/>
      <c r="AU35" s="294"/>
      <c r="AV35" s="296"/>
      <c r="AW35" s="298" t="str">
        <f>IF(AA35="","",SUMIF(SK!R$3:R$78,ROW(),SK!T$3:T$78))</f>
        <v/>
      </c>
      <c r="AY35" s="469"/>
    </row>
    <row r="36" spans="1:52" ht="31.95" customHeight="1" thickBot="1" x14ac:dyDescent="0.35">
      <c r="A36" s="276" t="str">
        <f>IF(Score!A36="", "",Score!A36 )</f>
        <v/>
      </c>
      <c r="B36" s="280"/>
      <c r="C36" s="278" t="str">
        <f>IF(Score!B36="", "",Score!B36 )</f>
        <v/>
      </c>
      <c r="D36" s="294"/>
      <c r="E36" s="294"/>
      <c r="F36" s="294"/>
      <c r="G36" s="295"/>
      <c r="H36" s="294"/>
      <c r="I36" s="294"/>
      <c r="J36" s="294"/>
      <c r="K36" s="295"/>
      <c r="L36" s="294"/>
      <c r="M36" s="294"/>
      <c r="N36" s="294"/>
      <c r="O36" s="295"/>
      <c r="P36" s="294"/>
      <c r="Q36" s="294"/>
      <c r="R36" s="294"/>
      <c r="S36" s="295"/>
      <c r="T36" s="294"/>
      <c r="U36" s="294"/>
      <c r="V36" s="296"/>
      <c r="W36" s="298" t="str">
        <f>IF(A36="","",SUMIF(SK!B$3:B$78,ROW(),SK!D$3:D$78))</f>
        <v/>
      </c>
      <c r="Y36" s="681" t="str">
        <f>IF(IGRF!B30="","",IGRF!B30)</f>
        <v>86</v>
      </c>
      <c r="Z36" s="466" t="str">
        <f>IF(IGRF!C30="","",IGRF!C30)</f>
        <v>P.T.S.D.</v>
      </c>
      <c r="AA36" s="280" t="str">
        <f>IF(Score!T36="", "",Score!T36 )</f>
        <v/>
      </c>
      <c r="AB36" s="280"/>
      <c r="AC36" s="278" t="str">
        <f>IF(Score!U36="", "",Score!U36 )</f>
        <v/>
      </c>
      <c r="AD36" s="294"/>
      <c r="AE36" s="294"/>
      <c r="AF36" s="294"/>
      <c r="AG36" s="295"/>
      <c r="AH36" s="294"/>
      <c r="AI36" s="294"/>
      <c r="AJ36" s="294"/>
      <c r="AK36" s="295"/>
      <c r="AL36" s="294"/>
      <c r="AM36" s="294"/>
      <c r="AN36" s="294"/>
      <c r="AO36" s="295"/>
      <c r="AP36" s="294"/>
      <c r="AQ36" s="294"/>
      <c r="AR36" s="294"/>
      <c r="AS36" s="295"/>
      <c r="AT36" s="294"/>
      <c r="AU36" s="294"/>
      <c r="AV36" s="296"/>
      <c r="AW36" s="298" t="str">
        <f>IF(AA36="","",SUMIF(SK!R$3:R$78,ROW(),SK!T$3:T$78))</f>
        <v/>
      </c>
      <c r="AX36" s="464"/>
      <c r="AY36" s="681" t="str">
        <f>IF(IGRF!I30="","",IGRF!I30)</f>
        <v>94</v>
      </c>
      <c r="AZ36" s="466" t="str">
        <f>IF(IGRF!J30="","",IGRF!J30)</f>
        <v>The Kraken</v>
      </c>
    </row>
    <row r="37" spans="1:52" ht="31.95" customHeight="1" thickBot="1" x14ac:dyDescent="0.35">
      <c r="A37" s="277" t="str">
        <f>IF(Score!A37="", "",Score!A37 )</f>
        <v/>
      </c>
      <c r="B37" s="281"/>
      <c r="C37" s="279" t="str">
        <f>IF(Score!B37="", "",Score!B37 )</f>
        <v/>
      </c>
      <c r="D37" s="294"/>
      <c r="E37" s="294"/>
      <c r="F37" s="294"/>
      <c r="G37" s="297"/>
      <c r="H37" s="294"/>
      <c r="I37" s="294"/>
      <c r="J37" s="294"/>
      <c r="K37" s="297"/>
      <c r="L37" s="294"/>
      <c r="M37" s="294"/>
      <c r="N37" s="294"/>
      <c r="O37" s="297"/>
      <c r="P37" s="294"/>
      <c r="Q37" s="294"/>
      <c r="R37" s="294"/>
      <c r="S37" s="297"/>
      <c r="T37" s="294"/>
      <c r="U37" s="294"/>
      <c r="V37" s="296"/>
      <c r="W37" s="298" t="str">
        <f>IF(A37="","",SUMIF(SK!B$3:B$78,ROW(),SK!D$3:D$78))</f>
        <v/>
      </c>
      <c r="Y37" s="469"/>
      <c r="Z37" s="466"/>
      <c r="AA37" s="281" t="str">
        <f>IF(Score!T37="", "",Score!T37 )</f>
        <v/>
      </c>
      <c r="AB37" s="281"/>
      <c r="AC37" s="279" t="str">
        <f>IF(Score!U37="", "",Score!U37 )</f>
        <v/>
      </c>
      <c r="AD37" s="294"/>
      <c r="AE37" s="294"/>
      <c r="AF37" s="294"/>
      <c r="AG37" s="297"/>
      <c r="AH37" s="294"/>
      <c r="AI37" s="294"/>
      <c r="AJ37" s="294"/>
      <c r="AK37" s="297"/>
      <c r="AL37" s="294"/>
      <c r="AM37" s="294"/>
      <c r="AN37" s="294"/>
      <c r="AO37" s="297"/>
      <c r="AP37" s="294"/>
      <c r="AQ37" s="294"/>
      <c r="AR37" s="294"/>
      <c r="AS37" s="297"/>
      <c r="AT37" s="294"/>
      <c r="AU37" s="294"/>
      <c r="AV37" s="296"/>
      <c r="AW37" s="298" t="str">
        <f>IF(AA37="","",SUMIF(SK!R$3:R$78,ROW(),SK!T$3:T$78))</f>
        <v/>
      </c>
      <c r="AX37" s="463"/>
      <c r="AY37" s="469"/>
    </row>
    <row r="38" spans="1:52" ht="31.95" customHeight="1" thickBot="1" x14ac:dyDescent="0.35">
      <c r="A38" s="276" t="str">
        <f>IF(Score!A38="", "",Score!A38 )</f>
        <v/>
      </c>
      <c r="B38" s="280"/>
      <c r="C38" s="278" t="str">
        <f>IF(Score!B38="", "",Score!B38 )</f>
        <v/>
      </c>
      <c r="D38" s="294"/>
      <c r="E38" s="294"/>
      <c r="F38" s="294"/>
      <c r="G38" s="295"/>
      <c r="H38" s="294"/>
      <c r="I38" s="294"/>
      <c r="J38" s="294"/>
      <c r="K38" s="295"/>
      <c r="L38" s="294"/>
      <c r="M38" s="294"/>
      <c r="N38" s="294"/>
      <c r="O38" s="295"/>
      <c r="P38" s="294"/>
      <c r="Q38" s="294"/>
      <c r="R38" s="294"/>
      <c r="S38" s="295"/>
      <c r="T38" s="294"/>
      <c r="U38" s="294"/>
      <c r="V38" s="296"/>
      <c r="W38" s="298" t="str">
        <f>IF(A38="","",SUMIF(SK!B$3:B$78,ROW(),SK!D$3:D$78))</f>
        <v/>
      </c>
      <c r="Y38" s="681" t="str">
        <f>IF(IGRF!B31="","",IGRF!B31)</f>
        <v/>
      </c>
      <c r="Z38" s="466" t="str">
        <f>IF(IGRF!C31="","",IGRF!C31)</f>
        <v/>
      </c>
      <c r="AA38" s="280" t="str">
        <f>IF(Score!T38="", "",Score!T38 )</f>
        <v/>
      </c>
      <c r="AB38" s="280"/>
      <c r="AC38" s="278" t="str">
        <f>IF(Score!U38="", "",Score!U38 )</f>
        <v/>
      </c>
      <c r="AD38" s="294"/>
      <c r="AE38" s="294"/>
      <c r="AF38" s="294"/>
      <c r="AG38" s="295"/>
      <c r="AH38" s="294"/>
      <c r="AI38" s="294"/>
      <c r="AJ38" s="294"/>
      <c r="AK38" s="295"/>
      <c r="AL38" s="294"/>
      <c r="AM38" s="294"/>
      <c r="AN38" s="294"/>
      <c r="AO38" s="295"/>
      <c r="AP38" s="294"/>
      <c r="AQ38" s="294"/>
      <c r="AR38" s="294"/>
      <c r="AS38" s="295"/>
      <c r="AT38" s="294"/>
      <c r="AU38" s="294"/>
      <c r="AV38" s="296"/>
      <c r="AW38" s="298" t="str">
        <f>IF(AA38="","",SUMIF(SK!R$3:R$78,ROW(),SK!T$3:T$78))</f>
        <v/>
      </c>
      <c r="AX38" s="273"/>
      <c r="AY38" s="681" t="str">
        <f>IF(IGRF!I31="","",IGRF!I31)</f>
        <v/>
      </c>
      <c r="AZ38" s="466" t="str">
        <f>IF(IGRF!J31="","",IGRF!J31)</f>
        <v/>
      </c>
    </row>
    <row r="39" spans="1:52" ht="31.95" customHeight="1" thickBot="1" x14ac:dyDescent="0.35">
      <c r="A39" s="277" t="str">
        <f>IF(Score!A39="", "",Score!A39 )</f>
        <v/>
      </c>
      <c r="B39" s="281"/>
      <c r="C39" s="279" t="str">
        <f>IF(Score!B39="", "",Score!B39 )</f>
        <v/>
      </c>
      <c r="D39" s="294"/>
      <c r="E39" s="294"/>
      <c r="F39" s="294"/>
      <c r="G39" s="297"/>
      <c r="H39" s="294"/>
      <c r="I39" s="294"/>
      <c r="J39" s="294"/>
      <c r="K39" s="297"/>
      <c r="L39" s="294"/>
      <c r="M39" s="294"/>
      <c r="N39" s="294"/>
      <c r="O39" s="297"/>
      <c r="P39" s="294"/>
      <c r="Q39" s="294"/>
      <c r="R39" s="294"/>
      <c r="S39" s="297"/>
      <c r="T39" s="294"/>
      <c r="U39" s="294"/>
      <c r="V39" s="296"/>
      <c r="W39" s="298" t="str">
        <f>IF(A39="","",SUMIF(SK!B$3:B$78,ROW(),SK!D$3:D$78))</f>
        <v/>
      </c>
      <c r="Y39" s="469"/>
      <c r="Z39" s="466"/>
      <c r="AA39" s="281" t="str">
        <f>IF(Score!T39="", "",Score!T39 )</f>
        <v/>
      </c>
      <c r="AB39" s="281"/>
      <c r="AC39" s="279" t="str">
        <f>IF(Score!U39="", "",Score!U39 )</f>
        <v/>
      </c>
      <c r="AD39" s="294"/>
      <c r="AE39" s="294"/>
      <c r="AF39" s="294"/>
      <c r="AG39" s="297"/>
      <c r="AH39" s="294"/>
      <c r="AI39" s="294"/>
      <c r="AJ39" s="294"/>
      <c r="AK39" s="297"/>
      <c r="AL39" s="294"/>
      <c r="AM39" s="294"/>
      <c r="AN39" s="294"/>
      <c r="AO39" s="297"/>
      <c r="AP39" s="294"/>
      <c r="AQ39" s="294"/>
      <c r="AR39" s="294"/>
      <c r="AS39" s="297"/>
      <c r="AT39" s="294"/>
      <c r="AU39" s="294"/>
      <c r="AV39" s="296"/>
      <c r="AW39" s="298" t="str">
        <f>IF(AA39="","",SUMIF(SK!R$3:R$78,ROW(),SK!T$3:T$78))</f>
        <v/>
      </c>
      <c r="AX39" s="273"/>
      <c r="AY39" s="469"/>
    </row>
    <row r="40" spans="1:52" ht="31.8" customHeight="1" thickBot="1" x14ac:dyDescent="0.35">
      <c r="A40" s="276" t="str">
        <f>IF(Score!A40="", "",Score!A40 )</f>
        <v/>
      </c>
      <c r="B40" s="280"/>
      <c r="C40" s="278" t="str">
        <f>IF(Score!B40="", "",Score!B40 )</f>
        <v/>
      </c>
      <c r="D40" s="294"/>
      <c r="E40" s="294"/>
      <c r="F40" s="294"/>
      <c r="G40" s="295"/>
      <c r="H40" s="294"/>
      <c r="I40" s="294"/>
      <c r="J40" s="294"/>
      <c r="K40" s="295"/>
      <c r="L40" s="294"/>
      <c r="M40" s="294"/>
      <c r="N40" s="294"/>
      <c r="O40" s="295"/>
      <c r="P40" s="294"/>
      <c r="Q40" s="294"/>
      <c r="R40" s="294"/>
      <c r="S40" s="295"/>
      <c r="T40" s="294"/>
      <c r="U40" s="294"/>
      <c r="V40" s="296"/>
      <c r="W40" s="298" t="str">
        <f>IF(A40="","",SUMIF(SK!B$3:B$78,ROW(),SK!D$3:D$78))</f>
        <v/>
      </c>
      <c r="Y40" s="681" t="str">
        <f>IF(IGRF!B32="","",IGRF!B32)</f>
        <v/>
      </c>
      <c r="Z40" s="466" t="str">
        <f>IF(IGRF!C32="","",IGRF!C32)</f>
        <v/>
      </c>
      <c r="AA40" s="280" t="str">
        <f>IF(Score!T40="", "",Score!T40 )</f>
        <v/>
      </c>
      <c r="AB40" s="280"/>
      <c r="AC40" s="278" t="str">
        <f>IF(Score!U40="", "",Score!U40 )</f>
        <v/>
      </c>
      <c r="AD40" s="294"/>
      <c r="AE40" s="294"/>
      <c r="AF40" s="294"/>
      <c r="AG40" s="295"/>
      <c r="AH40" s="294"/>
      <c r="AI40" s="294"/>
      <c r="AJ40" s="294"/>
      <c r="AK40" s="295"/>
      <c r="AL40" s="294"/>
      <c r="AM40" s="294"/>
      <c r="AN40" s="294"/>
      <c r="AO40" s="295"/>
      <c r="AP40" s="294"/>
      <c r="AQ40" s="294"/>
      <c r="AR40" s="294"/>
      <c r="AS40" s="295"/>
      <c r="AT40" s="294"/>
      <c r="AU40" s="294"/>
      <c r="AV40" s="296"/>
      <c r="AW40" s="298" t="str">
        <f>IF(AA40="","",SUMIF(SK!R$3:R$78,ROW(),SK!T$3:T$78))</f>
        <v/>
      </c>
      <c r="AX40" s="275"/>
      <c r="AY40" s="681" t="str">
        <f>IF(IGRF!I32="","",IGRF!I32)</f>
        <v/>
      </c>
      <c r="AZ40" s="466" t="str">
        <f>IF(IGRF!J32="","",IGRF!J32)</f>
        <v/>
      </c>
    </row>
    <row r="41" spans="1:52" ht="31.95" customHeight="1" thickBot="1" x14ac:dyDescent="0.35">
      <c r="A41" s="277" t="str">
        <f>IF(Score!A41="", "",Score!A41 )</f>
        <v/>
      </c>
      <c r="B41" s="281"/>
      <c r="C41" s="279" t="str">
        <f>IF(Score!B41="", "",Score!B41 )</f>
        <v/>
      </c>
      <c r="D41" s="294"/>
      <c r="E41" s="294"/>
      <c r="F41" s="294"/>
      <c r="G41" s="297"/>
      <c r="H41" s="294"/>
      <c r="I41" s="294"/>
      <c r="J41" s="294"/>
      <c r="K41" s="297"/>
      <c r="L41" s="294"/>
      <c r="M41" s="294"/>
      <c r="N41" s="294"/>
      <c r="O41" s="297"/>
      <c r="P41" s="294"/>
      <c r="Q41" s="294"/>
      <c r="R41" s="294"/>
      <c r="S41" s="297"/>
      <c r="T41" s="294"/>
      <c r="U41" s="294"/>
      <c r="V41" s="296"/>
      <c r="W41" s="298" t="str">
        <f>IF(A41="","",SUMIF(SK!B$3:B$78,ROW(),SK!D$3:D$78))</f>
        <v/>
      </c>
      <c r="Y41" s="681" t="str">
        <f>IF(IGRF!B33="","",IGRF!B33)</f>
        <v/>
      </c>
      <c r="Z41" s="467" t="str">
        <f>IF(IGRF!C33="","",IGRF!C33)</f>
        <v/>
      </c>
      <c r="AA41" s="281" t="str">
        <f>IF(Score!T41="", "",Score!T41 )</f>
        <v/>
      </c>
      <c r="AB41" s="281"/>
      <c r="AC41" s="279" t="str">
        <f>IF(Score!U41="", "",Score!U41 )</f>
        <v/>
      </c>
      <c r="AD41" s="294"/>
      <c r="AE41" s="294"/>
      <c r="AF41" s="294"/>
      <c r="AG41" s="297"/>
      <c r="AH41" s="294"/>
      <c r="AI41" s="294"/>
      <c r="AJ41" s="294"/>
      <c r="AK41" s="297"/>
      <c r="AL41" s="294"/>
      <c r="AM41" s="294"/>
      <c r="AN41" s="294"/>
      <c r="AO41" s="297"/>
      <c r="AP41" s="294"/>
      <c r="AQ41" s="294"/>
      <c r="AR41" s="294"/>
      <c r="AS41" s="297"/>
      <c r="AT41" s="294"/>
      <c r="AU41" s="294"/>
      <c r="AV41" s="296"/>
      <c r="AW41" s="298" t="str">
        <f>IF(AA41="","",SUMIF(SK!R$3:R$78,ROW(),SK!T$3:T$78))</f>
        <v/>
      </c>
      <c r="AX41" s="274"/>
      <c r="AY41" s="681" t="str">
        <f>IF(IGRF!I33="","",IGRF!I33)</f>
        <v/>
      </c>
      <c r="AZ41" s="467" t="str">
        <f>IF(IGRF!J33="","",IGRF!J33)</f>
        <v/>
      </c>
    </row>
    <row r="42" spans="1:52" s="293" customFormat="1" ht="15" customHeight="1" x14ac:dyDescent="0.3">
      <c r="A42" s="1037" t="s">
        <v>503</v>
      </c>
      <c r="B42" s="1038"/>
      <c r="C42" s="1038"/>
      <c r="D42" s="1038"/>
      <c r="E42" s="1038"/>
      <c r="F42" s="1038"/>
      <c r="G42" s="1038"/>
      <c r="H42" s="1038"/>
      <c r="I42" s="1038"/>
      <c r="J42" s="1038"/>
      <c r="K42" s="1038"/>
      <c r="L42" s="1038"/>
      <c r="M42" s="1038"/>
      <c r="N42" s="1038"/>
      <c r="O42" s="1038"/>
      <c r="P42" s="1038"/>
      <c r="Q42" s="1038"/>
      <c r="R42" s="1038"/>
      <c r="S42" s="1038"/>
      <c r="T42" s="1038"/>
      <c r="U42" s="1038"/>
      <c r="V42" s="1038"/>
      <c r="W42" s="1038"/>
      <c r="X42" s="1038"/>
      <c r="Y42" s="1038"/>
      <c r="Z42" s="1038"/>
      <c r="AA42" s="1037" t="s">
        <v>503</v>
      </c>
      <c r="AB42" s="1038"/>
      <c r="AC42" s="1038"/>
      <c r="AD42" s="1038"/>
      <c r="AE42" s="1038"/>
      <c r="AF42" s="1038"/>
      <c r="AG42" s="1038"/>
      <c r="AH42" s="1038"/>
      <c r="AI42" s="1038"/>
      <c r="AJ42" s="1038"/>
      <c r="AK42" s="1038"/>
      <c r="AL42" s="1038"/>
      <c r="AM42" s="1038"/>
      <c r="AN42" s="1038"/>
      <c r="AO42" s="1038"/>
      <c r="AP42" s="1038"/>
      <c r="AQ42" s="1038"/>
      <c r="AR42" s="1038"/>
      <c r="AS42" s="1038"/>
      <c r="AT42" s="1038"/>
      <c r="AU42" s="1038"/>
      <c r="AV42" s="1038"/>
      <c r="AW42" s="1038"/>
      <c r="AX42" s="1038"/>
      <c r="AY42" s="1038"/>
      <c r="AZ42" s="1038"/>
    </row>
    <row r="43" spans="1:52" ht="28.95" customHeight="1" x14ac:dyDescent="0.45">
      <c r="A43" s="1031" t="str">
        <f>A1</f>
        <v>Black Rose Rollers / All Stars</v>
      </c>
      <c r="B43" s="1031"/>
      <c r="C43" s="1031"/>
      <c r="D43" s="1031"/>
      <c r="E43" s="1031"/>
      <c r="F43" s="1031"/>
      <c r="G43" s="1031"/>
      <c r="H43" s="1028" t="str">
        <f>H1</f>
        <v>Black</v>
      </c>
      <c r="I43" s="1028"/>
      <c r="J43" s="1028"/>
      <c r="K43" s="1028"/>
      <c r="L43" s="1029">
        <f>L1</f>
        <v>45144</v>
      </c>
      <c r="M43" s="1029"/>
      <c r="N43" s="1029"/>
      <c r="O43" s="1029"/>
      <c r="P43" s="1030" t="s">
        <v>533</v>
      </c>
      <c r="Q43" s="1030"/>
      <c r="R43" s="1030"/>
      <c r="S43" s="1030"/>
      <c r="T43" s="1030"/>
      <c r="U43" s="1030"/>
      <c r="V43" s="1030"/>
      <c r="W43" s="1030"/>
      <c r="X43" s="1030"/>
      <c r="Y43" s="1030"/>
      <c r="Z43" s="514">
        <v>2</v>
      </c>
      <c r="AA43" s="1031" t="str">
        <f>AA1</f>
        <v>Steel City Roller Derby / Steel Hurtin'</v>
      </c>
      <c r="AB43" s="1031"/>
      <c r="AC43" s="1031"/>
      <c r="AD43" s="1031"/>
      <c r="AE43" s="1031"/>
      <c r="AF43" s="1031"/>
      <c r="AG43" s="1031"/>
      <c r="AH43" s="1028" t="str">
        <f>AH1</f>
        <v>Yellow</v>
      </c>
      <c r="AI43" s="1028"/>
      <c r="AJ43" s="1028"/>
      <c r="AK43" s="1028"/>
      <c r="AL43" s="1029">
        <f>AL1</f>
        <v>45144</v>
      </c>
      <c r="AM43" s="1029"/>
      <c r="AN43" s="1029"/>
      <c r="AO43" s="1029"/>
      <c r="AP43" s="1030" t="s">
        <v>534</v>
      </c>
      <c r="AQ43" s="1030"/>
      <c r="AR43" s="1030"/>
      <c r="AS43" s="1030"/>
      <c r="AT43" s="1030"/>
      <c r="AU43" s="1030"/>
      <c r="AV43" s="1030"/>
      <c r="AW43" s="1030"/>
      <c r="AX43" s="1030"/>
      <c r="AY43" s="1030"/>
      <c r="AZ43" s="514">
        <v>2</v>
      </c>
    </row>
    <row r="44" spans="1:52" ht="15" customHeight="1" thickBot="1" x14ac:dyDescent="0.35">
      <c r="A44" s="1032"/>
      <c r="B44" s="1032"/>
      <c r="C44" s="1032"/>
      <c r="D44" s="1032"/>
      <c r="E44" s="1032"/>
      <c r="F44" s="1032"/>
      <c r="G44" s="1032"/>
      <c r="H44" s="1025" t="s">
        <v>181</v>
      </c>
      <c r="I44" s="1025"/>
      <c r="J44" s="1025"/>
      <c r="K44" s="1025"/>
      <c r="L44" s="1026" t="s">
        <v>184</v>
      </c>
      <c r="M44" s="1026"/>
      <c r="N44" s="1026"/>
      <c r="O44" s="1026"/>
      <c r="P44" s="1027" t="s">
        <v>176</v>
      </c>
      <c r="Q44" s="1027"/>
      <c r="R44" s="1027"/>
      <c r="S44" s="1027"/>
      <c r="T44" s="1027"/>
      <c r="U44" s="1027"/>
      <c r="V44" s="1027"/>
      <c r="W44" s="1027"/>
      <c r="X44" s="1027"/>
      <c r="Y44" s="1027"/>
      <c r="Z44" s="515" t="str">
        <f>Z2</f>
        <v/>
      </c>
      <c r="AA44" s="1032"/>
      <c r="AB44" s="1032"/>
      <c r="AC44" s="1032"/>
      <c r="AD44" s="1032"/>
      <c r="AE44" s="1032"/>
      <c r="AF44" s="1032"/>
      <c r="AG44" s="1032"/>
      <c r="AH44" s="1025" t="s">
        <v>181</v>
      </c>
      <c r="AI44" s="1025"/>
      <c r="AJ44" s="1025"/>
      <c r="AK44" s="1025"/>
      <c r="AL44" s="1026" t="s">
        <v>184</v>
      </c>
      <c r="AM44" s="1026"/>
      <c r="AN44" s="1026"/>
      <c r="AO44" s="1026"/>
      <c r="AP44" s="1027" t="s">
        <v>176</v>
      </c>
      <c r="AQ44" s="1027"/>
      <c r="AR44" s="1027"/>
      <c r="AS44" s="1027"/>
      <c r="AT44" s="1027"/>
      <c r="AU44" s="1027"/>
      <c r="AV44" s="1027"/>
      <c r="AW44" s="1027"/>
      <c r="AX44" s="1027"/>
      <c r="AY44" s="1027"/>
      <c r="AZ44" s="515" t="str">
        <f>AZ2</f>
        <v/>
      </c>
    </row>
    <row r="45" spans="1:52" ht="13.5" customHeight="1" thickBot="1" x14ac:dyDescent="0.35">
      <c r="A45" s="270" t="s">
        <v>268</v>
      </c>
      <c r="B45" s="271" t="s">
        <v>182</v>
      </c>
      <c r="C45" s="272" t="s">
        <v>105</v>
      </c>
      <c r="D45" s="1033" t="s">
        <v>269</v>
      </c>
      <c r="E45" s="1033"/>
      <c r="F45" s="1033"/>
      <c r="G45" s="272" t="s">
        <v>103</v>
      </c>
      <c r="H45" s="1033" t="s">
        <v>269</v>
      </c>
      <c r="I45" s="1033"/>
      <c r="J45" s="1033"/>
      <c r="K45" s="272" t="s">
        <v>104</v>
      </c>
      <c r="L45" s="1033" t="s">
        <v>269</v>
      </c>
      <c r="M45" s="1033"/>
      <c r="N45" s="1033"/>
      <c r="O45" s="272" t="s">
        <v>104</v>
      </c>
      <c r="P45" s="1033" t="s">
        <v>269</v>
      </c>
      <c r="Q45" s="1033"/>
      <c r="R45" s="1033"/>
      <c r="S45" s="272" t="s">
        <v>104</v>
      </c>
      <c r="T45" s="1033" t="s">
        <v>269</v>
      </c>
      <c r="U45" s="1033"/>
      <c r="V45" s="1033"/>
      <c r="W45" s="299"/>
      <c r="X45" s="1034" t="s">
        <v>177</v>
      </c>
      <c r="Y45" s="1039"/>
      <c r="Z45" s="1040"/>
      <c r="AA45" s="270" t="s">
        <v>268</v>
      </c>
      <c r="AB45" s="271" t="s">
        <v>182</v>
      </c>
      <c r="AC45" s="272" t="s">
        <v>105</v>
      </c>
      <c r="AD45" s="1033" t="s">
        <v>269</v>
      </c>
      <c r="AE45" s="1033"/>
      <c r="AF45" s="1033"/>
      <c r="AG45" s="272" t="s">
        <v>103</v>
      </c>
      <c r="AH45" s="1033" t="s">
        <v>269</v>
      </c>
      <c r="AI45" s="1033"/>
      <c r="AJ45" s="1033"/>
      <c r="AK45" s="272" t="s">
        <v>104</v>
      </c>
      <c r="AL45" s="1033" t="s">
        <v>269</v>
      </c>
      <c r="AM45" s="1033"/>
      <c r="AN45" s="1033"/>
      <c r="AO45" s="272" t="s">
        <v>104</v>
      </c>
      <c r="AP45" s="1033" t="s">
        <v>269</v>
      </c>
      <c r="AQ45" s="1033"/>
      <c r="AR45" s="1033"/>
      <c r="AS45" s="272" t="s">
        <v>104</v>
      </c>
      <c r="AT45" s="1033" t="s">
        <v>269</v>
      </c>
      <c r="AU45" s="1033"/>
      <c r="AV45" s="1033"/>
      <c r="AW45" s="299"/>
      <c r="AX45" s="1034" t="s">
        <v>177</v>
      </c>
      <c r="AY45" s="1035"/>
      <c r="AZ45" s="1036"/>
    </row>
    <row r="46" spans="1:52" ht="31.95" customHeight="1" thickBot="1" x14ac:dyDescent="0.35">
      <c r="A46" s="276">
        <f>IF(Score!A46="", "",Score!A46 )</f>
        <v>1</v>
      </c>
      <c r="B46" s="280"/>
      <c r="C46" s="278" t="str">
        <f>IF(Score!B46="", "",Score!B46 )</f>
        <v>123</v>
      </c>
      <c r="D46" s="294"/>
      <c r="E46" s="294"/>
      <c r="F46" s="294"/>
      <c r="G46" s="295" t="s">
        <v>578</v>
      </c>
      <c r="H46" s="294"/>
      <c r="I46" s="294"/>
      <c r="J46" s="294"/>
      <c r="K46" s="295" t="s">
        <v>553</v>
      </c>
      <c r="L46" s="294"/>
      <c r="M46" s="294"/>
      <c r="N46" s="294"/>
      <c r="O46" s="295" t="s">
        <v>562</v>
      </c>
      <c r="P46" s="294"/>
      <c r="Q46" s="294"/>
      <c r="R46" s="294"/>
      <c r="S46" s="295" t="s">
        <v>549</v>
      </c>
      <c r="T46" s="294"/>
      <c r="U46" s="294"/>
      <c r="V46" s="296"/>
      <c r="W46" s="298">
        <f ca="1">IF(A46="","",SUMIF(SK!B$88:B$163,ROW(),SK!D$88:D$163))</f>
        <v>4</v>
      </c>
      <c r="Y46" s="681" t="str">
        <f>Y4</f>
        <v>101</v>
      </c>
      <c r="Z46" s="466" t="str">
        <f>Z4</f>
        <v>Jackie Treehorn</v>
      </c>
      <c r="AA46" s="280">
        <f>IF(Score!T46="", "",Score!T46 )</f>
        <v>1</v>
      </c>
      <c r="AB46" s="280"/>
      <c r="AC46" s="278" t="str">
        <f>IF(Score!U46="", "",Score!U46 )</f>
        <v>23</v>
      </c>
      <c r="AD46" s="294"/>
      <c r="AE46" s="294"/>
      <c r="AF46" s="294"/>
      <c r="AG46" s="295" t="s">
        <v>590</v>
      </c>
      <c r="AH46" s="294"/>
      <c r="AI46" s="294"/>
      <c r="AJ46" s="294"/>
      <c r="AK46" s="295" t="s">
        <v>586</v>
      </c>
      <c r="AL46" s="294" t="s">
        <v>617</v>
      </c>
      <c r="AM46" s="294"/>
      <c r="AN46" s="294"/>
      <c r="AO46" s="295" t="s">
        <v>597</v>
      </c>
      <c r="AP46" s="294"/>
      <c r="AQ46" s="294"/>
      <c r="AR46" s="294"/>
      <c r="AS46" s="295" t="s">
        <v>599</v>
      </c>
      <c r="AT46" s="294"/>
      <c r="AU46" s="294"/>
      <c r="AV46" s="296"/>
      <c r="AW46" s="298">
        <f ca="1">IF(AA46="","",SUMIF(SK!R$88:R$163,ROW(),SK!T$88:T$163))</f>
        <v>0</v>
      </c>
      <c r="AY46" s="681" t="str">
        <f>AY4</f>
        <v>12</v>
      </c>
      <c r="AZ46" s="468" t="str">
        <f>AZ4</f>
        <v>Zorra</v>
      </c>
    </row>
    <row r="47" spans="1:52" ht="31.95" customHeight="1" thickBot="1" x14ac:dyDescent="0.35">
      <c r="A47" s="277" t="str">
        <f>IF(Score!A47="", "",Score!A47 )</f>
        <v>SP*</v>
      </c>
      <c r="B47" s="281"/>
      <c r="C47" s="279" t="str">
        <f>IF(Score!B47="", "",Score!B47 )</f>
        <v/>
      </c>
      <c r="D47" s="294"/>
      <c r="E47" s="294"/>
      <c r="F47" s="294"/>
      <c r="G47" s="297"/>
      <c r="H47" s="294"/>
      <c r="I47" s="294"/>
      <c r="J47" s="294"/>
      <c r="K47" s="297"/>
      <c r="L47" s="294"/>
      <c r="M47" s="294"/>
      <c r="N47" s="294"/>
      <c r="O47" s="297"/>
      <c r="P47" s="294"/>
      <c r="Q47" s="294"/>
      <c r="R47" s="294"/>
      <c r="S47" s="297"/>
      <c r="T47" s="294"/>
      <c r="U47" s="294"/>
      <c r="V47" s="296"/>
      <c r="W47" s="298">
        <f ca="1">IF(A47="","",SUMIF(SK!B$88:B$163,ROW(),SK!D$88:D$163))</f>
        <v>0</v>
      </c>
      <c r="Z47" s="466"/>
      <c r="AA47" s="281" t="str">
        <f>IF(Score!T47="", "",Score!T47 )</f>
        <v>SP</v>
      </c>
      <c r="AB47" s="281" t="s">
        <v>114</v>
      </c>
      <c r="AC47" s="279" t="str">
        <f>IF(Score!U47="", "",Score!U47 )</f>
        <v>219</v>
      </c>
      <c r="AD47" s="294"/>
      <c r="AE47" s="294"/>
      <c r="AF47" s="294"/>
      <c r="AG47" s="297" t="s">
        <v>595</v>
      </c>
      <c r="AH47" s="294"/>
      <c r="AI47" s="294"/>
      <c r="AJ47" s="294"/>
      <c r="AK47" s="297" t="s">
        <v>586</v>
      </c>
      <c r="AL47" s="294"/>
      <c r="AM47" s="294"/>
      <c r="AN47" s="294"/>
      <c r="AO47" s="297" t="s">
        <v>597</v>
      </c>
      <c r="AP47" s="294"/>
      <c r="AQ47" s="294"/>
      <c r="AR47" s="294"/>
      <c r="AS47" s="297" t="s">
        <v>599</v>
      </c>
      <c r="AT47" s="294"/>
      <c r="AU47" s="294"/>
      <c r="AV47" s="296"/>
      <c r="AW47" s="298">
        <f ca="1">IF(AA47="","",SUMIF(SK!R$88:R$163,ROW(),SK!T$88:T$163))</f>
        <v>3</v>
      </c>
      <c r="AZ47" s="466"/>
    </row>
    <row r="48" spans="1:52" ht="31.95" customHeight="1" thickBot="1" x14ac:dyDescent="0.35">
      <c r="A48" s="276">
        <f>IF(Score!A48="", "",Score!A48 )</f>
        <v>2</v>
      </c>
      <c r="B48" s="280"/>
      <c r="C48" s="278" t="str">
        <f>IF(Score!B48="", "",Score!B48 )</f>
        <v>352</v>
      </c>
      <c r="D48" s="294"/>
      <c r="E48" s="294"/>
      <c r="F48" s="294"/>
      <c r="G48" s="295" t="s">
        <v>553</v>
      </c>
      <c r="H48" s="294"/>
      <c r="I48" s="294"/>
      <c r="J48" s="294"/>
      <c r="K48" s="295" t="s">
        <v>580</v>
      </c>
      <c r="L48" s="294"/>
      <c r="M48" s="294"/>
      <c r="N48" s="294"/>
      <c r="O48" s="295" t="s">
        <v>560</v>
      </c>
      <c r="P48" s="294"/>
      <c r="Q48" s="294"/>
      <c r="R48" s="294"/>
      <c r="S48" s="295" t="s">
        <v>549</v>
      </c>
      <c r="T48" s="294"/>
      <c r="U48" s="294"/>
      <c r="V48" s="296"/>
      <c r="W48" s="298">
        <f ca="1">IF(A48="","",SUMIF(SK!B$88:B$163,ROW(),SK!D$88:D$163))</f>
        <v>0</v>
      </c>
      <c r="Y48" s="681" t="str">
        <f>Y6</f>
        <v>123</v>
      </c>
      <c r="Z48" s="466" t="str">
        <f>Z6</f>
        <v>Bacon 4 Mercy</v>
      </c>
      <c r="AA48" s="280">
        <f>IF(Score!T48="", "",Score!T48 )</f>
        <v>2</v>
      </c>
      <c r="AB48" s="280"/>
      <c r="AC48" s="278" t="str">
        <f>IF(Score!U48="", "",Score!U48 )</f>
        <v>12</v>
      </c>
      <c r="AD48" s="294"/>
      <c r="AE48" s="294"/>
      <c r="AF48" s="294"/>
      <c r="AG48" s="295" t="s">
        <v>610</v>
      </c>
      <c r="AH48" s="294"/>
      <c r="AI48" s="294"/>
      <c r="AJ48" s="294"/>
      <c r="AK48" s="295" t="s">
        <v>606</v>
      </c>
      <c r="AL48" s="294"/>
      <c r="AM48" s="294"/>
      <c r="AN48" s="294"/>
      <c r="AO48" s="295" t="s">
        <v>588</v>
      </c>
      <c r="AP48" s="294"/>
      <c r="AQ48" s="294"/>
      <c r="AR48" s="294"/>
      <c r="AS48" s="295" t="s">
        <v>556</v>
      </c>
      <c r="AT48" s="294"/>
      <c r="AU48" s="294"/>
      <c r="AV48" s="296"/>
      <c r="AW48" s="298">
        <f ca="1">IF(AA48="","",SUMIF(SK!R$88:R$163,ROW(),SK!T$88:T$163))</f>
        <v>4</v>
      </c>
      <c r="AY48" s="681" t="str">
        <f>AY6</f>
        <v>16</v>
      </c>
      <c r="AZ48" s="466" t="str">
        <f>AZ6</f>
        <v>Dodge n Burn</v>
      </c>
    </row>
    <row r="49" spans="1:52" ht="31.95" customHeight="1" thickBot="1" x14ac:dyDescent="0.35">
      <c r="A49" s="277" t="str">
        <f>IF(Score!A49="", "",Score!A49 )</f>
        <v>SP</v>
      </c>
      <c r="B49" s="281" t="s">
        <v>114</v>
      </c>
      <c r="C49" s="279" t="str">
        <f>IF(Score!B49="", "",Score!B49 )</f>
        <v>1760</v>
      </c>
      <c r="D49" s="294"/>
      <c r="E49" s="294"/>
      <c r="F49" s="294"/>
      <c r="G49" s="297" t="s">
        <v>568</v>
      </c>
      <c r="H49" s="294"/>
      <c r="I49" s="294"/>
      <c r="J49" s="294"/>
      <c r="K49" s="297" t="s">
        <v>580</v>
      </c>
      <c r="L49" s="294"/>
      <c r="M49" s="294"/>
      <c r="N49" s="294"/>
      <c r="O49" s="297" t="s">
        <v>560</v>
      </c>
      <c r="P49" s="294"/>
      <c r="Q49" s="294"/>
      <c r="R49" s="294"/>
      <c r="S49" s="297" t="s">
        <v>549</v>
      </c>
      <c r="T49" s="294"/>
      <c r="U49" s="294"/>
      <c r="V49" s="296"/>
      <c r="W49" s="298">
        <f ca="1">IF(A49="","",SUMIF(SK!B$88:B$163,ROW(),SK!D$88:D$163))</f>
        <v>0</v>
      </c>
      <c r="Z49" s="466"/>
      <c r="AA49" s="281" t="str">
        <f>IF(Score!T49="", "",Score!T49 )</f>
        <v>SP*</v>
      </c>
      <c r="AB49" s="281"/>
      <c r="AC49" s="279" t="str">
        <f>IF(Score!U49="", "",Score!U49 )</f>
        <v/>
      </c>
      <c r="AD49" s="294"/>
      <c r="AE49" s="294"/>
      <c r="AF49" s="294"/>
      <c r="AG49" s="297"/>
      <c r="AH49" s="294"/>
      <c r="AI49" s="294"/>
      <c r="AJ49" s="294"/>
      <c r="AK49" s="297"/>
      <c r="AL49" s="294"/>
      <c r="AM49" s="294"/>
      <c r="AN49" s="294"/>
      <c r="AO49" s="297"/>
      <c r="AP49" s="294"/>
      <c r="AQ49" s="294"/>
      <c r="AR49" s="294"/>
      <c r="AS49" s="297"/>
      <c r="AT49" s="294"/>
      <c r="AU49" s="294"/>
      <c r="AV49" s="296"/>
      <c r="AW49" s="298">
        <f ca="1">IF(AA49="","",SUMIF(SK!R$88:R$163,ROW(),SK!T$88:T$163))</f>
        <v>0</v>
      </c>
      <c r="AZ49" s="466"/>
    </row>
    <row r="50" spans="1:52" ht="31.95" customHeight="1" thickBot="1" x14ac:dyDescent="0.35">
      <c r="A50" s="276">
        <f>IF(Score!A50="", "",Score!A50 )</f>
        <v>3</v>
      </c>
      <c r="B50" s="280"/>
      <c r="C50" s="278" t="str">
        <f>IF(Score!B50="", "",Score!B50 )</f>
        <v>202</v>
      </c>
      <c r="D50" s="294"/>
      <c r="E50" s="294"/>
      <c r="F50" s="294"/>
      <c r="G50" s="295" t="s">
        <v>578</v>
      </c>
      <c r="H50" s="294" t="s">
        <v>618</v>
      </c>
      <c r="I50" s="294"/>
      <c r="J50" s="294"/>
      <c r="K50" s="295" t="s">
        <v>570</v>
      </c>
      <c r="L50" s="294" t="s">
        <v>618</v>
      </c>
      <c r="M50" s="294"/>
      <c r="N50" s="294"/>
      <c r="O50" s="295" t="s">
        <v>562</v>
      </c>
      <c r="P50" s="294"/>
      <c r="Q50" s="294"/>
      <c r="R50" s="294"/>
      <c r="S50" s="295" t="s">
        <v>576</v>
      </c>
      <c r="T50" s="294"/>
      <c r="U50" s="294"/>
      <c r="V50" s="296"/>
      <c r="W50" s="298">
        <f ca="1">IF(A50="","",SUMIF(SK!B$88:B$163,ROW(),SK!D$88:D$163))</f>
        <v>0</v>
      </c>
      <c r="Y50" s="681" t="str">
        <f>Y8</f>
        <v>1760</v>
      </c>
      <c r="Z50" s="466" t="str">
        <f>Z8</f>
        <v>By O. Hazard</v>
      </c>
      <c r="AA50" s="280">
        <f>IF(Score!T50="", "",Score!T50 )</f>
        <v>3</v>
      </c>
      <c r="AB50" s="280"/>
      <c r="AC50" s="278" t="str">
        <f>IF(Score!U50="", "",Score!U50 )</f>
        <v>49</v>
      </c>
      <c r="AD50" s="294"/>
      <c r="AE50" s="294"/>
      <c r="AF50" s="294"/>
      <c r="AG50" s="295" t="s">
        <v>590</v>
      </c>
      <c r="AH50" s="294"/>
      <c r="AI50" s="294"/>
      <c r="AJ50" s="294"/>
      <c r="AK50" s="295" t="s">
        <v>586</v>
      </c>
      <c r="AL50" s="294"/>
      <c r="AM50" s="294"/>
      <c r="AN50" s="294"/>
      <c r="AO50" s="295" t="s">
        <v>597</v>
      </c>
      <c r="AP50" s="294"/>
      <c r="AQ50" s="294"/>
      <c r="AR50" s="294"/>
      <c r="AS50" s="295" t="s">
        <v>599</v>
      </c>
      <c r="AT50" s="294"/>
      <c r="AU50" s="294"/>
      <c r="AV50" s="296"/>
      <c r="AW50" s="298">
        <f ca="1">IF(AA50="","",SUMIF(SK!R$88:R$163,ROW(),SK!T$88:T$163))</f>
        <v>4</v>
      </c>
      <c r="AY50" s="681" t="str">
        <f>AY8</f>
        <v>17</v>
      </c>
      <c r="AZ50" s="466" t="str">
        <f>AZ8</f>
        <v>Yinzey Lohan</v>
      </c>
    </row>
    <row r="51" spans="1:52" ht="31.95" customHeight="1" thickBot="1" x14ac:dyDescent="0.35">
      <c r="A51" s="277">
        <f>IF(Score!A51="", "",Score!A51 )</f>
        <v>4</v>
      </c>
      <c r="B51" s="281"/>
      <c r="C51" s="279" t="str">
        <f>IF(Score!B51="", "",Score!B51 )</f>
        <v>123</v>
      </c>
      <c r="D51" s="294"/>
      <c r="E51" s="294"/>
      <c r="F51" s="294"/>
      <c r="G51" s="297" t="s">
        <v>578</v>
      </c>
      <c r="H51" s="294" t="s">
        <v>619</v>
      </c>
      <c r="I51" s="294"/>
      <c r="J51" s="294"/>
      <c r="K51" s="297" t="s">
        <v>570</v>
      </c>
      <c r="L51" s="294" t="s">
        <v>629</v>
      </c>
      <c r="M51" s="294"/>
      <c r="N51" s="294"/>
      <c r="O51" s="297" t="s">
        <v>549</v>
      </c>
      <c r="P51" s="294" t="s">
        <v>618</v>
      </c>
      <c r="Q51" s="294"/>
      <c r="R51" s="294"/>
      <c r="S51" s="297" t="s">
        <v>553</v>
      </c>
      <c r="T51" s="294"/>
      <c r="U51" s="294"/>
      <c r="V51" s="296"/>
      <c r="W51" s="298">
        <f ca="1">IF(A51="","",SUMIF(SK!B$88:B$163,ROW(),SK!D$88:D$163))</f>
        <v>0</v>
      </c>
      <c r="Z51" s="466"/>
      <c r="AA51" s="281">
        <f>IF(Score!T51="", "",Score!T51 )</f>
        <v>4</v>
      </c>
      <c r="AB51" s="281"/>
      <c r="AC51" s="279" t="str">
        <f>IF(Score!U51="", "",Score!U51 )</f>
        <v>223</v>
      </c>
      <c r="AD51" s="294"/>
      <c r="AE51" s="294"/>
      <c r="AF51" s="294"/>
      <c r="AG51" s="297" t="s">
        <v>610</v>
      </c>
      <c r="AH51" s="294"/>
      <c r="AI51" s="294"/>
      <c r="AJ51" s="294"/>
      <c r="AK51" s="297" t="s">
        <v>588</v>
      </c>
      <c r="AL51" s="294"/>
      <c r="AM51" s="294"/>
      <c r="AN51" s="294"/>
      <c r="AO51" s="297" t="s">
        <v>556</v>
      </c>
      <c r="AP51" s="294"/>
      <c r="AQ51" s="294"/>
      <c r="AR51" s="294"/>
      <c r="AS51" s="297" t="s">
        <v>606</v>
      </c>
      <c r="AT51" s="294"/>
      <c r="AU51" s="294"/>
      <c r="AV51" s="296"/>
      <c r="AW51" s="298">
        <f ca="1">IF(AA51="","",SUMIF(SK!R$88:R$163,ROW(),SK!T$88:T$163))</f>
        <v>8</v>
      </c>
      <c r="AZ51" s="466"/>
    </row>
    <row r="52" spans="1:52" ht="31.95" customHeight="1" thickBot="1" x14ac:dyDescent="0.35">
      <c r="A52" s="276" t="str">
        <f>IF(Score!A52="", "",Score!A52 )</f>
        <v>SP</v>
      </c>
      <c r="B52" s="280" t="s">
        <v>114</v>
      </c>
      <c r="C52" s="278" t="str">
        <f>IF(Score!B52="", "",Score!B52 )</f>
        <v>84</v>
      </c>
      <c r="D52" s="294" t="s">
        <v>618</v>
      </c>
      <c r="E52" s="294"/>
      <c r="F52" s="294"/>
      <c r="G52" s="295" t="s">
        <v>551</v>
      </c>
      <c r="H52" s="294"/>
      <c r="I52" s="294"/>
      <c r="J52" s="294"/>
      <c r="K52" s="295" t="s">
        <v>570</v>
      </c>
      <c r="L52" s="294" t="s">
        <v>619</v>
      </c>
      <c r="M52" s="294"/>
      <c r="N52" s="294"/>
      <c r="O52" s="295" t="s">
        <v>549</v>
      </c>
      <c r="P52" s="294" t="s">
        <v>619</v>
      </c>
      <c r="Q52" s="294"/>
      <c r="R52" s="294"/>
      <c r="S52" s="295" t="s">
        <v>553</v>
      </c>
      <c r="T52" s="294"/>
      <c r="U52" s="294"/>
      <c r="V52" s="296"/>
      <c r="W52" s="298">
        <f ca="1">IF(A52="","",SUMIF(SK!B$88:B$163,ROW(),SK!D$88:D$163))</f>
        <v>0</v>
      </c>
      <c r="Y52" s="681" t="str">
        <f>Y10</f>
        <v>202</v>
      </c>
      <c r="Z52" s="466" t="str">
        <f>Z10</f>
        <v>Thai-GRRR</v>
      </c>
      <c r="AA52" s="280" t="str">
        <f>IF(Score!T52="", "",Score!T52 )</f>
        <v>SP*</v>
      </c>
      <c r="AB52" s="280"/>
      <c r="AC52" s="278" t="str">
        <f>IF(Score!U52="", "",Score!U52 )</f>
        <v/>
      </c>
      <c r="AD52" s="294"/>
      <c r="AE52" s="294"/>
      <c r="AF52" s="294"/>
      <c r="AG52" s="295"/>
      <c r="AH52" s="294"/>
      <c r="AI52" s="294"/>
      <c r="AJ52" s="294"/>
      <c r="AK52" s="295"/>
      <c r="AL52" s="294"/>
      <c r="AM52" s="294"/>
      <c r="AN52" s="294"/>
      <c r="AO52" s="295"/>
      <c r="AP52" s="294"/>
      <c r="AQ52" s="294"/>
      <c r="AR52" s="294"/>
      <c r="AS52" s="295"/>
      <c r="AT52" s="294"/>
      <c r="AU52" s="294"/>
      <c r="AV52" s="296"/>
      <c r="AW52" s="298">
        <f ca="1">IF(AA52="","",SUMIF(SK!R$88:R$163,ROW(),SK!T$88:T$163))</f>
        <v>0</v>
      </c>
      <c r="AY52" s="681" t="str">
        <f>AY10</f>
        <v>2</v>
      </c>
      <c r="AZ52" s="466" t="str">
        <f>AZ10</f>
        <v>Stark Raven</v>
      </c>
    </row>
    <row r="53" spans="1:52" ht="31.95" customHeight="1" thickBot="1" x14ac:dyDescent="0.35">
      <c r="A53" s="277">
        <f>IF(Score!A53="", "",Score!A53 )</f>
        <v>5</v>
      </c>
      <c r="B53" s="281"/>
      <c r="C53" s="279" t="str">
        <f>IF(Score!B53="", "",Score!B53 )</f>
        <v>84</v>
      </c>
      <c r="D53" s="294" t="s">
        <v>619</v>
      </c>
      <c r="E53" s="294"/>
      <c r="F53" s="294"/>
      <c r="G53" s="297" t="s">
        <v>553</v>
      </c>
      <c r="H53" s="294"/>
      <c r="I53" s="294"/>
      <c r="J53" s="294"/>
      <c r="K53" s="297" t="s">
        <v>580</v>
      </c>
      <c r="L53" s="294" t="s">
        <v>617</v>
      </c>
      <c r="M53" s="294"/>
      <c r="N53" s="294"/>
      <c r="O53" s="297" t="s">
        <v>562</v>
      </c>
      <c r="P53" s="294"/>
      <c r="Q53" s="294"/>
      <c r="R53" s="294"/>
      <c r="S53" s="297" t="s">
        <v>549</v>
      </c>
      <c r="T53" s="294"/>
      <c r="U53" s="294"/>
      <c r="V53" s="296"/>
      <c r="W53" s="298">
        <f ca="1">IF(A53="","",SUMIF(SK!B$88:B$163,ROW(),SK!D$88:D$163))</f>
        <v>12</v>
      </c>
      <c r="Z53" s="466"/>
      <c r="AA53" s="281">
        <f>IF(Score!T53="", "",Score!T53 )</f>
        <v>5</v>
      </c>
      <c r="AB53" s="281"/>
      <c r="AC53" s="279" t="str">
        <f>IF(Score!U53="", "",Score!U53 )</f>
        <v>12</v>
      </c>
      <c r="AD53" s="294" t="s">
        <v>617</v>
      </c>
      <c r="AE53" s="294"/>
      <c r="AF53" s="294"/>
      <c r="AG53" s="297" t="s">
        <v>590</v>
      </c>
      <c r="AH53" s="294"/>
      <c r="AI53" s="294"/>
      <c r="AJ53" s="294"/>
      <c r="AK53" s="297" t="s">
        <v>586</v>
      </c>
      <c r="AL53" s="294"/>
      <c r="AM53" s="294"/>
      <c r="AN53" s="294"/>
      <c r="AO53" s="297" t="s">
        <v>597</v>
      </c>
      <c r="AP53" s="294"/>
      <c r="AQ53" s="294"/>
      <c r="AR53" s="294"/>
      <c r="AS53" s="297" t="s">
        <v>599</v>
      </c>
      <c r="AT53" s="294"/>
      <c r="AU53" s="294"/>
      <c r="AV53" s="296"/>
      <c r="AW53" s="298">
        <f ca="1">IF(AA53="","",SUMIF(SK!R$88:R$163,ROW(),SK!T$88:T$163))</f>
        <v>8</v>
      </c>
      <c r="AZ53" s="466"/>
    </row>
    <row r="54" spans="1:52" ht="31.95" customHeight="1" thickBot="1" x14ac:dyDescent="0.35">
      <c r="A54" s="276">
        <f>IF(Score!A54="", "",Score!A54 )</f>
        <v>6</v>
      </c>
      <c r="B54" s="280"/>
      <c r="C54" s="278" t="str">
        <f>IF(Score!B54="", "",Score!B54 )</f>
        <v>352</v>
      </c>
      <c r="D54" s="294" t="s">
        <v>617</v>
      </c>
      <c r="E54" s="294"/>
      <c r="F54" s="294"/>
      <c r="G54" s="295" t="s">
        <v>553</v>
      </c>
      <c r="H54" s="294"/>
      <c r="I54" s="294"/>
      <c r="J54" s="294"/>
      <c r="K54" s="295" t="s">
        <v>566</v>
      </c>
      <c r="L54" s="294" t="s">
        <v>617</v>
      </c>
      <c r="M54" s="294"/>
      <c r="N54" s="294"/>
      <c r="O54" s="295" t="s">
        <v>580</v>
      </c>
      <c r="P54" s="294"/>
      <c r="Q54" s="294"/>
      <c r="R54" s="294"/>
      <c r="S54" s="295" t="s">
        <v>549</v>
      </c>
      <c r="T54" s="294" t="s">
        <v>618</v>
      </c>
      <c r="U54" s="294"/>
      <c r="V54" s="296"/>
      <c r="W54" s="298">
        <f ca="1">IF(A54="","",SUMIF(SK!B$88:B$163,ROW(),SK!D$88:D$163))</f>
        <v>0</v>
      </c>
      <c r="Y54" s="681" t="str">
        <f>Y12</f>
        <v>22</v>
      </c>
      <c r="Z54" s="466" t="str">
        <f>Z12</f>
        <v>Jen Hex</v>
      </c>
      <c r="AA54" s="280">
        <f>IF(Score!T54="", "",Score!T54 )</f>
        <v>6</v>
      </c>
      <c r="AB54" s="280"/>
      <c r="AC54" s="278" t="str">
        <f>IF(Score!U54="", "",Score!U54 )</f>
        <v>23</v>
      </c>
      <c r="AD54" s="294"/>
      <c r="AE54" s="294"/>
      <c r="AF54" s="294"/>
      <c r="AG54" s="295" t="s">
        <v>610</v>
      </c>
      <c r="AH54" s="294" t="s">
        <v>618</v>
      </c>
      <c r="AI54" s="294"/>
      <c r="AJ54" s="294"/>
      <c r="AK54" s="295" t="s">
        <v>588</v>
      </c>
      <c r="AL54" s="294"/>
      <c r="AM54" s="294"/>
      <c r="AN54" s="294"/>
      <c r="AO54" s="295" t="s">
        <v>556</v>
      </c>
      <c r="AP54" s="294"/>
      <c r="AQ54" s="294"/>
      <c r="AR54" s="294"/>
      <c r="AS54" s="295" t="s">
        <v>606</v>
      </c>
      <c r="AT54" s="294"/>
      <c r="AU54" s="294"/>
      <c r="AV54" s="296"/>
      <c r="AW54" s="298">
        <f ca="1">IF(AA54="","",SUMIF(SK!R$88:R$163,ROW(),SK!T$88:T$163))</f>
        <v>7</v>
      </c>
      <c r="AY54" s="681" t="str">
        <f>AY12</f>
        <v>219</v>
      </c>
      <c r="AZ54" s="466" t="str">
        <f>AZ12</f>
        <v>Dakota Slamming</v>
      </c>
    </row>
    <row r="55" spans="1:52" ht="31.95" customHeight="1" thickBot="1" x14ac:dyDescent="0.35">
      <c r="A55" s="277">
        <f>IF(Score!A55="", "",Score!A55 )</f>
        <v>7</v>
      </c>
      <c r="B55" s="281"/>
      <c r="C55" s="279" t="str">
        <f>IF(Score!B55="", "",Score!B55 )</f>
        <v>202</v>
      </c>
      <c r="D55" s="294"/>
      <c r="E55" s="294"/>
      <c r="F55" s="294"/>
      <c r="G55" s="297" t="s">
        <v>578</v>
      </c>
      <c r="H55" s="294"/>
      <c r="I55" s="294"/>
      <c r="J55" s="294"/>
      <c r="K55" s="297" t="s">
        <v>576</v>
      </c>
      <c r="L55" s="294" t="s">
        <v>617</v>
      </c>
      <c r="M55" s="294"/>
      <c r="N55" s="294"/>
      <c r="O55" s="297" t="s">
        <v>562</v>
      </c>
      <c r="P55" s="294"/>
      <c r="Q55" s="294"/>
      <c r="R55" s="294"/>
      <c r="S55" s="297" t="s">
        <v>549</v>
      </c>
      <c r="T55" s="294" t="s">
        <v>619</v>
      </c>
      <c r="U55" s="294"/>
      <c r="V55" s="296"/>
      <c r="W55" s="298">
        <f ca="1">IF(A55="","",SUMIF(SK!B$88:B$163,ROW(),SK!D$88:D$163))</f>
        <v>12</v>
      </c>
      <c r="Z55" s="466"/>
      <c r="AA55" s="281">
        <f>IF(Score!T55="", "",Score!T55 )</f>
        <v>7</v>
      </c>
      <c r="AB55" s="281"/>
      <c r="AC55" s="279" t="str">
        <f>IF(Score!U55="", "",Score!U55 )</f>
        <v>49</v>
      </c>
      <c r="AD55" s="294"/>
      <c r="AE55" s="294"/>
      <c r="AF55" s="294"/>
      <c r="AG55" s="297" t="s">
        <v>610</v>
      </c>
      <c r="AH55" s="294" t="s">
        <v>619</v>
      </c>
      <c r="AI55" s="294"/>
      <c r="AJ55" s="294"/>
      <c r="AK55" s="297" t="s">
        <v>597</v>
      </c>
      <c r="AL55" s="294"/>
      <c r="AM55" s="294"/>
      <c r="AN55" s="294"/>
      <c r="AO55" s="297" t="s">
        <v>599</v>
      </c>
      <c r="AP55" s="294"/>
      <c r="AQ55" s="294"/>
      <c r="AR55" s="294"/>
      <c r="AS55" s="297" t="s">
        <v>590</v>
      </c>
      <c r="AT55" s="294"/>
      <c r="AU55" s="294"/>
      <c r="AV55" s="296"/>
      <c r="AW55" s="298">
        <f ca="1">IF(AA55="","",SUMIF(SK!R$88:R$163,ROW(),SK!T$88:T$163))</f>
        <v>0</v>
      </c>
      <c r="AZ55" s="466"/>
    </row>
    <row r="56" spans="1:52" ht="31.95" customHeight="1" thickBot="1" x14ac:dyDescent="0.35">
      <c r="A56" s="276" t="str">
        <f>IF(Score!A56="", "",Score!A56 )</f>
        <v>SP*</v>
      </c>
      <c r="B56" s="280"/>
      <c r="C56" s="278" t="str">
        <f>IF(Score!B56="", "",Score!B56 )</f>
        <v/>
      </c>
      <c r="D56" s="294"/>
      <c r="E56" s="294"/>
      <c r="F56" s="294"/>
      <c r="G56" s="295"/>
      <c r="H56" s="294"/>
      <c r="I56" s="294"/>
      <c r="J56" s="294"/>
      <c r="K56" s="295"/>
      <c r="L56" s="294"/>
      <c r="M56" s="294"/>
      <c r="N56" s="294"/>
      <c r="O56" s="295"/>
      <c r="P56" s="294"/>
      <c r="Q56" s="294"/>
      <c r="R56" s="294"/>
      <c r="S56" s="295"/>
      <c r="T56" s="294"/>
      <c r="U56" s="294"/>
      <c r="V56" s="296"/>
      <c r="W56" s="298">
        <f ca="1">IF(A56="","",SUMIF(SK!B$88:B$163,ROW(),SK!D$88:D$163))</f>
        <v>0</v>
      </c>
      <c r="Y56" s="681" t="str">
        <f>Y14</f>
        <v>221*</v>
      </c>
      <c r="Z56" s="466" t="str">
        <f>Z14</f>
        <v>Kili Pepa</v>
      </c>
      <c r="AA56" s="280" t="str">
        <f>IF(Score!T56="", "",Score!T56 )</f>
        <v>SP</v>
      </c>
      <c r="AB56" s="280" t="s">
        <v>114</v>
      </c>
      <c r="AC56" s="278" t="str">
        <f>IF(Score!U56="", "",Score!U56 )</f>
        <v>911</v>
      </c>
      <c r="AD56" s="294"/>
      <c r="AE56" s="294"/>
      <c r="AF56" s="294"/>
      <c r="AG56" s="295" t="s">
        <v>600</v>
      </c>
      <c r="AH56" s="294"/>
      <c r="AI56" s="294"/>
      <c r="AJ56" s="294"/>
      <c r="AK56" s="295" t="s">
        <v>597</v>
      </c>
      <c r="AL56" s="294"/>
      <c r="AM56" s="294"/>
      <c r="AN56" s="294"/>
      <c r="AO56" s="295" t="s">
        <v>599</v>
      </c>
      <c r="AP56" s="294"/>
      <c r="AQ56" s="294"/>
      <c r="AR56" s="294"/>
      <c r="AS56" s="295" t="s">
        <v>590</v>
      </c>
      <c r="AT56" s="294"/>
      <c r="AU56" s="294"/>
      <c r="AV56" s="296"/>
      <c r="AW56" s="298">
        <f ca="1">IF(AA56="","",SUMIF(SK!R$88:R$163,ROW(),SK!T$88:T$163))</f>
        <v>4</v>
      </c>
      <c r="AY56" s="681" t="str">
        <f>AY14</f>
        <v>22</v>
      </c>
      <c r="AZ56" s="466" t="str">
        <f>AZ14</f>
        <v>Dammit Jammit</v>
      </c>
    </row>
    <row r="57" spans="1:52" ht="31.95" customHeight="1" thickBot="1" x14ac:dyDescent="0.35">
      <c r="A57" s="277">
        <f>IF(Score!A57="", "",Score!A57 )</f>
        <v>8</v>
      </c>
      <c r="B57" s="281"/>
      <c r="C57" s="279" t="str">
        <f>IF(Score!B57="", "",Score!B57 )</f>
        <v>123</v>
      </c>
      <c r="D57" s="294"/>
      <c r="E57" s="294"/>
      <c r="F57" s="294"/>
      <c r="G57" s="297" t="s">
        <v>574</v>
      </c>
      <c r="H57" s="294"/>
      <c r="I57" s="294"/>
      <c r="J57" s="294"/>
      <c r="K57" s="297" t="s">
        <v>580</v>
      </c>
      <c r="L57" s="294"/>
      <c r="M57" s="294"/>
      <c r="N57" s="294"/>
      <c r="O57" s="297" t="s">
        <v>553</v>
      </c>
      <c r="P57" s="294"/>
      <c r="Q57" s="294"/>
      <c r="R57" s="294"/>
      <c r="S57" s="297" t="s">
        <v>566</v>
      </c>
      <c r="T57" s="294"/>
      <c r="U57" s="294"/>
      <c r="V57" s="296"/>
      <c r="W57" s="298">
        <f ca="1">IF(A57="","",SUMIF(SK!B$88:B$163,ROW(),SK!D$88:D$163))</f>
        <v>0</v>
      </c>
      <c r="Z57" s="466"/>
      <c r="AA57" s="281">
        <f>IF(Score!T57="", "",Score!T57 )</f>
        <v>8</v>
      </c>
      <c r="AB57" s="281"/>
      <c r="AC57" s="279" t="str">
        <f>IF(Score!U57="", "",Score!U57 )</f>
        <v>223</v>
      </c>
      <c r="AD57" s="294"/>
      <c r="AE57" s="294"/>
      <c r="AF57" s="294"/>
      <c r="AG57" s="297" t="s">
        <v>556</v>
      </c>
      <c r="AH57" s="294"/>
      <c r="AI57" s="294"/>
      <c r="AJ57" s="294"/>
      <c r="AK57" s="297" t="s">
        <v>588</v>
      </c>
      <c r="AL57" s="294"/>
      <c r="AM57" s="294"/>
      <c r="AN57" s="294"/>
      <c r="AO57" s="297" t="s">
        <v>612</v>
      </c>
      <c r="AP57" s="294"/>
      <c r="AQ57" s="294"/>
      <c r="AR57" s="294"/>
      <c r="AS57" s="297" t="s">
        <v>606</v>
      </c>
      <c r="AT57" s="294"/>
      <c r="AU57" s="294"/>
      <c r="AV57" s="296"/>
      <c r="AW57" s="298">
        <f ca="1">IF(AA57="","",SUMIF(SK!R$88:R$163,ROW(),SK!T$88:T$163))</f>
        <v>2</v>
      </c>
      <c r="AZ57" s="466"/>
    </row>
    <row r="58" spans="1:52" ht="31.95" customHeight="1" thickBot="1" x14ac:dyDescent="0.35">
      <c r="A58" s="276">
        <f>IF(Score!A58="", "",Score!A58 )</f>
        <v>9</v>
      </c>
      <c r="B58" s="280"/>
      <c r="C58" s="278" t="str">
        <f>IF(Score!B58="", "",Score!B58 )</f>
        <v>64</v>
      </c>
      <c r="D58" s="294"/>
      <c r="E58" s="294"/>
      <c r="F58" s="294"/>
      <c r="G58" s="295" t="s">
        <v>576</v>
      </c>
      <c r="H58" s="294"/>
      <c r="I58" s="294"/>
      <c r="J58" s="294"/>
      <c r="K58" s="295" t="s">
        <v>560</v>
      </c>
      <c r="L58" s="294"/>
      <c r="M58" s="294"/>
      <c r="N58" s="294"/>
      <c r="O58" s="295" t="s">
        <v>562</v>
      </c>
      <c r="P58" s="294"/>
      <c r="Q58" s="294"/>
      <c r="R58" s="294"/>
      <c r="S58" s="295" t="s">
        <v>549</v>
      </c>
      <c r="T58" s="294" t="s">
        <v>617</v>
      </c>
      <c r="U58" s="294"/>
      <c r="V58" s="296"/>
      <c r="W58" s="298">
        <f ca="1">IF(A58="","",SUMIF(SK!B$88:B$163,ROW(),SK!D$88:D$163))</f>
        <v>4</v>
      </c>
      <c r="Y58" s="681" t="str">
        <f>Y16</f>
        <v>229</v>
      </c>
      <c r="Z58" s="466" t="str">
        <f>Z16</f>
        <v>Sparky</v>
      </c>
      <c r="AA58" s="280">
        <f>IF(Score!T58="", "",Score!T58 )</f>
        <v>9</v>
      </c>
      <c r="AB58" s="280"/>
      <c r="AC58" s="278" t="str">
        <f>IF(Score!U58="", "",Score!U58 )</f>
        <v>12</v>
      </c>
      <c r="AD58" s="294" t="s">
        <v>617</v>
      </c>
      <c r="AE58" s="294"/>
      <c r="AF58" s="294"/>
      <c r="AG58" s="295" t="s">
        <v>590</v>
      </c>
      <c r="AH58" s="294"/>
      <c r="AI58" s="294"/>
      <c r="AJ58" s="294"/>
      <c r="AK58" s="295" t="s">
        <v>586</v>
      </c>
      <c r="AL58" s="294"/>
      <c r="AM58" s="294"/>
      <c r="AN58" s="294"/>
      <c r="AO58" s="295" t="s">
        <v>597</v>
      </c>
      <c r="AP58" s="294"/>
      <c r="AQ58" s="294"/>
      <c r="AR58" s="294"/>
      <c r="AS58" s="295" t="s">
        <v>599</v>
      </c>
      <c r="AT58" s="294"/>
      <c r="AU58" s="294"/>
      <c r="AV58" s="296"/>
      <c r="AW58" s="298">
        <f ca="1">IF(AA58="","",SUMIF(SK!R$88:R$163,ROW(),SK!T$88:T$163))</f>
        <v>0</v>
      </c>
      <c r="AY58" s="681" t="str">
        <f>AY16</f>
        <v>223</v>
      </c>
      <c r="AZ58" s="466" t="str">
        <f>AZ16</f>
        <v>Frida Killah</v>
      </c>
    </row>
    <row r="59" spans="1:52" ht="31.95" customHeight="1" thickBot="1" x14ac:dyDescent="0.35">
      <c r="A59" s="277">
        <f>IF(Score!A59="", "",Score!A59 )</f>
        <v>10</v>
      </c>
      <c r="B59" s="281"/>
      <c r="C59" s="279" t="str">
        <f>IF(Score!B59="", "",Score!B59 )</f>
        <v>352</v>
      </c>
      <c r="D59" s="294" t="s">
        <v>617</v>
      </c>
      <c r="E59" s="294"/>
      <c r="F59" s="294"/>
      <c r="G59" s="297" t="s">
        <v>553</v>
      </c>
      <c r="H59" s="294"/>
      <c r="I59" s="294"/>
      <c r="J59" s="294"/>
      <c r="K59" s="297" t="s">
        <v>578</v>
      </c>
      <c r="L59" s="294"/>
      <c r="M59" s="294"/>
      <c r="N59" s="294"/>
      <c r="O59" s="297" t="s">
        <v>549</v>
      </c>
      <c r="P59" s="294"/>
      <c r="Q59" s="294"/>
      <c r="R59" s="294"/>
      <c r="S59" s="297" t="s">
        <v>562</v>
      </c>
      <c r="T59" s="294"/>
      <c r="U59" s="294"/>
      <c r="V59" s="296"/>
      <c r="W59" s="298">
        <f ca="1">IF(A59="","",SUMIF(SK!B$88:B$163,ROW(),SK!D$88:D$163))</f>
        <v>8</v>
      </c>
      <c r="Z59" s="466"/>
      <c r="AA59" s="281">
        <f>IF(Score!T59="", "",Score!T59 )</f>
        <v>10</v>
      </c>
      <c r="AB59" s="281"/>
      <c r="AC59" s="279" t="str">
        <f>IF(Score!U59="", "",Score!U59 )</f>
        <v>12</v>
      </c>
      <c r="AD59" s="294"/>
      <c r="AE59" s="294"/>
      <c r="AF59" s="294"/>
      <c r="AG59" s="297" t="s">
        <v>556</v>
      </c>
      <c r="AH59" s="294"/>
      <c r="AI59" s="294"/>
      <c r="AJ59" s="294"/>
      <c r="AK59" s="297" t="s">
        <v>588</v>
      </c>
      <c r="AL59" s="294"/>
      <c r="AM59" s="294"/>
      <c r="AN59" s="294"/>
      <c r="AO59" s="297" t="s">
        <v>610</v>
      </c>
      <c r="AP59" s="294"/>
      <c r="AQ59" s="294"/>
      <c r="AR59" s="294"/>
      <c r="AS59" s="297" t="s">
        <v>606</v>
      </c>
      <c r="AT59" s="294"/>
      <c r="AU59" s="294"/>
      <c r="AV59" s="296"/>
      <c r="AW59" s="298">
        <f ca="1">IF(AA59="","",SUMIF(SK!R$88:R$163,ROW(),SK!T$88:T$163))</f>
        <v>0</v>
      </c>
      <c r="AZ59" s="466"/>
    </row>
    <row r="60" spans="1:52" ht="31.95" customHeight="1" thickBot="1" x14ac:dyDescent="0.35">
      <c r="A60" s="276" t="str">
        <f>IF(Score!A60="", "",Score!A60 )</f>
        <v>SP*</v>
      </c>
      <c r="B60" s="280"/>
      <c r="C60" s="278" t="str">
        <f>IF(Score!B60="", "",Score!B60 )</f>
        <v/>
      </c>
      <c r="D60" s="294"/>
      <c r="E60" s="294"/>
      <c r="F60" s="294"/>
      <c r="G60" s="295"/>
      <c r="H60" s="294"/>
      <c r="I60" s="294"/>
      <c r="J60" s="294"/>
      <c r="K60" s="295"/>
      <c r="L60" s="294"/>
      <c r="M60" s="294"/>
      <c r="N60" s="294"/>
      <c r="O60" s="295"/>
      <c r="P60" s="294"/>
      <c r="Q60" s="294"/>
      <c r="R60" s="294"/>
      <c r="S60" s="295"/>
      <c r="T60" s="294"/>
      <c r="U60" s="294"/>
      <c r="V60" s="296"/>
      <c r="W60" s="298">
        <f ca="1">IF(A60="","",SUMIF(SK!B$88:B$163,ROW(),SK!D$88:D$163))</f>
        <v>0</v>
      </c>
      <c r="Y60" s="681" t="str">
        <f>Y18</f>
        <v>237</v>
      </c>
      <c r="Z60" s="466" t="str">
        <f>Z18</f>
        <v>RedRum</v>
      </c>
      <c r="AA60" s="280" t="str">
        <f>IF(Score!T60="", "",Score!T60 )</f>
        <v>SP</v>
      </c>
      <c r="AB60" s="280" t="s">
        <v>114</v>
      </c>
      <c r="AC60" s="278" t="str">
        <f>IF(Score!U60="", "",Score!U60 )</f>
        <v>22</v>
      </c>
      <c r="AD60" s="294"/>
      <c r="AE60" s="294"/>
      <c r="AF60" s="294"/>
      <c r="AG60" s="295" t="s">
        <v>582</v>
      </c>
      <c r="AH60" s="294"/>
      <c r="AI60" s="294"/>
      <c r="AJ60" s="294"/>
      <c r="AK60" s="295" t="s">
        <v>588</v>
      </c>
      <c r="AL60" s="294"/>
      <c r="AM60" s="294"/>
      <c r="AN60" s="294"/>
      <c r="AO60" s="295" t="s">
        <v>610</v>
      </c>
      <c r="AP60" s="294"/>
      <c r="AQ60" s="294"/>
      <c r="AR60" s="294"/>
      <c r="AS60" s="295" t="s">
        <v>606</v>
      </c>
      <c r="AT60" s="294"/>
      <c r="AU60" s="294"/>
      <c r="AV60" s="296"/>
      <c r="AW60" s="298">
        <f ca="1">IF(AA60="","",SUMIF(SK!R$88:R$163,ROW(),SK!T$88:T$163))</f>
        <v>0</v>
      </c>
      <c r="AY60" s="681" t="str">
        <f>AY18</f>
        <v>23</v>
      </c>
      <c r="AZ60" s="466" t="str">
        <f>AZ18</f>
        <v>Towanda Woman</v>
      </c>
    </row>
    <row r="61" spans="1:52" ht="31.95" customHeight="1" thickBot="1" x14ac:dyDescent="0.35">
      <c r="A61" s="277">
        <f>IF(Score!A61="", "",Score!A61 )</f>
        <v>11</v>
      </c>
      <c r="B61" s="281"/>
      <c r="C61" s="279" t="str">
        <f>IF(Score!B61="", "",Score!B61 )</f>
        <v>202</v>
      </c>
      <c r="D61" s="294"/>
      <c r="E61" s="294"/>
      <c r="F61" s="294"/>
      <c r="G61" s="297" t="s">
        <v>578</v>
      </c>
      <c r="H61" s="294" t="s">
        <v>618</v>
      </c>
      <c r="I61" s="294"/>
      <c r="J61" s="294"/>
      <c r="K61" s="297" t="s">
        <v>576</v>
      </c>
      <c r="L61" s="294"/>
      <c r="M61" s="294"/>
      <c r="N61" s="294"/>
      <c r="O61" s="297" t="s">
        <v>560</v>
      </c>
      <c r="P61" s="294"/>
      <c r="Q61" s="294"/>
      <c r="R61" s="294"/>
      <c r="S61" s="297" t="s">
        <v>562</v>
      </c>
      <c r="T61" s="294"/>
      <c r="U61" s="294"/>
      <c r="V61" s="296"/>
      <c r="W61" s="298">
        <f ca="1">IF(A61="","",SUMIF(SK!B$88:B$163,ROW(),SK!D$88:D$163))</f>
        <v>17</v>
      </c>
      <c r="Z61" s="466"/>
      <c r="AA61" s="281">
        <f>IF(Score!T61="", "",Score!T61 )</f>
        <v>11</v>
      </c>
      <c r="AB61" s="281"/>
      <c r="AC61" s="279" t="str">
        <f>IF(Score!U61="", "",Score!U61 )</f>
        <v>23</v>
      </c>
      <c r="AD61" s="294"/>
      <c r="AE61" s="294"/>
      <c r="AF61" s="294"/>
      <c r="AG61" s="297" t="s">
        <v>590</v>
      </c>
      <c r="AH61" s="294" t="s">
        <v>617</v>
      </c>
      <c r="AI61" s="294"/>
      <c r="AJ61" s="294"/>
      <c r="AK61" s="297" t="s">
        <v>597</v>
      </c>
      <c r="AL61" s="294"/>
      <c r="AM61" s="294"/>
      <c r="AN61" s="294"/>
      <c r="AO61" s="297" t="s">
        <v>599</v>
      </c>
      <c r="AP61" s="294"/>
      <c r="AQ61" s="294"/>
      <c r="AR61" s="294"/>
      <c r="AS61" s="297" t="s">
        <v>602</v>
      </c>
      <c r="AT61" s="294"/>
      <c r="AU61" s="294"/>
      <c r="AV61" s="296"/>
      <c r="AW61" s="298">
        <f ca="1">IF(AA61="","",SUMIF(SK!R$88:R$163,ROW(),SK!T$88:T$163))</f>
        <v>0</v>
      </c>
      <c r="AZ61" s="466"/>
    </row>
    <row r="62" spans="1:52" ht="31.95" customHeight="1" thickBot="1" x14ac:dyDescent="0.35">
      <c r="A62" s="276" t="str">
        <f>IF(Score!A62="", "",Score!A62 )</f>
        <v>SP*</v>
      </c>
      <c r="B62" s="280"/>
      <c r="C62" s="278" t="str">
        <f>IF(Score!B62="", "",Score!B62 )</f>
        <v/>
      </c>
      <c r="D62" s="294"/>
      <c r="E62" s="294"/>
      <c r="F62" s="294"/>
      <c r="G62" s="295"/>
      <c r="H62" s="294"/>
      <c r="I62" s="294"/>
      <c r="J62" s="294"/>
      <c r="K62" s="295"/>
      <c r="L62" s="294"/>
      <c r="M62" s="294"/>
      <c r="N62" s="294"/>
      <c r="O62" s="295"/>
      <c r="P62" s="294"/>
      <c r="Q62" s="294"/>
      <c r="R62" s="294"/>
      <c r="S62" s="295"/>
      <c r="T62" s="294"/>
      <c r="U62" s="294"/>
      <c r="V62" s="296"/>
      <c r="W62" s="298">
        <f ca="1">IF(A62="","",SUMIF(SK!B$88:B$163,ROW(),SK!D$88:D$163))</f>
        <v>0</v>
      </c>
      <c r="Y62" s="681" t="str">
        <f>Y20</f>
        <v>282*</v>
      </c>
      <c r="Z62" s="466" t="str">
        <f>Z20</f>
        <v>Dash Ketchum</v>
      </c>
      <c r="AA62" s="280" t="str">
        <f>IF(Score!T62="", "",Score!T62 )</f>
        <v>SP</v>
      </c>
      <c r="AB62" s="280" t="s">
        <v>114</v>
      </c>
      <c r="AC62" s="278" t="str">
        <f>IF(Score!U62="", "",Score!U62 )</f>
        <v>219</v>
      </c>
      <c r="AD62" s="294"/>
      <c r="AE62" s="294"/>
      <c r="AF62" s="294"/>
      <c r="AG62" s="295" t="s">
        <v>595</v>
      </c>
      <c r="AH62" s="294"/>
      <c r="AI62" s="294"/>
      <c r="AJ62" s="294"/>
      <c r="AK62" s="295" t="s">
        <v>597</v>
      </c>
      <c r="AL62" s="294"/>
      <c r="AM62" s="294"/>
      <c r="AN62" s="294"/>
      <c r="AO62" s="295" t="s">
        <v>599</v>
      </c>
      <c r="AP62" s="294"/>
      <c r="AQ62" s="294"/>
      <c r="AR62" s="294"/>
      <c r="AS62" s="295" t="s">
        <v>602</v>
      </c>
      <c r="AT62" s="294"/>
      <c r="AU62" s="294"/>
      <c r="AV62" s="296"/>
      <c r="AW62" s="298">
        <f ca="1">IF(AA62="","",SUMIF(SK!R$88:R$163,ROW(),SK!T$88:T$163))</f>
        <v>0</v>
      </c>
      <c r="AY62" s="681" t="str">
        <f>AY20</f>
        <v>25</v>
      </c>
      <c r="AZ62" s="466" t="str">
        <f>AZ20</f>
        <v>Ally McKill</v>
      </c>
    </row>
    <row r="63" spans="1:52" ht="31.95" customHeight="1" thickBot="1" x14ac:dyDescent="0.35">
      <c r="A63" s="277">
        <f>IF(Score!A63="", "",Score!A63 )</f>
        <v>12</v>
      </c>
      <c r="B63" s="281"/>
      <c r="C63" s="279" t="str">
        <f>IF(Score!B63="", "",Score!B63 )</f>
        <v>123</v>
      </c>
      <c r="D63" s="294"/>
      <c r="E63" s="294"/>
      <c r="F63" s="294"/>
      <c r="G63" s="297" t="s">
        <v>578</v>
      </c>
      <c r="H63" s="294" t="s">
        <v>619</v>
      </c>
      <c r="I63" s="294" t="s">
        <v>618</v>
      </c>
      <c r="J63" s="294"/>
      <c r="K63" s="297" t="s">
        <v>566</v>
      </c>
      <c r="L63" s="294"/>
      <c r="M63" s="294"/>
      <c r="N63" s="294"/>
      <c r="O63" s="297" t="s">
        <v>580</v>
      </c>
      <c r="P63" s="294"/>
      <c r="Q63" s="294"/>
      <c r="R63" s="294"/>
      <c r="S63" s="297" t="s">
        <v>553</v>
      </c>
      <c r="T63" s="294"/>
      <c r="U63" s="294"/>
      <c r="V63" s="296"/>
      <c r="W63" s="298">
        <f ca="1">IF(A63="","",SUMIF(SK!B$88:B$163,ROW(),SK!D$88:D$163))</f>
        <v>6</v>
      </c>
      <c r="Z63" s="466"/>
      <c r="AA63" s="281">
        <f>IF(Score!T63="", "",Score!T63 )</f>
        <v>12</v>
      </c>
      <c r="AB63" s="281"/>
      <c r="AC63" s="279" t="str">
        <f>IF(Score!U63="", "",Score!U63 )</f>
        <v>49</v>
      </c>
      <c r="AD63" s="294" t="s">
        <v>618</v>
      </c>
      <c r="AE63" s="294"/>
      <c r="AF63" s="294"/>
      <c r="AG63" s="297" t="s">
        <v>606</v>
      </c>
      <c r="AH63" s="294"/>
      <c r="AI63" s="294"/>
      <c r="AJ63" s="294"/>
      <c r="AK63" s="297" t="s">
        <v>588</v>
      </c>
      <c r="AL63" s="294"/>
      <c r="AM63" s="294"/>
      <c r="AN63" s="294"/>
      <c r="AO63" s="297" t="s">
        <v>584</v>
      </c>
      <c r="AP63" s="294"/>
      <c r="AQ63" s="294"/>
      <c r="AR63" s="294"/>
      <c r="AS63" s="297" t="s">
        <v>610</v>
      </c>
      <c r="AT63" s="294"/>
      <c r="AU63" s="294"/>
      <c r="AV63" s="296"/>
      <c r="AW63" s="298">
        <f ca="1">IF(AA63="","",SUMIF(SK!R$88:R$163,ROW(),SK!T$88:T$163))</f>
        <v>0</v>
      </c>
      <c r="AZ63" s="466"/>
    </row>
    <row r="64" spans="1:52" ht="31.95" customHeight="1" thickBot="1" x14ac:dyDescent="0.35">
      <c r="A64" s="276">
        <f>IF(Score!A64="", "",Score!A64 )</f>
        <v>13</v>
      </c>
      <c r="B64" s="280"/>
      <c r="C64" s="278" t="str">
        <f>IF(Score!B64="", "",Score!B64 )</f>
        <v>352</v>
      </c>
      <c r="D64" s="294"/>
      <c r="E64" s="294"/>
      <c r="F64" s="294"/>
      <c r="G64" s="295" t="s">
        <v>578</v>
      </c>
      <c r="H64" s="294" t="s">
        <v>619</v>
      </c>
      <c r="I64" s="294"/>
      <c r="J64" s="294"/>
      <c r="K64" s="295" t="s">
        <v>560</v>
      </c>
      <c r="L64" s="294"/>
      <c r="M64" s="294"/>
      <c r="N64" s="294"/>
      <c r="O64" s="295" t="s">
        <v>562</v>
      </c>
      <c r="P64" s="294"/>
      <c r="Q64" s="294"/>
      <c r="R64" s="294"/>
      <c r="S64" s="295" t="s">
        <v>576</v>
      </c>
      <c r="T64" s="294"/>
      <c r="U64" s="294"/>
      <c r="V64" s="296"/>
      <c r="W64" s="298">
        <f ca="1">IF(A64="","",SUMIF(SK!B$88:B$163,ROW(),SK!D$88:D$163))</f>
        <v>20</v>
      </c>
      <c r="Y64" s="681" t="str">
        <f>Y22</f>
        <v>337</v>
      </c>
      <c r="Z64" s="466" t="str">
        <f>Z22</f>
        <v>Susan Sure Ram Dem</v>
      </c>
      <c r="AA64" s="280">
        <f>IF(Score!T64="", "",Score!T64 )</f>
        <v>13</v>
      </c>
      <c r="AB64" s="280"/>
      <c r="AC64" s="278" t="str">
        <f>IF(Score!U64="", "",Score!U64 )</f>
        <v>49</v>
      </c>
      <c r="AD64" s="294" t="s">
        <v>619</v>
      </c>
      <c r="AE64" s="294"/>
      <c r="AF64" s="294"/>
      <c r="AG64" s="295" t="s">
        <v>582</v>
      </c>
      <c r="AH64" s="294"/>
      <c r="AI64" s="294"/>
      <c r="AJ64" s="294"/>
      <c r="AK64" s="295" t="s">
        <v>597</v>
      </c>
      <c r="AL64" s="294" t="s">
        <v>617</v>
      </c>
      <c r="AM64" s="294"/>
      <c r="AN64" s="294"/>
      <c r="AO64" s="295" t="s">
        <v>590</v>
      </c>
      <c r="AP64" s="294"/>
      <c r="AQ64" s="294"/>
      <c r="AR64" s="294"/>
      <c r="AS64" s="295" t="s">
        <v>599</v>
      </c>
      <c r="AT64" s="294" t="s">
        <v>617</v>
      </c>
      <c r="AU64" s="294"/>
      <c r="AV64" s="296"/>
      <c r="AW64" s="298">
        <f ca="1">IF(AA64="","",SUMIF(SK!R$88:R$163,ROW(),SK!T$88:T$163))</f>
        <v>4</v>
      </c>
      <c r="AY64" s="681" t="str">
        <f>AY22</f>
        <v>26</v>
      </c>
      <c r="AZ64" s="466" t="str">
        <f>AZ22</f>
        <v>Strange</v>
      </c>
    </row>
    <row r="65" spans="1:52" ht="31.95" customHeight="1" thickBot="1" x14ac:dyDescent="0.35">
      <c r="A65" s="277">
        <f>IF(Score!A65="", "",Score!A65 )</f>
        <v>14</v>
      </c>
      <c r="B65" s="281"/>
      <c r="C65" s="279" t="str">
        <f>IF(Score!B65="", "",Score!B65 )</f>
        <v>202</v>
      </c>
      <c r="D65" s="294"/>
      <c r="E65" s="294"/>
      <c r="F65" s="294"/>
      <c r="G65" s="297" t="s">
        <v>553</v>
      </c>
      <c r="H65" s="294"/>
      <c r="I65" s="294"/>
      <c r="J65" s="294"/>
      <c r="K65" s="297" t="s">
        <v>560</v>
      </c>
      <c r="L65" s="294" t="s">
        <v>619</v>
      </c>
      <c r="M65" s="294"/>
      <c r="N65" s="294"/>
      <c r="O65" s="297" t="s">
        <v>580</v>
      </c>
      <c r="P65" s="294"/>
      <c r="Q65" s="294"/>
      <c r="R65" s="294"/>
      <c r="S65" s="297" t="s">
        <v>549</v>
      </c>
      <c r="T65" s="294" t="s">
        <v>618</v>
      </c>
      <c r="U65" s="294"/>
      <c r="V65" s="296"/>
      <c r="W65" s="298">
        <f ca="1">IF(A65="","",SUMIF(SK!B$88:B$163,ROW(),SK!D$88:D$163))</f>
        <v>5</v>
      </c>
      <c r="Z65" s="466"/>
      <c r="AA65" s="281">
        <f>IF(Score!T65="", "",Score!T65 )</f>
        <v>14</v>
      </c>
      <c r="AB65" s="281"/>
      <c r="AC65" s="279" t="str">
        <f>IF(Score!U65="", "",Score!U65 )</f>
        <v>23</v>
      </c>
      <c r="AD65" s="294"/>
      <c r="AE65" s="294"/>
      <c r="AF65" s="294"/>
      <c r="AG65" s="297" t="s">
        <v>606</v>
      </c>
      <c r="AH65" s="294"/>
      <c r="AI65" s="294"/>
      <c r="AJ65" s="294"/>
      <c r="AK65" s="297" t="s">
        <v>588</v>
      </c>
      <c r="AL65" s="294"/>
      <c r="AM65" s="294"/>
      <c r="AN65" s="294"/>
      <c r="AO65" s="297" t="s">
        <v>612</v>
      </c>
      <c r="AP65" s="294" t="s">
        <v>617</v>
      </c>
      <c r="AQ65" s="294"/>
      <c r="AR65" s="294"/>
      <c r="AS65" s="297" t="s">
        <v>556</v>
      </c>
      <c r="AT65" s="294"/>
      <c r="AU65" s="294"/>
      <c r="AV65" s="296"/>
      <c r="AW65" s="298">
        <f ca="1">IF(AA65="","",SUMIF(SK!R$88:R$163,ROW(),SK!T$88:T$163))</f>
        <v>0</v>
      </c>
      <c r="AZ65" s="466"/>
    </row>
    <row r="66" spans="1:52" ht="31.95" customHeight="1" thickBot="1" x14ac:dyDescent="0.35">
      <c r="A66" s="276" t="str">
        <f>IF(Score!A66="", "",Score!A66 )</f>
        <v>SP*</v>
      </c>
      <c r="B66" s="280"/>
      <c r="C66" s="278" t="str">
        <f>IF(Score!B66="", "",Score!B66 )</f>
        <v/>
      </c>
      <c r="D66" s="294"/>
      <c r="E66" s="294"/>
      <c r="F66" s="294"/>
      <c r="G66" s="295"/>
      <c r="H66" s="294"/>
      <c r="I66" s="294"/>
      <c r="J66" s="294"/>
      <c r="K66" s="295"/>
      <c r="L66" s="294"/>
      <c r="M66" s="294"/>
      <c r="N66" s="294"/>
      <c r="O66" s="295"/>
      <c r="P66" s="294"/>
      <c r="Q66" s="294"/>
      <c r="R66" s="294"/>
      <c r="S66" s="295"/>
      <c r="T66" s="294"/>
      <c r="U66" s="294"/>
      <c r="V66" s="296"/>
      <c r="W66" s="298">
        <f ca="1">IF(A66="","",SUMIF(SK!B$88:B$163,ROW(),SK!D$88:D$163))</f>
        <v>0</v>
      </c>
      <c r="Y66" s="681" t="str">
        <f>Y24</f>
        <v>352</v>
      </c>
      <c r="Z66" s="466" t="str">
        <f>Z24</f>
        <v>Olive Havoc</v>
      </c>
      <c r="AA66" s="280" t="str">
        <f>IF(Score!T66="", "",Score!T66 )</f>
        <v>SP</v>
      </c>
      <c r="AB66" s="280" t="s">
        <v>114</v>
      </c>
      <c r="AC66" s="278" t="str">
        <f>IF(Score!U66="", "",Score!U66 )</f>
        <v>800</v>
      </c>
      <c r="AD66" s="294"/>
      <c r="AE66" s="294"/>
      <c r="AF66" s="294"/>
      <c r="AG66" s="295" t="s">
        <v>595</v>
      </c>
      <c r="AH66" s="294"/>
      <c r="AI66" s="294"/>
      <c r="AJ66" s="294"/>
      <c r="AK66" s="295" t="s">
        <v>588</v>
      </c>
      <c r="AL66" s="294"/>
      <c r="AM66" s="294"/>
      <c r="AN66" s="294"/>
      <c r="AO66" s="295" t="s">
        <v>612</v>
      </c>
      <c r="AP66" s="294"/>
      <c r="AQ66" s="294"/>
      <c r="AR66" s="294"/>
      <c r="AS66" s="295" t="s">
        <v>556</v>
      </c>
      <c r="AT66" s="294"/>
      <c r="AU66" s="294"/>
      <c r="AV66" s="296"/>
      <c r="AW66" s="298">
        <f ca="1">IF(AA66="","",SUMIF(SK!R$88:R$163,ROW(),SK!T$88:T$163))</f>
        <v>4</v>
      </c>
      <c r="AY66" s="681" t="str">
        <f>AY24</f>
        <v>49</v>
      </c>
      <c r="AZ66" s="466" t="str">
        <f>AZ24</f>
        <v>Gnarly Manson</v>
      </c>
    </row>
    <row r="67" spans="1:52" ht="31.95" customHeight="1" thickBot="1" x14ac:dyDescent="0.35">
      <c r="A67" s="277">
        <f>IF(Score!A67="", "",Score!A67 )</f>
        <v>15</v>
      </c>
      <c r="B67" s="281"/>
      <c r="C67" s="279" t="str">
        <f>IF(Score!B67="", "",Score!B67 )</f>
        <v>123</v>
      </c>
      <c r="D67" s="294"/>
      <c r="E67" s="294"/>
      <c r="F67" s="294"/>
      <c r="G67" s="297" t="s">
        <v>578</v>
      </c>
      <c r="H67" s="294"/>
      <c r="I67" s="294"/>
      <c r="J67" s="294"/>
      <c r="K67" s="297" t="s">
        <v>562</v>
      </c>
      <c r="L67" s="294"/>
      <c r="M67" s="294"/>
      <c r="N67" s="294"/>
      <c r="O67" s="297" t="s">
        <v>576</v>
      </c>
      <c r="P67" s="294"/>
      <c r="Q67" s="294"/>
      <c r="R67" s="294"/>
      <c r="S67" s="297" t="s">
        <v>549</v>
      </c>
      <c r="T67" s="294" t="s">
        <v>619</v>
      </c>
      <c r="U67" s="294"/>
      <c r="V67" s="296"/>
      <c r="W67" s="298">
        <f ca="1">IF(A67="","",SUMIF(SK!B$88:B$163,ROW(),SK!D$88:D$163))</f>
        <v>0</v>
      </c>
      <c r="Z67" s="466"/>
      <c r="AA67" s="281">
        <f>IF(Score!T67="", "",Score!T67 )</f>
        <v>15</v>
      </c>
      <c r="AB67" s="281"/>
      <c r="AC67" s="279" t="str">
        <f>IF(Score!U67="", "",Score!U67 )</f>
        <v>12</v>
      </c>
      <c r="AD67" s="294"/>
      <c r="AE67" s="294"/>
      <c r="AF67" s="294"/>
      <c r="AG67" s="297" t="s">
        <v>590</v>
      </c>
      <c r="AH67" s="294"/>
      <c r="AI67" s="294"/>
      <c r="AJ67" s="294"/>
      <c r="AK67" s="297" t="s">
        <v>597</v>
      </c>
      <c r="AL67" s="294"/>
      <c r="AM67" s="294"/>
      <c r="AN67" s="294"/>
      <c r="AO67" s="297" t="s">
        <v>599</v>
      </c>
      <c r="AP67" s="294"/>
      <c r="AQ67" s="294"/>
      <c r="AR67" s="294"/>
      <c r="AS67" s="297" t="s">
        <v>586</v>
      </c>
      <c r="AT67" s="294"/>
      <c r="AU67" s="294"/>
      <c r="AV67" s="296"/>
      <c r="AW67" s="298">
        <f ca="1">IF(AA67="","",SUMIF(SK!R$88:R$163,ROW(),SK!T$88:T$163))</f>
        <v>4</v>
      </c>
      <c r="AZ67" s="466"/>
    </row>
    <row r="68" spans="1:52" ht="31.95" customHeight="1" thickBot="1" x14ac:dyDescent="0.35">
      <c r="A68" s="276">
        <f>IF(Score!A68="", "",Score!A68 )</f>
        <v>16</v>
      </c>
      <c r="B68" s="280"/>
      <c r="C68" s="278" t="str">
        <f>IF(Score!B68="", "",Score!B68 )</f>
        <v>352</v>
      </c>
      <c r="D68" s="294"/>
      <c r="E68" s="294"/>
      <c r="F68" s="294"/>
      <c r="G68" s="295" t="s">
        <v>553</v>
      </c>
      <c r="H68" s="294"/>
      <c r="I68" s="294"/>
      <c r="J68" s="294"/>
      <c r="K68" s="295" t="s">
        <v>580</v>
      </c>
      <c r="L68" s="294"/>
      <c r="M68" s="294"/>
      <c r="N68" s="294"/>
      <c r="O68" s="295" t="s">
        <v>576</v>
      </c>
      <c r="P68" s="294" t="s">
        <v>619</v>
      </c>
      <c r="Q68" s="294"/>
      <c r="R68" s="294"/>
      <c r="S68" s="295" t="s">
        <v>562</v>
      </c>
      <c r="T68" s="294"/>
      <c r="U68" s="294"/>
      <c r="V68" s="296"/>
      <c r="W68" s="298">
        <f ca="1">IF(A68="","",SUMIF(SK!B$88:B$163,ROW(),SK!D$88:D$163))</f>
        <v>9</v>
      </c>
      <c r="Y68" s="681" t="str">
        <f>Y26</f>
        <v>36</v>
      </c>
      <c r="Z68" s="466" t="str">
        <f>Z26</f>
        <v>Meanie</v>
      </c>
      <c r="AA68" s="280">
        <f>IF(Score!T68="", "",Score!T68 )</f>
        <v>16</v>
      </c>
      <c r="AB68" s="280"/>
      <c r="AC68" s="278" t="str">
        <f>IF(Score!U68="", "",Score!U68 )</f>
        <v>12</v>
      </c>
      <c r="AD68" s="294" t="s">
        <v>617</v>
      </c>
      <c r="AE68" s="294"/>
      <c r="AF68" s="294"/>
      <c r="AG68" s="295" t="s">
        <v>610</v>
      </c>
      <c r="AH68" s="294"/>
      <c r="AI68" s="294"/>
      <c r="AJ68" s="294"/>
      <c r="AK68" s="295" t="s">
        <v>588</v>
      </c>
      <c r="AL68" s="294" t="s">
        <v>617</v>
      </c>
      <c r="AM68" s="294"/>
      <c r="AN68" s="294"/>
      <c r="AO68" s="295" t="s">
        <v>556</v>
      </c>
      <c r="AP68" s="294" t="s">
        <v>618</v>
      </c>
      <c r="AQ68" s="294"/>
      <c r="AR68" s="294"/>
      <c r="AS68" s="295" t="s">
        <v>606</v>
      </c>
      <c r="AT68" s="294"/>
      <c r="AU68" s="294"/>
      <c r="AV68" s="296"/>
      <c r="AW68" s="298">
        <f ca="1">IF(AA68="","",SUMIF(SK!R$88:R$163,ROW(),SK!T$88:T$163))</f>
        <v>8</v>
      </c>
      <c r="AY68" s="681" t="str">
        <f>AY26</f>
        <v>78</v>
      </c>
      <c r="AZ68" s="466" t="str">
        <f>AZ26</f>
        <v>Debbie Scary</v>
      </c>
    </row>
    <row r="69" spans="1:52" ht="31.95" customHeight="1" thickBot="1" x14ac:dyDescent="0.35">
      <c r="A69" s="277" t="str">
        <f>IF(Score!A69="", "",Score!A69 )</f>
        <v/>
      </c>
      <c r="B69" s="281"/>
      <c r="C69" s="279" t="str">
        <f>IF(Score!B69="", "",Score!B69 )</f>
        <v/>
      </c>
      <c r="D69" s="294"/>
      <c r="E69" s="294"/>
      <c r="F69" s="294"/>
      <c r="G69" s="297"/>
      <c r="H69" s="294"/>
      <c r="I69" s="294"/>
      <c r="J69" s="294"/>
      <c r="K69" s="297"/>
      <c r="L69" s="294"/>
      <c r="M69" s="294"/>
      <c r="N69" s="294"/>
      <c r="O69" s="297"/>
      <c r="P69" s="294"/>
      <c r="Q69" s="294"/>
      <c r="R69" s="294"/>
      <c r="S69" s="297"/>
      <c r="T69" s="294"/>
      <c r="U69" s="294"/>
      <c r="V69" s="296"/>
      <c r="W69" s="298" t="str">
        <f>IF(A69="","",SUMIF(SK!B$88:B$163,ROW(),SK!D$88:D$163))</f>
        <v/>
      </c>
      <c r="Z69" s="466"/>
      <c r="AA69" s="281" t="str">
        <f>IF(Score!T69="", "",Score!T69 )</f>
        <v/>
      </c>
      <c r="AB69" s="281"/>
      <c r="AC69" s="279" t="str">
        <f>IF(Score!U69="", "",Score!U69 )</f>
        <v/>
      </c>
      <c r="AD69" s="294"/>
      <c r="AE69" s="294"/>
      <c r="AF69" s="294"/>
      <c r="AG69" s="297"/>
      <c r="AH69" s="294"/>
      <c r="AI69" s="294"/>
      <c r="AJ69" s="294"/>
      <c r="AK69" s="297"/>
      <c r="AL69" s="294"/>
      <c r="AM69" s="294"/>
      <c r="AN69" s="294"/>
      <c r="AO69" s="297"/>
      <c r="AP69" s="294"/>
      <c r="AQ69" s="294"/>
      <c r="AR69" s="294"/>
      <c r="AS69" s="297"/>
      <c r="AT69" s="294"/>
      <c r="AU69" s="294"/>
      <c r="AV69" s="296"/>
      <c r="AW69" s="298" t="str">
        <f>IF(AA69="","",SUMIF(SK!R$88:R$163,ROW(),SK!T$88:T$163))</f>
        <v/>
      </c>
      <c r="AZ69" s="466"/>
    </row>
    <row r="70" spans="1:52" ht="31.95" customHeight="1" thickBot="1" x14ac:dyDescent="0.35">
      <c r="A70" s="276" t="str">
        <f>IF(Score!A70="", "",Score!A70 )</f>
        <v/>
      </c>
      <c r="B70" s="280"/>
      <c r="C70" s="278" t="str">
        <f>IF(Score!B70="", "",Score!B70 )</f>
        <v/>
      </c>
      <c r="D70" s="294"/>
      <c r="E70" s="294"/>
      <c r="F70" s="294"/>
      <c r="G70" s="295"/>
      <c r="H70" s="294"/>
      <c r="I70" s="294"/>
      <c r="J70" s="294"/>
      <c r="K70" s="295"/>
      <c r="L70" s="294"/>
      <c r="M70" s="294"/>
      <c r="N70" s="294"/>
      <c r="O70" s="295"/>
      <c r="P70" s="294"/>
      <c r="Q70" s="294"/>
      <c r="R70" s="294"/>
      <c r="S70" s="295"/>
      <c r="T70" s="294"/>
      <c r="U70" s="294"/>
      <c r="V70" s="296"/>
      <c r="W70" s="298" t="str">
        <f>IF(A70="","",SUMIF(SK!B$88:B$163,ROW(),SK!D$88:D$163))</f>
        <v/>
      </c>
      <c r="Y70" s="681" t="str">
        <f>Y28</f>
        <v>64</v>
      </c>
      <c r="Z70" s="466" t="str">
        <f>Z28</f>
        <v>Cruzella</v>
      </c>
      <c r="AA70" s="280" t="str">
        <f>IF(Score!T70="", "",Score!T70 )</f>
        <v/>
      </c>
      <c r="AB70" s="280"/>
      <c r="AC70" s="278" t="str">
        <f>IF(Score!U70="", "",Score!U70 )</f>
        <v/>
      </c>
      <c r="AD70" s="294"/>
      <c r="AE70" s="294"/>
      <c r="AF70" s="294"/>
      <c r="AG70" s="295"/>
      <c r="AH70" s="294"/>
      <c r="AI70" s="294"/>
      <c r="AJ70" s="294"/>
      <c r="AK70" s="295"/>
      <c r="AL70" s="294"/>
      <c r="AM70" s="294"/>
      <c r="AN70" s="294"/>
      <c r="AO70" s="295"/>
      <c r="AP70" s="294"/>
      <c r="AQ70" s="294"/>
      <c r="AR70" s="294"/>
      <c r="AS70" s="295"/>
      <c r="AT70" s="294"/>
      <c r="AU70" s="294"/>
      <c r="AV70" s="296"/>
      <c r="AW70" s="298" t="str">
        <f>IF(AA70="","",SUMIF(SK!R$88:R$163,ROW(),SK!T$88:T$163))</f>
        <v/>
      </c>
      <c r="AY70" s="681" t="str">
        <f>AY28</f>
        <v>8*</v>
      </c>
      <c r="AZ70" s="466" t="str">
        <f>AZ28</f>
        <v>Venus Thigh Trap</v>
      </c>
    </row>
    <row r="71" spans="1:52" ht="31.95" customHeight="1" thickBot="1" x14ac:dyDescent="0.35">
      <c r="A71" s="277" t="str">
        <f>IF(Score!A71="", "",Score!A71 )</f>
        <v/>
      </c>
      <c r="B71" s="281"/>
      <c r="C71" s="279" t="str">
        <f>IF(Score!B71="", "",Score!B71 )</f>
        <v/>
      </c>
      <c r="D71" s="294"/>
      <c r="E71" s="294"/>
      <c r="F71" s="294"/>
      <c r="G71" s="297"/>
      <c r="H71" s="294"/>
      <c r="I71" s="294"/>
      <c r="J71" s="294"/>
      <c r="K71" s="297"/>
      <c r="L71" s="294"/>
      <c r="M71" s="294"/>
      <c r="N71" s="294"/>
      <c r="O71" s="297"/>
      <c r="P71" s="294"/>
      <c r="Q71" s="294"/>
      <c r="R71" s="294"/>
      <c r="S71" s="297"/>
      <c r="T71" s="294"/>
      <c r="U71" s="294"/>
      <c r="V71" s="296"/>
      <c r="W71" s="298" t="str">
        <f>IF(A71="","",SUMIF(SK!B$88:B$163,ROW(),SK!D$88:D$163))</f>
        <v/>
      </c>
      <c r="Z71" s="466"/>
      <c r="AA71" s="281" t="str">
        <f>IF(Score!T71="", "",Score!T71 )</f>
        <v/>
      </c>
      <c r="AB71" s="281"/>
      <c r="AC71" s="279" t="str">
        <f>IF(Score!U71="", "",Score!U71 )</f>
        <v/>
      </c>
      <c r="AD71" s="294"/>
      <c r="AE71" s="294"/>
      <c r="AF71" s="294"/>
      <c r="AG71" s="297"/>
      <c r="AH71" s="294"/>
      <c r="AI71" s="294"/>
      <c r="AJ71" s="294"/>
      <c r="AK71" s="297"/>
      <c r="AL71" s="294"/>
      <c r="AM71" s="294"/>
      <c r="AN71" s="294"/>
      <c r="AO71" s="297"/>
      <c r="AP71" s="294"/>
      <c r="AQ71" s="294"/>
      <c r="AR71" s="294"/>
      <c r="AS71" s="297"/>
      <c r="AT71" s="294"/>
      <c r="AU71" s="294"/>
      <c r="AV71" s="296"/>
      <c r="AW71" s="298" t="str">
        <f>IF(AA71="","",SUMIF(SK!R$88:R$163,ROW(),SK!T$88:T$163))</f>
        <v/>
      </c>
      <c r="AZ71" s="466"/>
    </row>
    <row r="72" spans="1:52" ht="31.95" customHeight="1" thickBot="1" x14ac:dyDescent="0.35">
      <c r="A72" s="276" t="str">
        <f>IF(Score!A72="", "",Score!A72 )</f>
        <v/>
      </c>
      <c r="B72" s="280"/>
      <c r="C72" s="278" t="str">
        <f>IF(Score!B72="", "",Score!B72 )</f>
        <v/>
      </c>
      <c r="D72" s="294"/>
      <c r="E72" s="294"/>
      <c r="F72" s="294"/>
      <c r="G72" s="295"/>
      <c r="H72" s="294"/>
      <c r="I72" s="294"/>
      <c r="J72" s="294"/>
      <c r="K72" s="295"/>
      <c r="L72" s="294"/>
      <c r="M72" s="294"/>
      <c r="N72" s="294"/>
      <c r="O72" s="295"/>
      <c r="P72" s="294"/>
      <c r="Q72" s="294"/>
      <c r="R72" s="294"/>
      <c r="S72" s="295"/>
      <c r="T72" s="294"/>
      <c r="U72" s="294"/>
      <c r="V72" s="296"/>
      <c r="W72" s="298" t="str">
        <f>IF(A72="","",SUMIF(SK!B$88:B$163,ROW(),SK!D$88:D$163))</f>
        <v/>
      </c>
      <c r="Y72" s="681" t="str">
        <f>Y30</f>
        <v>825</v>
      </c>
      <c r="Z72" s="466" t="str">
        <f>Z30</f>
        <v>Rot-N 2 the Cor-E</v>
      </c>
      <c r="AA72" s="280" t="str">
        <f>IF(Score!T72="", "",Score!T72 )</f>
        <v/>
      </c>
      <c r="AB72" s="280"/>
      <c r="AC72" s="278" t="str">
        <f>IF(Score!U72="", "",Score!U72 )</f>
        <v/>
      </c>
      <c r="AD72" s="294"/>
      <c r="AE72" s="294"/>
      <c r="AF72" s="294"/>
      <c r="AG72" s="295"/>
      <c r="AH72" s="294"/>
      <c r="AI72" s="294"/>
      <c r="AJ72" s="294"/>
      <c r="AK72" s="295"/>
      <c r="AL72" s="294"/>
      <c r="AM72" s="294"/>
      <c r="AN72" s="294"/>
      <c r="AO72" s="295"/>
      <c r="AP72" s="294"/>
      <c r="AQ72" s="294"/>
      <c r="AR72" s="294"/>
      <c r="AS72" s="295"/>
      <c r="AT72" s="294"/>
      <c r="AU72" s="294"/>
      <c r="AV72" s="296"/>
      <c r="AW72" s="298" t="str">
        <f>IF(AA72="","",SUMIF(SK!R$88:R$163,ROW(),SK!T$88:T$163))</f>
        <v/>
      </c>
      <c r="AY72" s="681" t="str">
        <f>AY30</f>
        <v>800</v>
      </c>
      <c r="AZ72" s="466" t="str">
        <f>AZ30</f>
        <v>Terminate Her</v>
      </c>
    </row>
    <row r="73" spans="1:52" ht="31.95" customHeight="1" thickBot="1" x14ac:dyDescent="0.35">
      <c r="A73" s="277" t="str">
        <f>IF(Score!A73="", "",Score!A73 )</f>
        <v/>
      </c>
      <c r="B73" s="281"/>
      <c r="C73" s="279" t="str">
        <f>IF(Score!B73="", "",Score!B73 )</f>
        <v/>
      </c>
      <c r="D73" s="294"/>
      <c r="E73" s="294"/>
      <c r="F73" s="294"/>
      <c r="G73" s="297"/>
      <c r="H73" s="294"/>
      <c r="I73" s="294"/>
      <c r="J73" s="294"/>
      <c r="K73" s="297"/>
      <c r="L73" s="294"/>
      <c r="M73" s="294"/>
      <c r="N73" s="294"/>
      <c r="O73" s="297"/>
      <c r="P73" s="294"/>
      <c r="Q73" s="294"/>
      <c r="R73" s="294"/>
      <c r="S73" s="297"/>
      <c r="T73" s="294"/>
      <c r="U73" s="294"/>
      <c r="V73" s="296"/>
      <c r="W73" s="298" t="str">
        <f>IF(A73="","",SUMIF(SK!B$88:B$163,ROW(),SK!D$88:D$163))</f>
        <v/>
      </c>
      <c r="Z73" s="466"/>
      <c r="AA73" s="281" t="str">
        <f>IF(Score!T73="", "",Score!T73 )</f>
        <v/>
      </c>
      <c r="AB73" s="281"/>
      <c r="AC73" s="279" t="str">
        <f>IF(Score!U73="", "",Score!U73 )</f>
        <v/>
      </c>
      <c r="AD73" s="294"/>
      <c r="AE73" s="294"/>
      <c r="AF73" s="294"/>
      <c r="AG73" s="297"/>
      <c r="AH73" s="294"/>
      <c r="AI73" s="294"/>
      <c r="AJ73" s="294"/>
      <c r="AK73" s="297"/>
      <c r="AL73" s="294"/>
      <c r="AM73" s="294"/>
      <c r="AN73" s="294"/>
      <c r="AO73" s="297"/>
      <c r="AP73" s="294"/>
      <c r="AQ73" s="294"/>
      <c r="AR73" s="294"/>
      <c r="AS73" s="297"/>
      <c r="AT73" s="294"/>
      <c r="AU73" s="294"/>
      <c r="AV73" s="296"/>
      <c r="AW73" s="298" t="str">
        <f>IF(AA73="","",SUMIF(SK!R$88:R$163,ROW(),SK!T$88:T$163))</f>
        <v/>
      </c>
      <c r="AZ73" s="466"/>
    </row>
    <row r="74" spans="1:52" ht="31.95" customHeight="1" thickBot="1" x14ac:dyDescent="0.35">
      <c r="A74" s="276" t="str">
        <f>IF(Score!A74="", "",Score!A74 )</f>
        <v/>
      </c>
      <c r="B74" s="280"/>
      <c r="C74" s="278" t="str">
        <f>IF(Score!B74="", "",Score!B74 )</f>
        <v/>
      </c>
      <c r="D74" s="294"/>
      <c r="E74" s="294"/>
      <c r="F74" s="294"/>
      <c r="G74" s="295"/>
      <c r="H74" s="294"/>
      <c r="I74" s="294"/>
      <c r="J74" s="294"/>
      <c r="K74" s="295"/>
      <c r="L74" s="294"/>
      <c r="M74" s="294"/>
      <c r="N74" s="294"/>
      <c r="O74" s="295"/>
      <c r="P74" s="294"/>
      <c r="Q74" s="294"/>
      <c r="R74" s="294"/>
      <c r="S74" s="295"/>
      <c r="T74" s="294"/>
      <c r="U74" s="294"/>
      <c r="V74" s="296"/>
      <c r="W74" s="298" t="str">
        <f>IF(A74="","",SUMIF(SK!B$88:B$163,ROW(),SK!D$88:D$163))</f>
        <v/>
      </c>
      <c r="Y74" s="681" t="str">
        <f>Y32</f>
        <v>83</v>
      </c>
      <c r="Z74" s="466" t="str">
        <f>Z32</f>
        <v>Grit n Barite</v>
      </c>
      <c r="AA74" s="280" t="str">
        <f>IF(Score!T74="", "",Score!T74 )</f>
        <v/>
      </c>
      <c r="AB74" s="280"/>
      <c r="AC74" s="278" t="str">
        <f>IF(Score!U74="", "",Score!U74 )</f>
        <v/>
      </c>
      <c r="AD74" s="294"/>
      <c r="AE74" s="294"/>
      <c r="AF74" s="294"/>
      <c r="AG74" s="295"/>
      <c r="AH74" s="294"/>
      <c r="AI74" s="294"/>
      <c r="AJ74" s="294"/>
      <c r="AK74" s="295"/>
      <c r="AL74" s="294"/>
      <c r="AM74" s="294"/>
      <c r="AN74" s="294"/>
      <c r="AO74" s="295"/>
      <c r="AP74" s="294"/>
      <c r="AQ74" s="294"/>
      <c r="AR74" s="294"/>
      <c r="AS74" s="295"/>
      <c r="AT74" s="294"/>
      <c r="AU74" s="294"/>
      <c r="AV74" s="296"/>
      <c r="AW74" s="298" t="str">
        <f>IF(AA74="","",SUMIF(SK!R$88:R$163,ROW(),SK!T$88:T$163))</f>
        <v/>
      </c>
      <c r="AY74" s="681" t="str">
        <f>AY32</f>
        <v>88*</v>
      </c>
      <c r="AZ74" s="466" t="str">
        <f>AZ32</f>
        <v>Flux</v>
      </c>
    </row>
    <row r="75" spans="1:52" ht="31.95" customHeight="1" thickBot="1" x14ac:dyDescent="0.35">
      <c r="A75" s="277" t="str">
        <f>IF(Score!A75="", "",Score!A75 )</f>
        <v/>
      </c>
      <c r="B75" s="281"/>
      <c r="C75" s="279" t="str">
        <f>IF(Score!B75="", "",Score!B75 )</f>
        <v/>
      </c>
      <c r="D75" s="294"/>
      <c r="E75" s="294"/>
      <c r="F75" s="294"/>
      <c r="G75" s="297"/>
      <c r="H75" s="294"/>
      <c r="I75" s="294"/>
      <c r="J75" s="294"/>
      <c r="K75" s="297"/>
      <c r="L75" s="294"/>
      <c r="M75" s="294"/>
      <c r="N75" s="294"/>
      <c r="O75" s="297"/>
      <c r="P75" s="294"/>
      <c r="Q75" s="294"/>
      <c r="R75" s="294"/>
      <c r="S75" s="297"/>
      <c r="T75" s="294"/>
      <c r="U75" s="294"/>
      <c r="V75" s="296"/>
      <c r="W75" s="298" t="str">
        <f>IF(A75="","",SUMIF(SK!B$88:B$163,ROW(),SK!D$88:D$163))</f>
        <v/>
      </c>
      <c r="Z75" s="466"/>
      <c r="AA75" s="281" t="str">
        <f>IF(Score!T75="", "",Score!T75 )</f>
        <v/>
      </c>
      <c r="AB75" s="281"/>
      <c r="AC75" s="279" t="str">
        <f>IF(Score!U75="", "",Score!U75 )</f>
        <v/>
      </c>
      <c r="AD75" s="294"/>
      <c r="AE75" s="294"/>
      <c r="AF75" s="294"/>
      <c r="AG75" s="297"/>
      <c r="AH75" s="294"/>
      <c r="AI75" s="294"/>
      <c r="AJ75" s="294"/>
      <c r="AK75" s="297"/>
      <c r="AL75" s="294"/>
      <c r="AM75" s="294"/>
      <c r="AN75" s="294"/>
      <c r="AO75" s="297"/>
      <c r="AP75" s="294"/>
      <c r="AQ75" s="294"/>
      <c r="AR75" s="294"/>
      <c r="AS75" s="297"/>
      <c r="AT75" s="294"/>
      <c r="AU75" s="294"/>
      <c r="AV75" s="296"/>
      <c r="AW75" s="298" t="str">
        <f>IF(AA75="","",SUMIF(SK!R$88:R$163,ROW(),SK!T$88:T$163))</f>
        <v/>
      </c>
      <c r="AZ75" s="466"/>
    </row>
    <row r="76" spans="1:52" ht="31.95" customHeight="1" thickBot="1" x14ac:dyDescent="0.35">
      <c r="A76" s="276" t="str">
        <f>IF(Score!A76="", "",Score!A76 )</f>
        <v/>
      </c>
      <c r="B76" s="280"/>
      <c r="C76" s="278" t="str">
        <f>IF(Score!B76="", "",Score!B76 )</f>
        <v/>
      </c>
      <c r="D76" s="294"/>
      <c r="E76" s="294"/>
      <c r="F76" s="294"/>
      <c r="G76" s="295"/>
      <c r="H76" s="294"/>
      <c r="I76" s="294"/>
      <c r="J76" s="294"/>
      <c r="K76" s="295"/>
      <c r="L76" s="294"/>
      <c r="M76" s="294"/>
      <c r="N76" s="294"/>
      <c r="O76" s="295"/>
      <c r="P76" s="294"/>
      <c r="Q76" s="294"/>
      <c r="R76" s="294"/>
      <c r="S76" s="295"/>
      <c r="T76" s="294"/>
      <c r="U76" s="294"/>
      <c r="V76" s="296"/>
      <c r="W76" s="298" t="str">
        <f>IF(A76="","",SUMIF(SK!B$88:B$163,ROW(),SK!D$88:D$163))</f>
        <v/>
      </c>
      <c r="Y76" s="681" t="str">
        <f>Y34</f>
        <v>84</v>
      </c>
      <c r="Z76" s="466" t="str">
        <f>Z34</f>
        <v>Phoenix</v>
      </c>
      <c r="AA76" s="280" t="str">
        <f>IF(Score!T76="", "",Score!T76 )</f>
        <v/>
      </c>
      <c r="AB76" s="280"/>
      <c r="AC76" s="278" t="str">
        <f>IF(Score!U76="", "",Score!U76 )</f>
        <v/>
      </c>
      <c r="AD76" s="294"/>
      <c r="AE76" s="294"/>
      <c r="AF76" s="294"/>
      <c r="AG76" s="295"/>
      <c r="AH76" s="294"/>
      <c r="AI76" s="294"/>
      <c r="AJ76" s="294"/>
      <c r="AK76" s="295"/>
      <c r="AL76" s="294"/>
      <c r="AM76" s="294"/>
      <c r="AN76" s="294"/>
      <c r="AO76" s="295"/>
      <c r="AP76" s="294"/>
      <c r="AQ76" s="294"/>
      <c r="AR76" s="294"/>
      <c r="AS76" s="295"/>
      <c r="AT76" s="294"/>
      <c r="AU76" s="294"/>
      <c r="AV76" s="296"/>
      <c r="AW76" s="298" t="str">
        <f>IF(AA76="","",SUMIF(SK!R$88:R$163,ROW(),SK!T$88:T$163))</f>
        <v/>
      </c>
      <c r="AY76" s="681" t="str">
        <f>AY34</f>
        <v>911</v>
      </c>
      <c r="AZ76" s="466" t="str">
        <f>AZ34</f>
        <v>Annie Mergency</v>
      </c>
    </row>
    <row r="77" spans="1:52" ht="31.95" customHeight="1" thickBot="1" x14ac:dyDescent="0.35">
      <c r="A77" s="277" t="str">
        <f>IF(Score!A77="", "",Score!A77 )</f>
        <v/>
      </c>
      <c r="B77" s="281"/>
      <c r="C77" s="279" t="str">
        <f>IF(Score!B77="", "",Score!B77 )</f>
        <v/>
      </c>
      <c r="D77" s="294"/>
      <c r="E77" s="294"/>
      <c r="F77" s="294"/>
      <c r="G77" s="297"/>
      <c r="H77" s="294"/>
      <c r="I77" s="294"/>
      <c r="J77" s="294"/>
      <c r="K77" s="297"/>
      <c r="L77" s="294"/>
      <c r="M77" s="294"/>
      <c r="N77" s="294"/>
      <c r="O77" s="297"/>
      <c r="P77" s="294"/>
      <c r="Q77" s="294"/>
      <c r="R77" s="294"/>
      <c r="S77" s="297"/>
      <c r="T77" s="294"/>
      <c r="U77" s="294"/>
      <c r="V77" s="296"/>
      <c r="W77" s="298" t="str">
        <f>IF(A77="","",SUMIF(SK!B$88:B$163,ROW(),SK!D$88:D$163))</f>
        <v/>
      </c>
      <c r="Y77" s="469"/>
      <c r="Z77" s="466"/>
      <c r="AA77" s="281" t="str">
        <f>IF(Score!T77="", "",Score!T77 )</f>
        <v/>
      </c>
      <c r="AB77" s="281"/>
      <c r="AC77" s="279" t="str">
        <f>IF(Score!U77="", "",Score!U77 )</f>
        <v/>
      </c>
      <c r="AD77" s="294"/>
      <c r="AE77" s="294"/>
      <c r="AF77" s="294"/>
      <c r="AG77" s="297"/>
      <c r="AH77" s="294"/>
      <c r="AI77" s="294"/>
      <c r="AJ77" s="294"/>
      <c r="AK77" s="297"/>
      <c r="AL77" s="294"/>
      <c r="AM77" s="294"/>
      <c r="AN77" s="294"/>
      <c r="AO77" s="297"/>
      <c r="AP77" s="294"/>
      <c r="AQ77" s="294"/>
      <c r="AR77" s="294"/>
      <c r="AS77" s="297"/>
      <c r="AT77" s="294"/>
      <c r="AU77" s="294"/>
      <c r="AV77" s="296"/>
      <c r="AW77" s="298" t="str">
        <f>IF(AA77="","",SUMIF(SK!R$88:R$163,ROW(),SK!T$88:T$163))</f>
        <v/>
      </c>
      <c r="AY77" s="469"/>
      <c r="AZ77" s="466"/>
    </row>
    <row r="78" spans="1:52" ht="31.95" customHeight="1" thickBot="1" x14ac:dyDescent="0.35">
      <c r="A78" s="276" t="str">
        <f>IF(Score!A78="", "",Score!A78 )</f>
        <v/>
      </c>
      <c r="B78" s="280"/>
      <c r="C78" s="278" t="str">
        <f>IF(Score!B78="", "",Score!B78 )</f>
        <v/>
      </c>
      <c r="D78" s="294"/>
      <c r="E78" s="294"/>
      <c r="F78" s="294"/>
      <c r="G78" s="295"/>
      <c r="H78" s="294"/>
      <c r="I78" s="294"/>
      <c r="J78" s="294"/>
      <c r="K78" s="295"/>
      <c r="L78" s="294"/>
      <c r="M78" s="294"/>
      <c r="N78" s="294"/>
      <c r="O78" s="295"/>
      <c r="P78" s="294"/>
      <c r="Q78" s="294"/>
      <c r="R78" s="294"/>
      <c r="S78" s="295"/>
      <c r="T78" s="294"/>
      <c r="U78" s="294"/>
      <c r="V78" s="296"/>
      <c r="W78" s="298" t="str">
        <f>IF(A78="","",SUMIF(SK!B$88:B$163,ROW(),SK!D$88:D$163))</f>
        <v/>
      </c>
      <c r="X78" s="465"/>
      <c r="Y78" s="681" t="str">
        <f>Y36</f>
        <v>86</v>
      </c>
      <c r="Z78" s="466" t="str">
        <f>Z36</f>
        <v>P.T.S.D.</v>
      </c>
      <c r="AA78" s="280" t="str">
        <f>IF(Score!T78="", "",Score!T78 )</f>
        <v/>
      </c>
      <c r="AB78" s="280"/>
      <c r="AC78" s="278" t="str">
        <f>IF(Score!U78="", "",Score!U78 )</f>
        <v/>
      </c>
      <c r="AD78" s="294"/>
      <c r="AE78" s="294"/>
      <c r="AF78" s="294"/>
      <c r="AG78" s="295"/>
      <c r="AH78" s="294"/>
      <c r="AI78" s="294"/>
      <c r="AJ78" s="294"/>
      <c r="AK78" s="295"/>
      <c r="AL78" s="294"/>
      <c r="AM78" s="294"/>
      <c r="AN78" s="294"/>
      <c r="AO78" s="295"/>
      <c r="AP78" s="294"/>
      <c r="AQ78" s="294"/>
      <c r="AR78" s="294"/>
      <c r="AS78" s="295"/>
      <c r="AT78" s="294"/>
      <c r="AU78" s="294"/>
      <c r="AV78" s="296"/>
      <c r="AW78" s="298" t="str">
        <f>IF(AA78="","",SUMIF(SK!R$88:R$163,ROW(),SK!T$88:T$163))</f>
        <v/>
      </c>
      <c r="AX78" s="464"/>
      <c r="AY78" s="681" t="str">
        <f>AY36</f>
        <v>94</v>
      </c>
      <c r="AZ78" s="466" t="str">
        <f>AZ36</f>
        <v>The Kraken</v>
      </c>
    </row>
    <row r="79" spans="1:52" ht="31.95" customHeight="1" thickBot="1" x14ac:dyDescent="0.35">
      <c r="A79" s="277" t="str">
        <f>IF(Score!A79="", "",Score!A79 )</f>
        <v/>
      </c>
      <c r="B79" s="281"/>
      <c r="C79" s="279" t="str">
        <f>IF(Score!B79="", "",Score!B79 )</f>
        <v/>
      </c>
      <c r="D79" s="294"/>
      <c r="E79" s="294"/>
      <c r="F79" s="294"/>
      <c r="G79" s="297"/>
      <c r="H79" s="294"/>
      <c r="I79" s="294"/>
      <c r="J79" s="294"/>
      <c r="K79" s="297"/>
      <c r="L79" s="294"/>
      <c r="M79" s="294"/>
      <c r="N79" s="294"/>
      <c r="O79" s="297"/>
      <c r="P79" s="294"/>
      <c r="Q79" s="294"/>
      <c r="R79" s="294"/>
      <c r="S79" s="297"/>
      <c r="T79" s="294"/>
      <c r="U79" s="294"/>
      <c r="V79" s="296"/>
      <c r="W79" s="298" t="str">
        <f>IF(A79="","",SUMIF(SK!B$88:B$163,ROW(),SK!D$88:D$163))</f>
        <v/>
      </c>
      <c r="X79" s="463"/>
      <c r="Y79" s="469"/>
      <c r="Z79" s="466"/>
      <c r="AA79" s="281" t="str">
        <f>IF(Score!T79="", "",Score!T79 )</f>
        <v/>
      </c>
      <c r="AB79" s="281"/>
      <c r="AC79" s="279" t="str">
        <f>IF(Score!U79="", "",Score!U79 )</f>
        <v/>
      </c>
      <c r="AD79" s="294"/>
      <c r="AE79" s="294"/>
      <c r="AF79" s="294"/>
      <c r="AG79" s="297"/>
      <c r="AH79" s="294"/>
      <c r="AI79" s="294"/>
      <c r="AJ79" s="294"/>
      <c r="AK79" s="297"/>
      <c r="AL79" s="294"/>
      <c r="AM79" s="294"/>
      <c r="AN79" s="294"/>
      <c r="AO79" s="297"/>
      <c r="AP79" s="294"/>
      <c r="AQ79" s="294"/>
      <c r="AR79" s="294"/>
      <c r="AS79" s="297"/>
      <c r="AT79" s="294"/>
      <c r="AU79" s="294"/>
      <c r="AV79" s="296"/>
      <c r="AW79" s="298" t="str">
        <f>IF(AA79="","",SUMIF(SK!R$88:R$163,ROW(),SK!T$88:T$163))</f>
        <v/>
      </c>
      <c r="AX79" s="463"/>
      <c r="AY79" s="469"/>
      <c r="AZ79" s="466"/>
    </row>
    <row r="80" spans="1:52" ht="31.95" customHeight="1" thickBot="1" x14ac:dyDescent="0.35">
      <c r="A80" s="276" t="str">
        <f>IF(Score!A80="", "",Score!A80 )</f>
        <v/>
      </c>
      <c r="B80" s="280"/>
      <c r="C80" s="278" t="str">
        <f>IF(Score!B80="", "",Score!B80 )</f>
        <v/>
      </c>
      <c r="D80" s="294"/>
      <c r="E80" s="294"/>
      <c r="F80" s="294"/>
      <c r="G80" s="295"/>
      <c r="H80" s="294"/>
      <c r="I80" s="294"/>
      <c r="J80" s="294"/>
      <c r="K80" s="295"/>
      <c r="L80" s="294"/>
      <c r="M80" s="294"/>
      <c r="N80" s="294"/>
      <c r="O80" s="295"/>
      <c r="P80" s="294"/>
      <c r="Q80" s="294"/>
      <c r="R80" s="294"/>
      <c r="S80" s="295"/>
      <c r="T80" s="294"/>
      <c r="U80" s="294"/>
      <c r="V80" s="296"/>
      <c r="W80" s="298" t="str">
        <f>IF(A80="","",SUMIF(SK!B$88:B$163,ROW(),SK!D$88:D$163))</f>
        <v/>
      </c>
      <c r="X80" s="273"/>
      <c r="Y80" s="681" t="str">
        <f>Y38</f>
        <v/>
      </c>
      <c r="Z80" s="466" t="str">
        <f>Z38</f>
        <v/>
      </c>
      <c r="AA80" s="280" t="str">
        <f>IF(Score!T80="", "",Score!T80 )</f>
        <v/>
      </c>
      <c r="AB80" s="280"/>
      <c r="AC80" s="278" t="str">
        <f>IF(Score!U80="", "",Score!U80 )</f>
        <v/>
      </c>
      <c r="AD80" s="294"/>
      <c r="AE80" s="294"/>
      <c r="AF80" s="294"/>
      <c r="AG80" s="295"/>
      <c r="AH80" s="294"/>
      <c r="AI80" s="294"/>
      <c r="AJ80" s="294"/>
      <c r="AK80" s="295"/>
      <c r="AL80" s="294"/>
      <c r="AM80" s="294"/>
      <c r="AN80" s="294"/>
      <c r="AO80" s="295"/>
      <c r="AP80" s="294"/>
      <c r="AQ80" s="294"/>
      <c r="AR80" s="294"/>
      <c r="AS80" s="295"/>
      <c r="AT80" s="294"/>
      <c r="AU80" s="294"/>
      <c r="AV80" s="296"/>
      <c r="AW80" s="298" t="str">
        <f>IF(AA80="","",SUMIF(SK!R$88:R$163,ROW(),SK!T$88:T$163))</f>
        <v/>
      </c>
      <c r="AX80" s="273"/>
      <c r="AY80" s="681" t="str">
        <f>AY38</f>
        <v/>
      </c>
      <c r="AZ80" s="466" t="str">
        <f>AZ38</f>
        <v/>
      </c>
    </row>
    <row r="81" spans="1:52" ht="31.95" customHeight="1" thickBot="1" x14ac:dyDescent="0.35">
      <c r="A81" s="277" t="str">
        <f>IF(Score!A81="", "",Score!A81 )</f>
        <v/>
      </c>
      <c r="B81" s="281"/>
      <c r="C81" s="279" t="str">
        <f>IF(Score!B81="", "",Score!B81 )</f>
        <v/>
      </c>
      <c r="D81" s="294"/>
      <c r="E81" s="294"/>
      <c r="F81" s="294"/>
      <c r="G81" s="297"/>
      <c r="H81" s="294"/>
      <c r="I81" s="294"/>
      <c r="J81" s="294"/>
      <c r="K81" s="297"/>
      <c r="L81" s="294"/>
      <c r="M81" s="294"/>
      <c r="N81" s="294"/>
      <c r="O81" s="297"/>
      <c r="P81" s="294"/>
      <c r="Q81" s="294"/>
      <c r="R81" s="294"/>
      <c r="S81" s="297"/>
      <c r="T81" s="294"/>
      <c r="U81" s="294"/>
      <c r="V81" s="296"/>
      <c r="W81" s="298" t="str">
        <f>IF(A81="","",SUMIF(SK!B$88:B$163,ROW(),SK!D$88:D$163))</f>
        <v/>
      </c>
      <c r="X81" s="273"/>
      <c r="Y81" s="469"/>
      <c r="Z81" s="466"/>
      <c r="AA81" s="281" t="str">
        <f>IF(Score!T81="", "",Score!T81 )</f>
        <v/>
      </c>
      <c r="AB81" s="281"/>
      <c r="AC81" s="279" t="str">
        <f>IF(Score!U81="", "",Score!U81 )</f>
        <v/>
      </c>
      <c r="AD81" s="294"/>
      <c r="AE81" s="294"/>
      <c r="AF81" s="294"/>
      <c r="AG81" s="297"/>
      <c r="AH81" s="294"/>
      <c r="AI81" s="294"/>
      <c r="AJ81" s="294"/>
      <c r="AK81" s="297"/>
      <c r="AL81" s="294"/>
      <c r="AM81" s="294"/>
      <c r="AN81" s="294"/>
      <c r="AO81" s="297"/>
      <c r="AP81" s="294"/>
      <c r="AQ81" s="294"/>
      <c r="AR81" s="294"/>
      <c r="AS81" s="297"/>
      <c r="AT81" s="294"/>
      <c r="AU81" s="294"/>
      <c r="AV81" s="296"/>
      <c r="AW81" s="298" t="str">
        <f>IF(AA81="","",SUMIF(SK!R$88:R$163,ROW(),SK!T$88:T$163))</f>
        <v/>
      </c>
      <c r="AX81" s="273"/>
      <c r="AY81" s="469"/>
      <c r="AZ81" s="466"/>
    </row>
    <row r="82" spans="1:52" ht="31.95" customHeight="1" thickBot="1" x14ac:dyDescent="0.35">
      <c r="A82" s="276" t="str">
        <f>IF(Score!A82="", "",Score!A82 )</f>
        <v/>
      </c>
      <c r="B82" s="280"/>
      <c r="C82" s="278" t="str">
        <f>IF(Score!B82="", "",Score!B82 )</f>
        <v/>
      </c>
      <c r="D82" s="294"/>
      <c r="E82" s="294"/>
      <c r="F82" s="294"/>
      <c r="G82" s="295"/>
      <c r="H82" s="294"/>
      <c r="I82" s="294"/>
      <c r="J82" s="294"/>
      <c r="K82" s="295"/>
      <c r="L82" s="294"/>
      <c r="M82" s="294"/>
      <c r="N82" s="294"/>
      <c r="O82" s="295"/>
      <c r="P82" s="294"/>
      <c r="Q82" s="294"/>
      <c r="R82" s="294"/>
      <c r="S82" s="295"/>
      <c r="T82" s="294"/>
      <c r="U82" s="294"/>
      <c r="V82" s="296"/>
      <c r="W82" s="298" t="str">
        <f>IF(A82="","",SUMIF(SK!B$88:B$163,ROW(),SK!D$88:D$163))</f>
        <v/>
      </c>
      <c r="X82" s="275"/>
      <c r="Y82" s="681" t="str">
        <f>Y40</f>
        <v/>
      </c>
      <c r="Z82" s="466" t="str">
        <f>Z40</f>
        <v/>
      </c>
      <c r="AA82" s="280" t="str">
        <f>IF(Score!T82="", "",Score!T82 )</f>
        <v/>
      </c>
      <c r="AB82" s="280"/>
      <c r="AC82" s="278" t="str">
        <f>IF(Score!U82="", "",Score!U82 )</f>
        <v/>
      </c>
      <c r="AD82" s="294"/>
      <c r="AE82" s="294"/>
      <c r="AF82" s="294"/>
      <c r="AG82" s="295"/>
      <c r="AH82" s="294"/>
      <c r="AI82" s="294"/>
      <c r="AJ82" s="294"/>
      <c r="AK82" s="295"/>
      <c r="AL82" s="294"/>
      <c r="AM82" s="294"/>
      <c r="AN82" s="294"/>
      <c r="AO82" s="295"/>
      <c r="AP82" s="294"/>
      <c r="AQ82" s="294"/>
      <c r="AR82" s="294"/>
      <c r="AS82" s="295"/>
      <c r="AT82" s="294"/>
      <c r="AU82" s="294"/>
      <c r="AV82" s="296"/>
      <c r="AW82" s="298" t="str">
        <f>IF(AA82="","",SUMIF(SK!R$88:R$163,ROW(),SK!T$88:T$163))</f>
        <v/>
      </c>
      <c r="AX82" s="275"/>
      <c r="AY82" s="681" t="str">
        <f>AY40</f>
        <v/>
      </c>
      <c r="AZ82" s="466" t="str">
        <f>AZ40</f>
        <v/>
      </c>
    </row>
    <row r="83" spans="1:52" ht="31.95" customHeight="1" thickBot="1" x14ac:dyDescent="0.35">
      <c r="A83" s="277" t="str">
        <f>IF(Score!A83="", "",Score!A83 )</f>
        <v/>
      </c>
      <c r="B83" s="281"/>
      <c r="C83" s="279" t="str">
        <f>IF(Score!B83="", "",Score!B83 )</f>
        <v/>
      </c>
      <c r="D83" s="294"/>
      <c r="E83" s="294"/>
      <c r="F83" s="294"/>
      <c r="G83" s="297"/>
      <c r="H83" s="294"/>
      <c r="I83" s="294"/>
      <c r="J83" s="294"/>
      <c r="K83" s="297"/>
      <c r="L83" s="294"/>
      <c r="M83" s="294"/>
      <c r="N83" s="294"/>
      <c r="O83" s="297"/>
      <c r="P83" s="294"/>
      <c r="Q83" s="294"/>
      <c r="R83" s="294"/>
      <c r="S83" s="297"/>
      <c r="T83" s="294"/>
      <c r="U83" s="294"/>
      <c r="V83" s="296"/>
      <c r="W83" s="298" t="str">
        <f>IF(A83="","",SUMIF(SK!B$88:B$163,ROW(),SK!D$88:D$163))</f>
        <v/>
      </c>
      <c r="X83" s="274"/>
      <c r="Y83" s="681" t="str">
        <f>Y41</f>
        <v/>
      </c>
      <c r="Z83" s="466" t="str">
        <f>Z41</f>
        <v/>
      </c>
      <c r="AA83" s="281" t="str">
        <f>IF(Score!T83="", "",Score!T83 )</f>
        <v/>
      </c>
      <c r="AB83" s="281"/>
      <c r="AC83" s="279" t="str">
        <f>IF(Score!U83="", "",Score!U83 )</f>
        <v/>
      </c>
      <c r="AD83" s="294"/>
      <c r="AE83" s="294"/>
      <c r="AF83" s="294"/>
      <c r="AG83" s="297"/>
      <c r="AH83" s="294"/>
      <c r="AI83" s="294"/>
      <c r="AJ83" s="294"/>
      <c r="AK83" s="297"/>
      <c r="AL83" s="294"/>
      <c r="AM83" s="294"/>
      <c r="AN83" s="294"/>
      <c r="AO83" s="297"/>
      <c r="AP83" s="294"/>
      <c r="AQ83" s="294"/>
      <c r="AR83" s="294"/>
      <c r="AS83" s="297"/>
      <c r="AT83" s="294"/>
      <c r="AU83" s="294"/>
      <c r="AV83" s="296"/>
      <c r="AW83" s="298" t="str">
        <f>IF(AA83="","",SUMIF(SK!R$88:R$163,ROW(),SK!T$88:T$163))</f>
        <v/>
      </c>
      <c r="AX83" s="274"/>
      <c r="AY83" s="681" t="str">
        <f>AY41</f>
        <v/>
      </c>
      <c r="AZ83" s="467" t="str">
        <f>AZ41</f>
        <v/>
      </c>
    </row>
    <row r="84" spans="1:52" s="293" customFormat="1" ht="15" customHeight="1" x14ac:dyDescent="0.3">
      <c r="A84" s="1037" t="s">
        <v>503</v>
      </c>
      <c r="B84" s="1038"/>
      <c r="C84" s="1038"/>
      <c r="D84" s="1038"/>
      <c r="E84" s="1038"/>
      <c r="F84" s="1038"/>
      <c r="G84" s="1038"/>
      <c r="H84" s="1038"/>
      <c r="I84" s="1038"/>
      <c r="J84" s="1038"/>
      <c r="K84" s="1038"/>
      <c r="L84" s="1038"/>
      <c r="M84" s="1038"/>
      <c r="N84" s="1038"/>
      <c r="O84" s="1038"/>
      <c r="P84" s="1038"/>
      <c r="Q84" s="1038"/>
      <c r="R84" s="1038"/>
      <c r="S84" s="1038"/>
      <c r="T84" s="1038"/>
      <c r="U84" s="1038"/>
      <c r="V84" s="1038"/>
      <c r="W84" s="1038"/>
      <c r="X84" s="1038"/>
      <c r="Y84" s="1038"/>
      <c r="Z84" s="1038"/>
      <c r="AA84" s="1037" t="s">
        <v>503</v>
      </c>
      <c r="AB84" s="1038"/>
      <c r="AC84" s="1038"/>
      <c r="AD84" s="1038"/>
      <c r="AE84" s="1038"/>
      <c r="AF84" s="1038"/>
      <c r="AG84" s="1038"/>
      <c r="AH84" s="1038"/>
      <c r="AI84" s="1038"/>
      <c r="AJ84" s="1038"/>
      <c r="AK84" s="1038"/>
      <c r="AL84" s="1038"/>
      <c r="AM84" s="1038"/>
      <c r="AN84" s="1038"/>
      <c r="AO84" s="1038"/>
      <c r="AP84" s="1038"/>
      <c r="AQ84" s="1038"/>
      <c r="AR84" s="1038"/>
      <c r="AS84" s="1038"/>
      <c r="AT84" s="1038"/>
      <c r="AU84" s="1038"/>
      <c r="AV84" s="1038"/>
      <c r="AW84" s="1038"/>
      <c r="AX84" s="1038"/>
      <c r="AY84" s="1038"/>
      <c r="AZ84" s="1038"/>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6"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5509-8D03-4973-9815-F9868B03BE9A}">
  <sheetPr>
    <tabColor rgb="FF00FFFF"/>
  </sheetPr>
  <dimension ref="A1:BS88"/>
  <sheetViews>
    <sheetView zoomScaleNormal="100" zoomScaleSheetLayoutView="100" workbookViewId="0">
      <selection sqref="A1:J2"/>
    </sheetView>
  </sheetViews>
  <sheetFormatPr defaultColWidth="8.77734375" defaultRowHeight="13.8" x14ac:dyDescent="0.3"/>
  <cols>
    <col min="1" max="1" width="6.109375" style="11" customWidth="1"/>
    <col min="2" max="2" width="5.44140625" style="762" customWidth="1"/>
    <col min="3" max="3" width="11.6640625" style="11" customWidth="1"/>
    <col min="4" max="6" width="3.44140625" style="11" customWidth="1"/>
    <col min="7" max="7" width="11.6640625" style="11" customWidth="1"/>
    <col min="8" max="10" width="3.44140625" style="11" customWidth="1"/>
    <col min="11" max="11" width="11.6640625" style="11" customWidth="1"/>
    <col min="12" max="14" width="3.44140625" style="11" customWidth="1"/>
    <col min="15" max="15" width="11.6640625" style="11" customWidth="1"/>
    <col min="16" max="18" width="3.44140625" style="11" customWidth="1"/>
    <col min="19" max="19" width="11.6640625" style="11" customWidth="1"/>
    <col min="20" max="22" width="3.44140625" style="11" customWidth="1"/>
    <col min="23" max="23" width="1.44140625" style="11" customWidth="1"/>
    <col min="24" max="24" width="7.33203125" style="406" customWidth="1"/>
    <col min="25" max="33" width="5.109375" style="406" customWidth="1"/>
    <col min="34" max="34" width="2" style="406" customWidth="1"/>
    <col min="35" max="35" width="5.109375" style="11" customWidth="1"/>
    <col min="36" max="36" width="6.109375" style="11" customWidth="1"/>
    <col min="37" max="37" width="5.44140625" style="762" customWidth="1"/>
    <col min="38" max="38" width="11.6640625" style="11" customWidth="1"/>
    <col min="39" max="41" width="3.44140625" style="11" customWidth="1"/>
    <col min="42" max="42" width="11.6640625" style="11" customWidth="1"/>
    <col min="43" max="45" width="3.44140625" style="11" customWidth="1"/>
    <col min="46" max="46" width="11.6640625" style="11" customWidth="1"/>
    <col min="47" max="49" width="3.44140625" style="11" customWidth="1"/>
    <col min="50" max="50" width="11.6640625" style="11" customWidth="1"/>
    <col min="51" max="53" width="3.44140625" style="11" customWidth="1"/>
    <col min="54" max="54" width="11.6640625" style="11" customWidth="1"/>
    <col min="55" max="57" width="3.44140625" style="11" customWidth="1"/>
    <col min="58" max="58" width="1.44140625" style="11" customWidth="1"/>
    <col min="59" max="59" width="7.33203125" style="406" customWidth="1"/>
    <col min="60" max="68" width="5.109375" style="406" customWidth="1"/>
    <col min="69" max="69" width="2" style="406" customWidth="1"/>
    <col min="70" max="70" width="5.109375" style="11" customWidth="1"/>
    <col min="71" max="16384" width="8.77734375" style="11"/>
  </cols>
  <sheetData>
    <row r="1" spans="1:70" ht="28.95" customHeight="1" x14ac:dyDescent="0.45">
      <c r="A1" s="1054" t="str">
        <f>Score!$A$1</f>
        <v>Black Rose Rollers / All Stars</v>
      </c>
      <c r="B1" s="1054"/>
      <c r="C1" s="1054"/>
      <c r="D1" s="1054"/>
      <c r="E1" s="1054"/>
      <c r="F1" s="1054"/>
      <c r="G1" s="1054"/>
      <c r="H1" s="1054"/>
      <c r="I1" s="1054"/>
      <c r="J1" s="1054"/>
      <c r="K1" s="1056" t="str">
        <f>IF(ISBLANK(IGRF!$B$12), "", IGRF!$B$12)</f>
        <v>Black</v>
      </c>
      <c r="L1" s="1056"/>
      <c r="M1" s="1056"/>
      <c r="N1" s="1056"/>
      <c r="O1" s="1056"/>
      <c r="P1" s="1057">
        <f>IF(ISBLANK(IGRF!$B$7), "", IGRF!$B$7)</f>
        <v>45144</v>
      </c>
      <c r="Q1" s="1057"/>
      <c r="R1" s="1057"/>
      <c r="S1" s="1057"/>
      <c r="T1" s="1058"/>
      <c r="U1" s="1058"/>
      <c r="V1" s="1058"/>
      <c r="W1" s="1058"/>
      <c r="X1" s="1058"/>
      <c r="Y1" s="1058"/>
      <c r="Z1" s="1058"/>
      <c r="AA1" s="1058"/>
      <c r="AB1" s="1058"/>
      <c r="AC1" s="1058"/>
      <c r="AD1" s="1058"/>
      <c r="AE1" s="1058"/>
      <c r="AF1" s="1051">
        <v>1</v>
      </c>
      <c r="AG1" s="1051"/>
      <c r="AH1" s="1051"/>
      <c r="AI1" s="1051"/>
      <c r="AJ1" s="1054" t="str">
        <f>Score!T1</f>
        <v>Steel City Roller Derby / Steel Hurtin'</v>
      </c>
      <c r="AK1" s="1054"/>
      <c r="AL1" s="1054"/>
      <c r="AM1" s="1054"/>
      <c r="AN1" s="1054"/>
      <c r="AO1" s="1054"/>
      <c r="AP1" s="1054"/>
      <c r="AQ1" s="1054"/>
      <c r="AR1" s="1054"/>
      <c r="AS1" s="1054"/>
      <c r="AT1" s="1056" t="str">
        <f>IF(ISBLANK(IGRF!$I$12), "", IGRF!$I$12)</f>
        <v>Yellow</v>
      </c>
      <c r="AU1" s="1056"/>
      <c r="AV1" s="1056"/>
      <c r="AW1" s="1056"/>
      <c r="AX1" s="1056"/>
      <c r="AY1" s="1057">
        <f>P1</f>
        <v>45144</v>
      </c>
      <c r="AZ1" s="1057"/>
      <c r="BA1" s="1057"/>
      <c r="BB1" s="1057"/>
      <c r="BC1" s="1058"/>
      <c r="BD1" s="1058"/>
      <c r="BE1" s="1058"/>
      <c r="BF1" s="1058"/>
      <c r="BG1" s="1058"/>
      <c r="BH1" s="1058"/>
      <c r="BI1" s="1058"/>
      <c r="BJ1" s="1058"/>
      <c r="BK1" s="1058"/>
      <c r="BL1" s="1058"/>
      <c r="BM1" s="1058"/>
      <c r="BN1" s="1058"/>
      <c r="BO1" s="1051">
        <v>1</v>
      </c>
      <c r="BP1" s="1051"/>
      <c r="BQ1" s="1051"/>
      <c r="BR1" s="1051"/>
    </row>
    <row r="2" spans="1:70" ht="15" customHeight="1" thickBot="1" x14ac:dyDescent="0.35">
      <c r="A2" s="1055"/>
      <c r="B2" s="1055"/>
      <c r="C2" s="1055"/>
      <c r="D2" s="1055"/>
      <c r="E2" s="1055"/>
      <c r="F2" s="1055"/>
      <c r="G2" s="1055"/>
      <c r="H2" s="1055"/>
      <c r="I2" s="1055"/>
      <c r="J2" s="1055"/>
      <c r="K2" s="1027" t="s">
        <v>181</v>
      </c>
      <c r="L2" s="1027"/>
      <c r="M2" s="1027"/>
      <c r="N2" s="1027"/>
      <c r="O2" s="1027"/>
      <c r="P2" s="1059" t="s">
        <v>184</v>
      </c>
      <c r="Q2" s="1059"/>
      <c r="R2" s="1059"/>
      <c r="S2" s="1059"/>
      <c r="T2" s="1027" t="s">
        <v>490</v>
      </c>
      <c r="U2" s="1027"/>
      <c r="V2" s="1027"/>
      <c r="W2" s="1027"/>
      <c r="X2" s="1027"/>
      <c r="Y2" s="1027"/>
      <c r="Z2" s="1027"/>
      <c r="AA2" s="1027"/>
      <c r="AB2" s="1027"/>
      <c r="AC2" s="1027"/>
      <c r="AD2" s="1027"/>
      <c r="AE2" s="1027"/>
      <c r="AF2" s="1053" t="str">
        <f>IF(ISBLANK(IGRF!$L$3), "", "GAME " &amp; IGRF!$L$3)</f>
        <v/>
      </c>
      <c r="AG2" s="1053"/>
      <c r="AH2" s="1053"/>
      <c r="AI2" s="1053"/>
      <c r="AJ2" s="1055"/>
      <c r="AK2" s="1055"/>
      <c r="AL2" s="1055"/>
      <c r="AM2" s="1055"/>
      <c r="AN2" s="1055"/>
      <c r="AO2" s="1055"/>
      <c r="AP2" s="1055"/>
      <c r="AQ2" s="1055"/>
      <c r="AR2" s="1055"/>
      <c r="AS2" s="1055"/>
      <c r="AT2" s="1025" t="s">
        <v>181</v>
      </c>
      <c r="AU2" s="1025"/>
      <c r="AV2" s="1025"/>
      <c r="AW2" s="1025"/>
      <c r="AX2" s="1025"/>
      <c r="AY2" s="1052" t="s">
        <v>184</v>
      </c>
      <c r="AZ2" s="1052"/>
      <c r="BA2" s="1052"/>
      <c r="BB2" s="1052"/>
      <c r="BC2" s="1025" t="s">
        <v>490</v>
      </c>
      <c r="BD2" s="1025"/>
      <c r="BE2" s="1025"/>
      <c r="BF2" s="1025"/>
      <c r="BG2" s="1025"/>
      <c r="BH2" s="1025"/>
      <c r="BI2" s="1025"/>
      <c r="BJ2" s="1025"/>
      <c r="BK2" s="1025"/>
      <c r="BL2" s="1025"/>
      <c r="BM2" s="1025"/>
      <c r="BN2" s="1025"/>
      <c r="BO2" s="1053" t="str">
        <f>AF2</f>
        <v/>
      </c>
      <c r="BP2" s="1053"/>
      <c r="BQ2" s="1053"/>
      <c r="BR2" s="1053"/>
    </row>
    <row r="3" spans="1:70" s="15" customFormat="1" ht="13.5" customHeight="1" thickBot="1" x14ac:dyDescent="0.35">
      <c r="A3" s="703" t="s">
        <v>268</v>
      </c>
      <c r="B3" s="704" t="s">
        <v>182</v>
      </c>
      <c r="C3" s="705" t="s">
        <v>105</v>
      </c>
      <c r="D3" s="1050" t="s">
        <v>269</v>
      </c>
      <c r="E3" s="1050"/>
      <c r="F3" s="1050"/>
      <c r="G3" s="705" t="s">
        <v>103</v>
      </c>
      <c r="H3" s="1050" t="s">
        <v>269</v>
      </c>
      <c r="I3" s="1050"/>
      <c r="J3" s="1050"/>
      <c r="K3" s="705" t="s">
        <v>104</v>
      </c>
      <c r="L3" s="1050" t="s">
        <v>269</v>
      </c>
      <c r="M3" s="1050"/>
      <c r="N3" s="1050"/>
      <c r="O3" s="705" t="s">
        <v>104</v>
      </c>
      <c r="P3" s="1050" t="s">
        <v>269</v>
      </c>
      <c r="Q3" s="1050"/>
      <c r="R3" s="1050"/>
      <c r="S3" s="705" t="s">
        <v>104</v>
      </c>
      <c r="T3" s="1050" t="s">
        <v>269</v>
      </c>
      <c r="U3" s="1050"/>
      <c r="V3" s="1050"/>
      <c r="W3" s="706"/>
      <c r="X3" s="707" t="s">
        <v>491</v>
      </c>
      <c r="Y3" s="1048" t="s">
        <v>162</v>
      </c>
      <c r="Z3" s="1048"/>
      <c r="AA3" s="1048"/>
      <c r="AB3" s="1048"/>
      <c r="AC3" s="1048"/>
      <c r="AD3" s="1048"/>
      <c r="AE3" s="1048"/>
      <c r="AF3" s="1048"/>
      <c r="AG3" s="1048"/>
      <c r="AH3" s="1048" t="s">
        <v>110</v>
      </c>
      <c r="AI3" s="1049"/>
      <c r="AJ3" s="703" t="s">
        <v>268</v>
      </c>
      <c r="AK3" s="704" t="s">
        <v>182</v>
      </c>
      <c r="AL3" s="705" t="s">
        <v>105</v>
      </c>
      <c r="AM3" s="1050" t="s">
        <v>269</v>
      </c>
      <c r="AN3" s="1050"/>
      <c r="AO3" s="1050"/>
      <c r="AP3" s="705" t="s">
        <v>103</v>
      </c>
      <c r="AQ3" s="1050" t="s">
        <v>269</v>
      </c>
      <c r="AR3" s="1050"/>
      <c r="AS3" s="1050"/>
      <c r="AT3" s="705" t="s">
        <v>104</v>
      </c>
      <c r="AU3" s="1050" t="s">
        <v>269</v>
      </c>
      <c r="AV3" s="1050"/>
      <c r="AW3" s="1050"/>
      <c r="AX3" s="705" t="s">
        <v>104</v>
      </c>
      <c r="AY3" s="1050" t="s">
        <v>269</v>
      </c>
      <c r="AZ3" s="1050"/>
      <c r="BA3" s="1050"/>
      <c r="BB3" s="705" t="s">
        <v>104</v>
      </c>
      <c r="BC3" s="1050" t="s">
        <v>269</v>
      </c>
      <c r="BD3" s="1050"/>
      <c r="BE3" s="1050"/>
      <c r="BF3" s="706"/>
      <c r="BG3" s="706" t="s">
        <v>491</v>
      </c>
      <c r="BH3" s="1048" t="s">
        <v>162</v>
      </c>
      <c r="BI3" s="1048"/>
      <c r="BJ3" s="1048"/>
      <c r="BK3" s="1048"/>
      <c r="BL3" s="1048"/>
      <c r="BM3" s="1048"/>
      <c r="BN3" s="1048"/>
      <c r="BO3" s="1048"/>
      <c r="BP3" s="1048"/>
      <c r="BQ3" s="1048" t="s">
        <v>110</v>
      </c>
      <c r="BR3" s="1049"/>
    </row>
    <row r="4" spans="1:70" ht="31.95" customHeight="1" thickTop="1" thickBot="1" x14ac:dyDescent="0.35">
      <c r="A4" s="708"/>
      <c r="B4" s="709"/>
      <c r="C4" s="710"/>
      <c r="D4" s="711"/>
      <c r="E4" s="711"/>
      <c r="F4" s="711"/>
      <c r="G4" s="712"/>
      <c r="H4" s="711"/>
      <c r="I4" s="711"/>
      <c r="J4" s="711"/>
      <c r="K4" s="712"/>
      <c r="L4" s="711"/>
      <c r="M4" s="711"/>
      <c r="N4" s="711"/>
      <c r="O4" s="712"/>
      <c r="P4" s="711"/>
      <c r="Q4" s="711"/>
      <c r="R4" s="711"/>
      <c r="S4" s="712"/>
      <c r="T4" s="711"/>
      <c r="U4" s="711"/>
      <c r="V4" s="713"/>
      <c r="X4" s="1044" t="str">
        <f>IF(IGRF!B14="","",IGRF!B14)</f>
        <v>101</v>
      </c>
      <c r="Y4" s="714"/>
      <c r="Z4" s="715"/>
      <c r="AA4" s="716"/>
      <c r="AB4" s="716"/>
      <c r="AC4" s="716"/>
      <c r="AD4" s="717"/>
      <c r="AE4" s="718"/>
      <c r="AF4" s="719"/>
      <c r="AG4" s="720"/>
      <c r="AH4" s="721"/>
      <c r="AI4" s="722"/>
      <c r="AJ4" s="708"/>
      <c r="AK4" s="709"/>
      <c r="AL4" s="710"/>
      <c r="AM4" s="711"/>
      <c r="AN4" s="711"/>
      <c r="AO4" s="711"/>
      <c r="AP4" s="712"/>
      <c r="AQ4" s="711"/>
      <c r="AR4" s="711"/>
      <c r="AS4" s="711"/>
      <c r="AT4" s="712"/>
      <c r="AU4" s="711"/>
      <c r="AV4" s="711"/>
      <c r="AW4" s="711"/>
      <c r="AX4" s="712"/>
      <c r="AY4" s="711"/>
      <c r="AZ4" s="711"/>
      <c r="BA4" s="711"/>
      <c r="BB4" s="712"/>
      <c r="BC4" s="711"/>
      <c r="BD4" s="711"/>
      <c r="BE4" s="713"/>
      <c r="BG4" s="1044" t="str">
        <f>IF(IGRF!I14="","",IGRF!I14)</f>
        <v>12</v>
      </c>
      <c r="BH4" s="714"/>
      <c r="BI4" s="715"/>
      <c r="BJ4" s="716"/>
      <c r="BK4" s="716"/>
      <c r="BL4" s="716"/>
      <c r="BM4" s="717"/>
      <c r="BN4" s="718"/>
      <c r="BO4" s="719"/>
      <c r="BP4" s="720"/>
      <c r="BQ4" s="721"/>
      <c r="BR4" s="722"/>
    </row>
    <row r="5" spans="1:70" ht="31.95" customHeight="1" thickBot="1" x14ac:dyDescent="0.35">
      <c r="A5" s="723"/>
      <c r="B5" s="724"/>
      <c r="C5" s="725"/>
      <c r="D5" s="711"/>
      <c r="E5" s="711"/>
      <c r="F5" s="711"/>
      <c r="G5" s="726"/>
      <c r="H5" s="711"/>
      <c r="I5" s="711"/>
      <c r="J5" s="711"/>
      <c r="K5" s="726"/>
      <c r="L5" s="711"/>
      <c r="M5" s="711"/>
      <c r="N5" s="711"/>
      <c r="O5" s="726"/>
      <c r="P5" s="711"/>
      <c r="Q5" s="711"/>
      <c r="R5" s="711"/>
      <c r="S5" s="726"/>
      <c r="T5" s="711"/>
      <c r="U5" s="711"/>
      <c r="V5" s="713"/>
      <c r="X5" s="1045"/>
      <c r="Y5" s="727"/>
      <c r="Z5" s="728"/>
      <c r="AA5" s="729"/>
      <c r="AB5" s="729"/>
      <c r="AC5" s="729"/>
      <c r="AD5" s="730"/>
      <c r="AE5" s="731"/>
      <c r="AF5" s="732"/>
      <c r="AG5" s="733"/>
      <c r="AH5" s="734"/>
      <c r="AI5" s="735"/>
      <c r="AJ5" s="723"/>
      <c r="AK5" s="724"/>
      <c r="AL5" s="725"/>
      <c r="AM5" s="711"/>
      <c r="AN5" s="711"/>
      <c r="AO5" s="711"/>
      <c r="AP5" s="726"/>
      <c r="AQ5" s="711"/>
      <c r="AR5" s="711"/>
      <c r="AS5" s="711"/>
      <c r="AT5" s="726"/>
      <c r="AU5" s="711"/>
      <c r="AV5" s="711"/>
      <c r="AW5" s="711"/>
      <c r="AX5" s="726"/>
      <c r="AY5" s="711"/>
      <c r="AZ5" s="711"/>
      <c r="BA5" s="711"/>
      <c r="BB5" s="726"/>
      <c r="BC5" s="711"/>
      <c r="BD5" s="711"/>
      <c r="BE5" s="713"/>
      <c r="BG5" s="1045"/>
      <c r="BH5" s="727"/>
      <c r="BI5" s="728"/>
      <c r="BJ5" s="729"/>
      <c r="BK5" s="729"/>
      <c r="BL5" s="729"/>
      <c r="BM5" s="730"/>
      <c r="BN5" s="731"/>
      <c r="BO5" s="732"/>
      <c r="BP5" s="733"/>
      <c r="BQ5" s="734"/>
      <c r="BR5" s="735"/>
    </row>
    <row r="6" spans="1:70" ht="31.95" customHeight="1" thickTop="1" thickBot="1" x14ac:dyDescent="0.35">
      <c r="A6" s="708"/>
      <c r="B6" s="709"/>
      <c r="C6" s="710"/>
      <c r="D6" s="711"/>
      <c r="E6" s="711"/>
      <c r="F6" s="711"/>
      <c r="G6" s="712"/>
      <c r="H6" s="711"/>
      <c r="I6" s="711"/>
      <c r="J6" s="711"/>
      <c r="K6" s="712"/>
      <c r="L6" s="711"/>
      <c r="M6" s="711"/>
      <c r="N6" s="711"/>
      <c r="O6" s="712"/>
      <c r="P6" s="711"/>
      <c r="Q6" s="711"/>
      <c r="R6" s="711"/>
      <c r="S6" s="712"/>
      <c r="T6" s="711"/>
      <c r="U6" s="711"/>
      <c r="V6" s="713"/>
      <c r="X6" s="1042" t="str">
        <f>IF(IGRF!B15="","",IGRF!B15)</f>
        <v>123</v>
      </c>
      <c r="Y6" s="736"/>
      <c r="Z6" s="737"/>
      <c r="AA6" s="738"/>
      <c r="AB6" s="738"/>
      <c r="AC6" s="738"/>
      <c r="AD6" s="739"/>
      <c r="AE6" s="740"/>
      <c r="AF6" s="741"/>
      <c r="AG6" s="742"/>
      <c r="AH6" s="743"/>
      <c r="AI6" s="722"/>
      <c r="AJ6" s="708"/>
      <c r="AK6" s="709"/>
      <c r="AL6" s="710"/>
      <c r="AM6" s="711"/>
      <c r="AN6" s="711"/>
      <c r="AO6" s="711"/>
      <c r="AP6" s="712"/>
      <c r="AQ6" s="711"/>
      <c r="AR6" s="711"/>
      <c r="AS6" s="711"/>
      <c r="AT6" s="712"/>
      <c r="AU6" s="711"/>
      <c r="AV6" s="711"/>
      <c r="AW6" s="711"/>
      <c r="AX6" s="712"/>
      <c r="AY6" s="711"/>
      <c r="AZ6" s="711"/>
      <c r="BA6" s="711"/>
      <c r="BB6" s="712"/>
      <c r="BC6" s="711"/>
      <c r="BD6" s="711"/>
      <c r="BE6" s="713"/>
      <c r="BG6" s="1042" t="str">
        <f>IF(IGRF!I15="","",IGRF!I15)</f>
        <v>16</v>
      </c>
      <c r="BH6" s="736"/>
      <c r="BI6" s="737"/>
      <c r="BJ6" s="738"/>
      <c r="BK6" s="738"/>
      <c r="BL6" s="738"/>
      <c r="BM6" s="739"/>
      <c r="BN6" s="740"/>
      <c r="BO6" s="741"/>
      <c r="BP6" s="742"/>
      <c r="BQ6" s="743"/>
      <c r="BR6" s="722"/>
    </row>
    <row r="7" spans="1:70" ht="31.95" customHeight="1" thickBot="1" x14ac:dyDescent="0.35">
      <c r="A7" s="723"/>
      <c r="B7" s="724"/>
      <c r="C7" s="725"/>
      <c r="D7" s="711"/>
      <c r="E7" s="711"/>
      <c r="F7" s="711"/>
      <c r="G7" s="726"/>
      <c r="H7" s="711"/>
      <c r="I7" s="711"/>
      <c r="J7" s="711"/>
      <c r="K7" s="726"/>
      <c r="L7" s="711"/>
      <c r="M7" s="711"/>
      <c r="N7" s="711"/>
      <c r="O7" s="726"/>
      <c r="P7" s="711"/>
      <c r="Q7" s="711"/>
      <c r="R7" s="711"/>
      <c r="S7" s="726"/>
      <c r="T7" s="711"/>
      <c r="U7" s="711"/>
      <c r="V7" s="713"/>
      <c r="X7" s="1043"/>
      <c r="Y7" s="744"/>
      <c r="Z7" s="745"/>
      <c r="AA7" s="746"/>
      <c r="AB7" s="746"/>
      <c r="AC7" s="746"/>
      <c r="AD7" s="747"/>
      <c r="AE7" s="748"/>
      <c r="AF7" s="749"/>
      <c r="AG7" s="750"/>
      <c r="AH7" s="734"/>
      <c r="AI7" s="735"/>
      <c r="AJ7" s="723"/>
      <c r="AK7" s="724"/>
      <c r="AL7" s="725"/>
      <c r="AM7" s="711"/>
      <c r="AN7" s="711"/>
      <c r="AO7" s="711"/>
      <c r="AP7" s="726"/>
      <c r="AQ7" s="711"/>
      <c r="AR7" s="711"/>
      <c r="AS7" s="711"/>
      <c r="AT7" s="726"/>
      <c r="AU7" s="711"/>
      <c r="AV7" s="711"/>
      <c r="AW7" s="711"/>
      <c r="AX7" s="726"/>
      <c r="AY7" s="711"/>
      <c r="AZ7" s="711"/>
      <c r="BA7" s="711"/>
      <c r="BB7" s="726"/>
      <c r="BC7" s="711"/>
      <c r="BD7" s="711"/>
      <c r="BE7" s="713"/>
      <c r="BG7" s="1043"/>
      <c r="BH7" s="744"/>
      <c r="BI7" s="745"/>
      <c r="BJ7" s="746"/>
      <c r="BK7" s="746"/>
      <c r="BL7" s="746"/>
      <c r="BM7" s="747"/>
      <c r="BN7" s="748"/>
      <c r="BO7" s="749"/>
      <c r="BP7" s="750"/>
      <c r="BQ7" s="734"/>
      <c r="BR7" s="735"/>
    </row>
    <row r="8" spans="1:70" ht="31.95" customHeight="1" thickTop="1" thickBot="1" x14ac:dyDescent="0.35">
      <c r="A8" s="708"/>
      <c r="B8" s="709"/>
      <c r="C8" s="710"/>
      <c r="D8" s="711"/>
      <c r="E8" s="711"/>
      <c r="F8" s="711"/>
      <c r="G8" s="712"/>
      <c r="H8" s="711"/>
      <c r="I8" s="711"/>
      <c r="J8" s="711"/>
      <c r="K8" s="712"/>
      <c r="L8" s="711"/>
      <c r="M8" s="711"/>
      <c r="N8" s="711"/>
      <c r="O8" s="712"/>
      <c r="P8" s="711"/>
      <c r="Q8" s="711"/>
      <c r="R8" s="711"/>
      <c r="S8" s="712"/>
      <c r="T8" s="711"/>
      <c r="U8" s="711"/>
      <c r="V8" s="713"/>
      <c r="X8" s="1044" t="str">
        <f>IF(IGRF!B16="","",IGRF!B16)</f>
        <v>1760</v>
      </c>
      <c r="Y8" s="714"/>
      <c r="Z8" s="715"/>
      <c r="AA8" s="716"/>
      <c r="AB8" s="716"/>
      <c r="AC8" s="716"/>
      <c r="AD8" s="717"/>
      <c r="AE8" s="718"/>
      <c r="AF8" s="719"/>
      <c r="AG8" s="720"/>
      <c r="AH8" s="743"/>
      <c r="AI8" s="722"/>
      <c r="AJ8" s="708"/>
      <c r="AK8" s="709"/>
      <c r="AL8" s="710"/>
      <c r="AM8" s="711"/>
      <c r="AN8" s="711"/>
      <c r="AO8" s="711"/>
      <c r="AP8" s="712"/>
      <c r="AQ8" s="711"/>
      <c r="AR8" s="711"/>
      <c r="AS8" s="711"/>
      <c r="AT8" s="712"/>
      <c r="AU8" s="711"/>
      <c r="AV8" s="711"/>
      <c r="AW8" s="711"/>
      <c r="AX8" s="712"/>
      <c r="AY8" s="711"/>
      <c r="AZ8" s="711"/>
      <c r="BA8" s="711"/>
      <c r="BB8" s="712"/>
      <c r="BC8" s="711"/>
      <c r="BD8" s="711"/>
      <c r="BE8" s="713"/>
      <c r="BG8" s="1044" t="str">
        <f>IF(IGRF!I16="","",IGRF!I16)</f>
        <v>17</v>
      </c>
      <c r="BH8" s="714"/>
      <c r="BI8" s="715"/>
      <c r="BJ8" s="716"/>
      <c r="BK8" s="716"/>
      <c r="BL8" s="716"/>
      <c r="BM8" s="717"/>
      <c r="BN8" s="718"/>
      <c r="BO8" s="719"/>
      <c r="BP8" s="720"/>
      <c r="BQ8" s="743"/>
      <c r="BR8" s="722"/>
    </row>
    <row r="9" spans="1:70" ht="31.95" customHeight="1" thickBot="1" x14ac:dyDescent="0.35">
      <c r="A9" s="723"/>
      <c r="B9" s="724"/>
      <c r="C9" s="725"/>
      <c r="D9" s="711"/>
      <c r="E9" s="711"/>
      <c r="F9" s="711"/>
      <c r="G9" s="726"/>
      <c r="H9" s="711"/>
      <c r="I9" s="711"/>
      <c r="J9" s="711"/>
      <c r="K9" s="726"/>
      <c r="L9" s="711"/>
      <c r="M9" s="711"/>
      <c r="N9" s="711"/>
      <c r="O9" s="726"/>
      <c r="P9" s="711"/>
      <c r="Q9" s="711"/>
      <c r="R9" s="711"/>
      <c r="S9" s="726"/>
      <c r="T9" s="711"/>
      <c r="U9" s="711"/>
      <c r="V9" s="713"/>
      <c r="X9" s="1045"/>
      <c r="Y9" s="727"/>
      <c r="Z9" s="728"/>
      <c r="AA9" s="729"/>
      <c r="AB9" s="729"/>
      <c r="AC9" s="729"/>
      <c r="AD9" s="730"/>
      <c r="AE9" s="731"/>
      <c r="AF9" s="732"/>
      <c r="AG9" s="733"/>
      <c r="AH9" s="734"/>
      <c r="AI9" s="735"/>
      <c r="AJ9" s="723"/>
      <c r="AK9" s="724"/>
      <c r="AL9" s="725"/>
      <c r="AM9" s="711"/>
      <c r="AN9" s="711"/>
      <c r="AO9" s="711"/>
      <c r="AP9" s="726"/>
      <c r="AQ9" s="711"/>
      <c r="AR9" s="711"/>
      <c r="AS9" s="711"/>
      <c r="AT9" s="726"/>
      <c r="AU9" s="711"/>
      <c r="AV9" s="711"/>
      <c r="AW9" s="711"/>
      <c r="AX9" s="726"/>
      <c r="AY9" s="711"/>
      <c r="AZ9" s="711"/>
      <c r="BA9" s="711"/>
      <c r="BB9" s="726"/>
      <c r="BC9" s="711"/>
      <c r="BD9" s="711"/>
      <c r="BE9" s="713"/>
      <c r="BG9" s="1045"/>
      <c r="BH9" s="727"/>
      <c r="BI9" s="728"/>
      <c r="BJ9" s="729"/>
      <c r="BK9" s="729"/>
      <c r="BL9" s="729"/>
      <c r="BM9" s="730"/>
      <c r="BN9" s="731"/>
      <c r="BO9" s="732"/>
      <c r="BP9" s="733"/>
      <c r="BQ9" s="734"/>
      <c r="BR9" s="735"/>
    </row>
    <row r="10" spans="1:70" ht="31.95" customHeight="1" thickTop="1" thickBot="1" x14ac:dyDescent="0.35">
      <c r="A10" s="708"/>
      <c r="B10" s="709"/>
      <c r="C10" s="710"/>
      <c r="D10" s="711"/>
      <c r="E10" s="711"/>
      <c r="F10" s="711"/>
      <c r="G10" s="712"/>
      <c r="H10" s="711"/>
      <c r="I10" s="711"/>
      <c r="J10" s="711"/>
      <c r="K10" s="712"/>
      <c r="L10" s="711"/>
      <c r="M10" s="711"/>
      <c r="N10" s="711"/>
      <c r="O10" s="712"/>
      <c r="P10" s="711"/>
      <c r="Q10" s="711"/>
      <c r="R10" s="711"/>
      <c r="S10" s="712"/>
      <c r="T10" s="711"/>
      <c r="U10" s="711"/>
      <c r="V10" s="713"/>
      <c r="X10" s="1042" t="str">
        <f>IF(IGRF!B17="","",IGRF!B17)</f>
        <v>202</v>
      </c>
      <c r="Y10" s="736"/>
      <c r="Z10" s="737"/>
      <c r="AA10" s="738"/>
      <c r="AB10" s="738"/>
      <c r="AC10" s="738"/>
      <c r="AD10" s="739"/>
      <c r="AE10" s="740"/>
      <c r="AF10" s="741"/>
      <c r="AG10" s="742"/>
      <c r="AH10" s="743"/>
      <c r="AI10" s="722"/>
      <c r="AJ10" s="708"/>
      <c r="AK10" s="709"/>
      <c r="AL10" s="710"/>
      <c r="AM10" s="711"/>
      <c r="AN10" s="711"/>
      <c r="AO10" s="711"/>
      <c r="AP10" s="712"/>
      <c r="AQ10" s="711"/>
      <c r="AR10" s="711"/>
      <c r="AS10" s="711"/>
      <c r="AT10" s="712"/>
      <c r="AU10" s="711"/>
      <c r="AV10" s="711"/>
      <c r="AW10" s="711"/>
      <c r="AX10" s="712"/>
      <c r="AY10" s="711"/>
      <c r="AZ10" s="711"/>
      <c r="BA10" s="711"/>
      <c r="BB10" s="712"/>
      <c r="BC10" s="711"/>
      <c r="BD10" s="711"/>
      <c r="BE10" s="713"/>
      <c r="BG10" s="1042" t="str">
        <f>IF(IGRF!I17="","",IGRF!I17)</f>
        <v>2</v>
      </c>
      <c r="BH10" s="736"/>
      <c r="BI10" s="737"/>
      <c r="BJ10" s="738"/>
      <c r="BK10" s="738"/>
      <c r="BL10" s="738"/>
      <c r="BM10" s="739"/>
      <c r="BN10" s="740"/>
      <c r="BO10" s="741"/>
      <c r="BP10" s="742"/>
      <c r="BQ10" s="743"/>
      <c r="BR10" s="722"/>
    </row>
    <row r="11" spans="1:70" ht="31.95" customHeight="1" thickBot="1" x14ac:dyDescent="0.35">
      <c r="A11" s="723"/>
      <c r="B11" s="724"/>
      <c r="C11" s="725"/>
      <c r="D11" s="711"/>
      <c r="E11" s="711"/>
      <c r="F11" s="711"/>
      <c r="G11" s="726"/>
      <c r="H11" s="711"/>
      <c r="I11" s="711"/>
      <c r="J11" s="711"/>
      <c r="K11" s="726"/>
      <c r="L11" s="711"/>
      <c r="M11" s="711"/>
      <c r="N11" s="711"/>
      <c r="O11" s="726"/>
      <c r="P11" s="711"/>
      <c r="Q11" s="711"/>
      <c r="R11" s="711"/>
      <c r="S11" s="726"/>
      <c r="T11" s="711"/>
      <c r="U11" s="711"/>
      <c r="V11" s="713"/>
      <c r="X11" s="1043"/>
      <c r="Y11" s="744"/>
      <c r="Z11" s="745"/>
      <c r="AA11" s="746"/>
      <c r="AB11" s="746"/>
      <c r="AC11" s="746"/>
      <c r="AD11" s="747"/>
      <c r="AE11" s="748"/>
      <c r="AF11" s="749"/>
      <c r="AG11" s="750"/>
      <c r="AH11" s="734"/>
      <c r="AI11" s="735"/>
      <c r="AJ11" s="723"/>
      <c r="AK11" s="724"/>
      <c r="AL11" s="725"/>
      <c r="AM11" s="711"/>
      <c r="AN11" s="711"/>
      <c r="AO11" s="711"/>
      <c r="AP11" s="726"/>
      <c r="AQ11" s="711"/>
      <c r="AR11" s="711"/>
      <c r="AS11" s="711"/>
      <c r="AT11" s="726"/>
      <c r="AU11" s="711"/>
      <c r="AV11" s="711"/>
      <c r="AW11" s="711"/>
      <c r="AX11" s="726"/>
      <c r="AY11" s="711"/>
      <c r="AZ11" s="711"/>
      <c r="BA11" s="711"/>
      <c r="BB11" s="726"/>
      <c r="BC11" s="711"/>
      <c r="BD11" s="711"/>
      <c r="BE11" s="713"/>
      <c r="BG11" s="1043"/>
      <c r="BH11" s="744"/>
      <c r="BI11" s="745"/>
      <c r="BJ11" s="746"/>
      <c r="BK11" s="746"/>
      <c r="BL11" s="746"/>
      <c r="BM11" s="747"/>
      <c r="BN11" s="748"/>
      <c r="BO11" s="749"/>
      <c r="BP11" s="750"/>
      <c r="BQ11" s="734"/>
      <c r="BR11" s="735"/>
    </row>
    <row r="12" spans="1:70" ht="31.95" customHeight="1" thickTop="1" thickBot="1" x14ac:dyDescent="0.35">
      <c r="A12" s="708"/>
      <c r="B12" s="709"/>
      <c r="C12" s="710"/>
      <c r="D12" s="711"/>
      <c r="E12" s="711"/>
      <c r="F12" s="711"/>
      <c r="G12" s="712"/>
      <c r="H12" s="711"/>
      <c r="I12" s="711"/>
      <c r="J12" s="711"/>
      <c r="K12" s="712"/>
      <c r="L12" s="711"/>
      <c r="M12" s="711"/>
      <c r="N12" s="711"/>
      <c r="O12" s="712"/>
      <c r="P12" s="711"/>
      <c r="Q12" s="711"/>
      <c r="R12" s="711"/>
      <c r="S12" s="712"/>
      <c r="T12" s="711"/>
      <c r="U12" s="711"/>
      <c r="V12" s="713"/>
      <c r="X12" s="1044" t="str">
        <f>IF(IGRF!B18="","",IGRF!B18)</f>
        <v>22</v>
      </c>
      <c r="Y12" s="714"/>
      <c r="Z12" s="715"/>
      <c r="AA12" s="716"/>
      <c r="AB12" s="716"/>
      <c r="AC12" s="716"/>
      <c r="AD12" s="717"/>
      <c r="AE12" s="718"/>
      <c r="AF12" s="719"/>
      <c r="AG12" s="720"/>
      <c r="AH12" s="743"/>
      <c r="AI12" s="722"/>
      <c r="AJ12" s="708"/>
      <c r="AK12" s="709"/>
      <c r="AL12" s="710"/>
      <c r="AM12" s="711"/>
      <c r="AN12" s="711"/>
      <c r="AO12" s="711"/>
      <c r="AP12" s="712"/>
      <c r="AQ12" s="711"/>
      <c r="AR12" s="711"/>
      <c r="AS12" s="711"/>
      <c r="AT12" s="712"/>
      <c r="AU12" s="711"/>
      <c r="AV12" s="711"/>
      <c r="AW12" s="711"/>
      <c r="AX12" s="712"/>
      <c r="AY12" s="711"/>
      <c r="AZ12" s="711"/>
      <c r="BA12" s="711"/>
      <c r="BB12" s="712"/>
      <c r="BC12" s="711"/>
      <c r="BD12" s="711"/>
      <c r="BE12" s="713"/>
      <c r="BG12" s="1044" t="str">
        <f>IF(IGRF!I18="","",IGRF!I18)</f>
        <v>219</v>
      </c>
      <c r="BH12" s="714"/>
      <c r="BI12" s="715"/>
      <c r="BJ12" s="716"/>
      <c r="BK12" s="716"/>
      <c r="BL12" s="716"/>
      <c r="BM12" s="717"/>
      <c r="BN12" s="718"/>
      <c r="BO12" s="719"/>
      <c r="BP12" s="720"/>
      <c r="BQ12" s="743"/>
      <c r="BR12" s="722"/>
    </row>
    <row r="13" spans="1:70" ht="31.95" customHeight="1" thickBot="1" x14ac:dyDescent="0.35">
      <c r="A13" s="723"/>
      <c r="B13" s="724"/>
      <c r="C13" s="725"/>
      <c r="D13" s="711"/>
      <c r="E13" s="711"/>
      <c r="F13" s="711"/>
      <c r="G13" s="726"/>
      <c r="H13" s="711"/>
      <c r="I13" s="711"/>
      <c r="J13" s="711"/>
      <c r="K13" s="726"/>
      <c r="L13" s="711"/>
      <c r="M13" s="711"/>
      <c r="N13" s="711"/>
      <c r="O13" s="726"/>
      <c r="P13" s="711"/>
      <c r="Q13" s="711"/>
      <c r="R13" s="711"/>
      <c r="S13" s="726"/>
      <c r="T13" s="711"/>
      <c r="U13" s="711"/>
      <c r="V13" s="713"/>
      <c r="X13" s="1045"/>
      <c r="Y13" s="727"/>
      <c r="Z13" s="728"/>
      <c r="AA13" s="729"/>
      <c r="AB13" s="729"/>
      <c r="AC13" s="729"/>
      <c r="AD13" s="730"/>
      <c r="AE13" s="731"/>
      <c r="AF13" s="732"/>
      <c r="AG13" s="733"/>
      <c r="AH13" s="734"/>
      <c r="AI13" s="735"/>
      <c r="AJ13" s="723"/>
      <c r="AK13" s="724"/>
      <c r="AL13" s="725"/>
      <c r="AM13" s="711"/>
      <c r="AN13" s="711"/>
      <c r="AO13" s="711"/>
      <c r="AP13" s="726"/>
      <c r="AQ13" s="711"/>
      <c r="AR13" s="711"/>
      <c r="AS13" s="711"/>
      <c r="AT13" s="726"/>
      <c r="AU13" s="711"/>
      <c r="AV13" s="711"/>
      <c r="AW13" s="711"/>
      <c r="AX13" s="726"/>
      <c r="AY13" s="711"/>
      <c r="AZ13" s="711"/>
      <c r="BA13" s="711"/>
      <c r="BB13" s="726"/>
      <c r="BC13" s="711"/>
      <c r="BD13" s="711"/>
      <c r="BE13" s="713"/>
      <c r="BG13" s="1045"/>
      <c r="BH13" s="727"/>
      <c r="BI13" s="728"/>
      <c r="BJ13" s="729"/>
      <c r="BK13" s="729"/>
      <c r="BL13" s="729"/>
      <c r="BM13" s="730"/>
      <c r="BN13" s="731"/>
      <c r="BO13" s="732"/>
      <c r="BP13" s="733"/>
      <c r="BQ13" s="734"/>
      <c r="BR13" s="735"/>
    </row>
    <row r="14" spans="1:70" ht="31.95" customHeight="1" thickTop="1" thickBot="1" x14ac:dyDescent="0.35">
      <c r="A14" s="708"/>
      <c r="B14" s="709"/>
      <c r="C14" s="710"/>
      <c r="D14" s="711"/>
      <c r="E14" s="711"/>
      <c r="F14" s="711"/>
      <c r="G14" s="712"/>
      <c r="H14" s="711"/>
      <c r="I14" s="711"/>
      <c r="J14" s="711"/>
      <c r="K14" s="712"/>
      <c r="L14" s="711"/>
      <c r="M14" s="711"/>
      <c r="N14" s="711"/>
      <c r="O14" s="712"/>
      <c r="P14" s="711"/>
      <c r="Q14" s="711"/>
      <c r="R14" s="711"/>
      <c r="S14" s="712"/>
      <c r="T14" s="711"/>
      <c r="U14" s="711"/>
      <c r="V14" s="713"/>
      <c r="X14" s="1042" t="str">
        <f>IF(IGRF!B19="","",IGRF!B19)</f>
        <v>221*</v>
      </c>
      <c r="Y14" s="736"/>
      <c r="Z14" s="737"/>
      <c r="AA14" s="738"/>
      <c r="AB14" s="738"/>
      <c r="AC14" s="738"/>
      <c r="AD14" s="739"/>
      <c r="AE14" s="740"/>
      <c r="AF14" s="741"/>
      <c r="AG14" s="742"/>
      <c r="AH14" s="743"/>
      <c r="AI14" s="722"/>
      <c r="AJ14" s="708"/>
      <c r="AK14" s="709"/>
      <c r="AL14" s="710"/>
      <c r="AM14" s="711"/>
      <c r="AN14" s="711"/>
      <c r="AO14" s="711"/>
      <c r="AP14" s="712"/>
      <c r="AQ14" s="711"/>
      <c r="AR14" s="711"/>
      <c r="AS14" s="711"/>
      <c r="AT14" s="712"/>
      <c r="AU14" s="711"/>
      <c r="AV14" s="711"/>
      <c r="AW14" s="711"/>
      <c r="AX14" s="712"/>
      <c r="AY14" s="711"/>
      <c r="AZ14" s="711"/>
      <c r="BA14" s="711"/>
      <c r="BB14" s="712"/>
      <c r="BC14" s="711"/>
      <c r="BD14" s="711"/>
      <c r="BE14" s="713"/>
      <c r="BG14" s="1042" t="str">
        <f>IF(IGRF!I19="","",IGRF!I19)</f>
        <v>22</v>
      </c>
      <c r="BH14" s="736"/>
      <c r="BI14" s="737"/>
      <c r="BJ14" s="738"/>
      <c r="BK14" s="738"/>
      <c r="BL14" s="738"/>
      <c r="BM14" s="739"/>
      <c r="BN14" s="740"/>
      <c r="BO14" s="741"/>
      <c r="BP14" s="742"/>
      <c r="BQ14" s="743"/>
      <c r="BR14" s="722"/>
    </row>
    <row r="15" spans="1:70" ht="31.95" customHeight="1" thickBot="1" x14ac:dyDescent="0.35">
      <c r="A15" s="723"/>
      <c r="B15" s="724"/>
      <c r="C15" s="725"/>
      <c r="D15" s="711"/>
      <c r="E15" s="711"/>
      <c r="F15" s="711"/>
      <c r="G15" s="726"/>
      <c r="H15" s="711"/>
      <c r="I15" s="711"/>
      <c r="J15" s="711"/>
      <c r="K15" s="726"/>
      <c r="L15" s="711"/>
      <c r="M15" s="711"/>
      <c r="N15" s="711"/>
      <c r="O15" s="726"/>
      <c r="P15" s="711"/>
      <c r="Q15" s="711"/>
      <c r="R15" s="711"/>
      <c r="S15" s="726"/>
      <c r="T15" s="711"/>
      <c r="U15" s="711"/>
      <c r="V15" s="713"/>
      <c r="X15" s="1043"/>
      <c r="Y15" s="744"/>
      <c r="Z15" s="745"/>
      <c r="AA15" s="746"/>
      <c r="AB15" s="746"/>
      <c r="AC15" s="746"/>
      <c r="AD15" s="747"/>
      <c r="AE15" s="748"/>
      <c r="AF15" s="749"/>
      <c r="AG15" s="750"/>
      <c r="AH15" s="734"/>
      <c r="AI15" s="735"/>
      <c r="AJ15" s="723"/>
      <c r="AK15" s="724"/>
      <c r="AL15" s="725"/>
      <c r="AM15" s="711"/>
      <c r="AN15" s="711"/>
      <c r="AO15" s="711"/>
      <c r="AP15" s="726"/>
      <c r="AQ15" s="711"/>
      <c r="AR15" s="711"/>
      <c r="AS15" s="711"/>
      <c r="AT15" s="726"/>
      <c r="AU15" s="711"/>
      <c r="AV15" s="711"/>
      <c r="AW15" s="711"/>
      <c r="AX15" s="726"/>
      <c r="AY15" s="711"/>
      <c r="AZ15" s="711"/>
      <c r="BA15" s="711"/>
      <c r="BB15" s="726"/>
      <c r="BC15" s="711"/>
      <c r="BD15" s="711"/>
      <c r="BE15" s="713"/>
      <c r="BG15" s="1043"/>
      <c r="BH15" s="744"/>
      <c r="BI15" s="745"/>
      <c r="BJ15" s="746"/>
      <c r="BK15" s="746"/>
      <c r="BL15" s="746"/>
      <c r="BM15" s="747"/>
      <c r="BN15" s="748"/>
      <c r="BO15" s="749"/>
      <c r="BP15" s="750"/>
      <c r="BQ15" s="734"/>
      <c r="BR15" s="735"/>
    </row>
    <row r="16" spans="1:70" ht="31.95" customHeight="1" thickTop="1" thickBot="1" x14ac:dyDescent="0.35">
      <c r="A16" s="708"/>
      <c r="B16" s="709"/>
      <c r="C16" s="710"/>
      <c r="D16" s="711"/>
      <c r="E16" s="711"/>
      <c r="F16" s="711"/>
      <c r="G16" s="712"/>
      <c r="H16" s="711"/>
      <c r="I16" s="711"/>
      <c r="J16" s="711"/>
      <c r="K16" s="712"/>
      <c r="L16" s="711"/>
      <c r="M16" s="711"/>
      <c r="N16" s="711"/>
      <c r="O16" s="712"/>
      <c r="P16" s="711"/>
      <c r="Q16" s="711"/>
      <c r="R16" s="711"/>
      <c r="S16" s="712"/>
      <c r="T16" s="711"/>
      <c r="U16" s="711"/>
      <c r="V16" s="713"/>
      <c r="X16" s="1044" t="str">
        <f>IF(IGRF!B20="","",IGRF!B20)</f>
        <v>229</v>
      </c>
      <c r="Y16" s="714"/>
      <c r="Z16" s="715"/>
      <c r="AA16" s="716"/>
      <c r="AB16" s="716"/>
      <c r="AC16" s="716"/>
      <c r="AD16" s="717"/>
      <c r="AE16" s="718"/>
      <c r="AF16" s="719"/>
      <c r="AG16" s="720"/>
      <c r="AH16" s="743"/>
      <c r="AI16" s="722"/>
      <c r="AJ16" s="708"/>
      <c r="AK16" s="709"/>
      <c r="AL16" s="710"/>
      <c r="AM16" s="711"/>
      <c r="AN16" s="711"/>
      <c r="AO16" s="711"/>
      <c r="AP16" s="712"/>
      <c r="AQ16" s="711"/>
      <c r="AR16" s="711"/>
      <c r="AS16" s="711"/>
      <c r="AT16" s="712"/>
      <c r="AU16" s="711"/>
      <c r="AV16" s="711"/>
      <c r="AW16" s="711"/>
      <c r="AX16" s="712"/>
      <c r="AY16" s="711"/>
      <c r="AZ16" s="711"/>
      <c r="BA16" s="711"/>
      <c r="BB16" s="712"/>
      <c r="BC16" s="711"/>
      <c r="BD16" s="711"/>
      <c r="BE16" s="713"/>
      <c r="BG16" s="1044" t="str">
        <f>IF(IGRF!I20="","",IGRF!I20)</f>
        <v>223</v>
      </c>
      <c r="BH16" s="714"/>
      <c r="BI16" s="715"/>
      <c r="BJ16" s="716"/>
      <c r="BK16" s="716"/>
      <c r="BL16" s="716"/>
      <c r="BM16" s="717"/>
      <c r="BN16" s="718"/>
      <c r="BO16" s="719"/>
      <c r="BP16" s="720"/>
      <c r="BQ16" s="743"/>
      <c r="BR16" s="722"/>
    </row>
    <row r="17" spans="1:70" ht="31.95" customHeight="1" thickBot="1" x14ac:dyDescent="0.35">
      <c r="A17" s="723"/>
      <c r="B17" s="724"/>
      <c r="C17" s="725"/>
      <c r="D17" s="711"/>
      <c r="E17" s="711"/>
      <c r="F17" s="711"/>
      <c r="G17" s="726"/>
      <c r="H17" s="711"/>
      <c r="I17" s="711"/>
      <c r="J17" s="711"/>
      <c r="K17" s="726"/>
      <c r="L17" s="711"/>
      <c r="M17" s="711"/>
      <c r="N17" s="711"/>
      <c r="O17" s="726"/>
      <c r="P17" s="711"/>
      <c r="Q17" s="711"/>
      <c r="R17" s="711"/>
      <c r="S17" s="726"/>
      <c r="T17" s="711"/>
      <c r="U17" s="711"/>
      <c r="V17" s="713"/>
      <c r="X17" s="1045"/>
      <c r="Y17" s="727"/>
      <c r="Z17" s="728"/>
      <c r="AA17" s="729"/>
      <c r="AB17" s="729"/>
      <c r="AC17" s="729"/>
      <c r="AD17" s="730"/>
      <c r="AE17" s="731"/>
      <c r="AF17" s="732"/>
      <c r="AG17" s="733"/>
      <c r="AH17" s="734"/>
      <c r="AI17" s="735"/>
      <c r="AJ17" s="723"/>
      <c r="AK17" s="724"/>
      <c r="AL17" s="725"/>
      <c r="AM17" s="711"/>
      <c r="AN17" s="711"/>
      <c r="AO17" s="711"/>
      <c r="AP17" s="726"/>
      <c r="AQ17" s="711"/>
      <c r="AR17" s="711"/>
      <c r="AS17" s="711"/>
      <c r="AT17" s="726"/>
      <c r="AU17" s="711"/>
      <c r="AV17" s="711"/>
      <c r="AW17" s="711"/>
      <c r="AX17" s="726"/>
      <c r="AY17" s="711"/>
      <c r="AZ17" s="711"/>
      <c r="BA17" s="711"/>
      <c r="BB17" s="726"/>
      <c r="BC17" s="711"/>
      <c r="BD17" s="711"/>
      <c r="BE17" s="713"/>
      <c r="BG17" s="1045"/>
      <c r="BH17" s="727"/>
      <c r="BI17" s="728"/>
      <c r="BJ17" s="729"/>
      <c r="BK17" s="729"/>
      <c r="BL17" s="729"/>
      <c r="BM17" s="730"/>
      <c r="BN17" s="731"/>
      <c r="BO17" s="732"/>
      <c r="BP17" s="733"/>
      <c r="BQ17" s="734"/>
      <c r="BR17" s="735"/>
    </row>
    <row r="18" spans="1:70" ht="31.95" customHeight="1" thickTop="1" thickBot="1" x14ac:dyDescent="0.35">
      <c r="A18" s="708"/>
      <c r="B18" s="709"/>
      <c r="C18" s="710"/>
      <c r="D18" s="711"/>
      <c r="E18" s="711"/>
      <c r="F18" s="711"/>
      <c r="G18" s="712"/>
      <c r="H18" s="711"/>
      <c r="I18" s="711"/>
      <c r="J18" s="711"/>
      <c r="K18" s="712"/>
      <c r="L18" s="711"/>
      <c r="M18" s="711"/>
      <c r="N18" s="711"/>
      <c r="O18" s="712"/>
      <c r="P18" s="711"/>
      <c r="Q18" s="711"/>
      <c r="R18" s="711"/>
      <c r="S18" s="712"/>
      <c r="T18" s="711"/>
      <c r="U18" s="711"/>
      <c r="V18" s="713"/>
      <c r="X18" s="1042" t="str">
        <f>IF(IGRF!B21="","",IGRF!B21)</f>
        <v>237</v>
      </c>
      <c r="Y18" s="736"/>
      <c r="Z18" s="737"/>
      <c r="AA18" s="738"/>
      <c r="AB18" s="738"/>
      <c r="AC18" s="738"/>
      <c r="AD18" s="739"/>
      <c r="AE18" s="740"/>
      <c r="AF18" s="741"/>
      <c r="AG18" s="742"/>
      <c r="AH18" s="743"/>
      <c r="AI18" s="722"/>
      <c r="AJ18" s="708"/>
      <c r="AK18" s="709"/>
      <c r="AL18" s="710"/>
      <c r="AM18" s="711"/>
      <c r="AN18" s="711"/>
      <c r="AO18" s="711"/>
      <c r="AP18" s="712"/>
      <c r="AQ18" s="711"/>
      <c r="AR18" s="711"/>
      <c r="AS18" s="711"/>
      <c r="AT18" s="712"/>
      <c r="AU18" s="711"/>
      <c r="AV18" s="711"/>
      <c r="AW18" s="711"/>
      <c r="AX18" s="712"/>
      <c r="AY18" s="711"/>
      <c r="AZ18" s="711"/>
      <c r="BA18" s="711"/>
      <c r="BB18" s="712"/>
      <c r="BC18" s="711"/>
      <c r="BD18" s="711"/>
      <c r="BE18" s="713"/>
      <c r="BG18" s="1042" t="str">
        <f>IF(IGRF!I21="","",IGRF!I21)</f>
        <v>23</v>
      </c>
      <c r="BH18" s="736"/>
      <c r="BI18" s="737"/>
      <c r="BJ18" s="738"/>
      <c r="BK18" s="738"/>
      <c r="BL18" s="738"/>
      <c r="BM18" s="739"/>
      <c r="BN18" s="740"/>
      <c r="BO18" s="741"/>
      <c r="BP18" s="742"/>
      <c r="BQ18" s="743"/>
      <c r="BR18" s="722"/>
    </row>
    <row r="19" spans="1:70" ht="31.95" customHeight="1" thickBot="1" x14ac:dyDescent="0.35">
      <c r="A19" s="723"/>
      <c r="B19" s="724"/>
      <c r="C19" s="725"/>
      <c r="D19" s="711"/>
      <c r="E19" s="711"/>
      <c r="F19" s="711"/>
      <c r="G19" s="726"/>
      <c r="H19" s="711"/>
      <c r="I19" s="711"/>
      <c r="J19" s="711"/>
      <c r="K19" s="726"/>
      <c r="L19" s="711"/>
      <c r="M19" s="711"/>
      <c r="N19" s="711"/>
      <c r="O19" s="726"/>
      <c r="P19" s="711"/>
      <c r="Q19" s="711"/>
      <c r="R19" s="711"/>
      <c r="S19" s="726"/>
      <c r="T19" s="711"/>
      <c r="U19" s="711"/>
      <c r="V19" s="713"/>
      <c r="X19" s="1043"/>
      <c r="Y19" s="744"/>
      <c r="Z19" s="745"/>
      <c r="AA19" s="746"/>
      <c r="AB19" s="746"/>
      <c r="AC19" s="746"/>
      <c r="AD19" s="747"/>
      <c r="AE19" s="748"/>
      <c r="AF19" s="749"/>
      <c r="AG19" s="750"/>
      <c r="AH19" s="734"/>
      <c r="AI19" s="735"/>
      <c r="AJ19" s="723"/>
      <c r="AK19" s="724"/>
      <c r="AL19" s="725"/>
      <c r="AM19" s="711"/>
      <c r="AN19" s="711"/>
      <c r="AO19" s="711"/>
      <c r="AP19" s="726"/>
      <c r="AQ19" s="711"/>
      <c r="AR19" s="711"/>
      <c r="AS19" s="711"/>
      <c r="AT19" s="726"/>
      <c r="AU19" s="711"/>
      <c r="AV19" s="711"/>
      <c r="AW19" s="711"/>
      <c r="AX19" s="726"/>
      <c r="AY19" s="711"/>
      <c r="AZ19" s="711"/>
      <c r="BA19" s="711"/>
      <c r="BB19" s="726"/>
      <c r="BC19" s="711"/>
      <c r="BD19" s="711"/>
      <c r="BE19" s="713"/>
      <c r="BG19" s="1043"/>
      <c r="BH19" s="744"/>
      <c r="BI19" s="745"/>
      <c r="BJ19" s="746"/>
      <c r="BK19" s="746"/>
      <c r="BL19" s="746"/>
      <c r="BM19" s="747"/>
      <c r="BN19" s="748"/>
      <c r="BO19" s="749"/>
      <c r="BP19" s="750"/>
      <c r="BQ19" s="734"/>
      <c r="BR19" s="735"/>
    </row>
    <row r="20" spans="1:70" ht="31.95" customHeight="1" thickTop="1" thickBot="1" x14ac:dyDescent="0.35">
      <c r="A20" s="708"/>
      <c r="B20" s="709"/>
      <c r="C20" s="710"/>
      <c r="D20" s="711"/>
      <c r="E20" s="711"/>
      <c r="F20" s="711"/>
      <c r="G20" s="712"/>
      <c r="H20" s="711"/>
      <c r="I20" s="711"/>
      <c r="J20" s="711"/>
      <c r="K20" s="712"/>
      <c r="L20" s="711"/>
      <c r="M20" s="711"/>
      <c r="N20" s="711"/>
      <c r="O20" s="712"/>
      <c r="P20" s="711"/>
      <c r="Q20" s="711"/>
      <c r="R20" s="711"/>
      <c r="S20" s="712"/>
      <c r="T20" s="711"/>
      <c r="U20" s="711"/>
      <c r="V20" s="713"/>
      <c r="X20" s="1044" t="str">
        <f>IF(IGRF!B22="","",IGRF!B22)</f>
        <v>282*</v>
      </c>
      <c r="Y20" s="714"/>
      <c r="Z20" s="715"/>
      <c r="AA20" s="716"/>
      <c r="AB20" s="716"/>
      <c r="AC20" s="716"/>
      <c r="AD20" s="717"/>
      <c r="AE20" s="718"/>
      <c r="AF20" s="719"/>
      <c r="AG20" s="720"/>
      <c r="AH20" s="743"/>
      <c r="AI20" s="722"/>
      <c r="AJ20" s="708"/>
      <c r="AK20" s="709"/>
      <c r="AL20" s="710"/>
      <c r="AM20" s="711"/>
      <c r="AN20" s="711"/>
      <c r="AO20" s="711"/>
      <c r="AP20" s="712"/>
      <c r="AQ20" s="711"/>
      <c r="AR20" s="711"/>
      <c r="AS20" s="711"/>
      <c r="AT20" s="712"/>
      <c r="AU20" s="711"/>
      <c r="AV20" s="711"/>
      <c r="AW20" s="711"/>
      <c r="AX20" s="712"/>
      <c r="AY20" s="711"/>
      <c r="AZ20" s="711"/>
      <c r="BA20" s="711"/>
      <c r="BB20" s="712"/>
      <c r="BC20" s="711"/>
      <c r="BD20" s="711"/>
      <c r="BE20" s="713"/>
      <c r="BG20" s="1044" t="str">
        <f>IF(IGRF!I22="","",IGRF!I22)</f>
        <v>25</v>
      </c>
      <c r="BH20" s="714"/>
      <c r="BI20" s="715"/>
      <c r="BJ20" s="716"/>
      <c r="BK20" s="716"/>
      <c r="BL20" s="716"/>
      <c r="BM20" s="717"/>
      <c r="BN20" s="718"/>
      <c r="BO20" s="719"/>
      <c r="BP20" s="720"/>
      <c r="BQ20" s="743"/>
      <c r="BR20" s="722"/>
    </row>
    <row r="21" spans="1:70" ht="31.95" customHeight="1" thickBot="1" x14ac:dyDescent="0.35">
      <c r="A21" s="723"/>
      <c r="B21" s="724"/>
      <c r="C21" s="725"/>
      <c r="D21" s="711"/>
      <c r="E21" s="711"/>
      <c r="F21" s="711"/>
      <c r="G21" s="726"/>
      <c r="H21" s="711"/>
      <c r="I21" s="711"/>
      <c r="J21" s="711"/>
      <c r="K21" s="726"/>
      <c r="L21" s="711"/>
      <c r="M21" s="711"/>
      <c r="N21" s="711"/>
      <c r="O21" s="726"/>
      <c r="P21" s="711"/>
      <c r="Q21" s="711"/>
      <c r="R21" s="711"/>
      <c r="S21" s="726"/>
      <c r="T21" s="711"/>
      <c r="U21" s="711"/>
      <c r="V21" s="713"/>
      <c r="X21" s="1045"/>
      <c r="Y21" s="727"/>
      <c r="Z21" s="728"/>
      <c r="AA21" s="729"/>
      <c r="AB21" s="729"/>
      <c r="AC21" s="729"/>
      <c r="AD21" s="730"/>
      <c r="AE21" s="731"/>
      <c r="AF21" s="732"/>
      <c r="AG21" s="733"/>
      <c r="AH21" s="734"/>
      <c r="AI21" s="735"/>
      <c r="AJ21" s="723"/>
      <c r="AK21" s="724"/>
      <c r="AL21" s="725"/>
      <c r="AM21" s="711"/>
      <c r="AN21" s="711"/>
      <c r="AO21" s="711"/>
      <c r="AP21" s="726"/>
      <c r="AQ21" s="711"/>
      <c r="AR21" s="711"/>
      <c r="AS21" s="711"/>
      <c r="AT21" s="726"/>
      <c r="AU21" s="711"/>
      <c r="AV21" s="711"/>
      <c r="AW21" s="711"/>
      <c r="AX21" s="726"/>
      <c r="AY21" s="711"/>
      <c r="AZ21" s="711"/>
      <c r="BA21" s="711"/>
      <c r="BB21" s="726"/>
      <c r="BC21" s="711"/>
      <c r="BD21" s="711"/>
      <c r="BE21" s="713"/>
      <c r="BG21" s="1045"/>
      <c r="BH21" s="727"/>
      <c r="BI21" s="728"/>
      <c r="BJ21" s="729"/>
      <c r="BK21" s="729"/>
      <c r="BL21" s="729"/>
      <c r="BM21" s="730"/>
      <c r="BN21" s="731"/>
      <c r="BO21" s="732"/>
      <c r="BP21" s="733"/>
      <c r="BQ21" s="734"/>
      <c r="BR21" s="735"/>
    </row>
    <row r="22" spans="1:70" ht="31.95" customHeight="1" thickTop="1" thickBot="1" x14ac:dyDescent="0.35">
      <c r="A22" s="708"/>
      <c r="B22" s="709"/>
      <c r="C22" s="710"/>
      <c r="D22" s="711"/>
      <c r="E22" s="711"/>
      <c r="F22" s="711"/>
      <c r="G22" s="712"/>
      <c r="H22" s="711"/>
      <c r="I22" s="711"/>
      <c r="J22" s="711"/>
      <c r="K22" s="712"/>
      <c r="L22" s="711"/>
      <c r="M22" s="711"/>
      <c r="N22" s="711"/>
      <c r="O22" s="712"/>
      <c r="P22" s="711"/>
      <c r="Q22" s="711"/>
      <c r="R22" s="711"/>
      <c r="S22" s="712"/>
      <c r="T22" s="711"/>
      <c r="U22" s="711"/>
      <c r="V22" s="713"/>
      <c r="X22" s="1042" t="str">
        <f>IF(IGRF!B23="","",IGRF!B23)</f>
        <v>337</v>
      </c>
      <c r="Y22" s="736"/>
      <c r="Z22" s="737"/>
      <c r="AA22" s="738"/>
      <c r="AB22" s="738"/>
      <c r="AC22" s="738"/>
      <c r="AD22" s="739"/>
      <c r="AE22" s="740"/>
      <c r="AF22" s="741"/>
      <c r="AG22" s="742"/>
      <c r="AH22" s="743"/>
      <c r="AI22" s="722"/>
      <c r="AJ22" s="708"/>
      <c r="AK22" s="709"/>
      <c r="AL22" s="710"/>
      <c r="AM22" s="711"/>
      <c r="AN22" s="711"/>
      <c r="AO22" s="711"/>
      <c r="AP22" s="712"/>
      <c r="AQ22" s="711"/>
      <c r="AR22" s="711"/>
      <c r="AS22" s="711"/>
      <c r="AT22" s="712"/>
      <c r="AU22" s="711"/>
      <c r="AV22" s="711"/>
      <c r="AW22" s="711"/>
      <c r="AX22" s="712"/>
      <c r="AY22" s="711"/>
      <c r="AZ22" s="711"/>
      <c r="BA22" s="711"/>
      <c r="BB22" s="712"/>
      <c r="BC22" s="711"/>
      <c r="BD22" s="711"/>
      <c r="BE22" s="713"/>
      <c r="BG22" s="1042" t="str">
        <f>IF(IGRF!I23="","",IGRF!I23)</f>
        <v>26</v>
      </c>
      <c r="BH22" s="736"/>
      <c r="BI22" s="737"/>
      <c r="BJ22" s="738"/>
      <c r="BK22" s="738"/>
      <c r="BL22" s="738"/>
      <c r="BM22" s="739"/>
      <c r="BN22" s="740"/>
      <c r="BO22" s="741"/>
      <c r="BP22" s="742"/>
      <c r="BQ22" s="743"/>
      <c r="BR22" s="722"/>
    </row>
    <row r="23" spans="1:70" ht="31.95" customHeight="1" thickBot="1" x14ac:dyDescent="0.35">
      <c r="A23" s="723"/>
      <c r="B23" s="724"/>
      <c r="C23" s="725"/>
      <c r="D23" s="711"/>
      <c r="E23" s="711"/>
      <c r="F23" s="711"/>
      <c r="G23" s="726"/>
      <c r="H23" s="711"/>
      <c r="I23" s="711"/>
      <c r="J23" s="711"/>
      <c r="K23" s="726"/>
      <c r="L23" s="711"/>
      <c r="M23" s="711"/>
      <c r="N23" s="711"/>
      <c r="O23" s="726"/>
      <c r="P23" s="711"/>
      <c r="Q23" s="711"/>
      <c r="R23" s="711"/>
      <c r="S23" s="726"/>
      <c r="T23" s="711"/>
      <c r="U23" s="711"/>
      <c r="V23" s="713"/>
      <c r="X23" s="1043"/>
      <c r="Y23" s="744"/>
      <c r="Z23" s="745"/>
      <c r="AA23" s="746"/>
      <c r="AB23" s="746"/>
      <c r="AC23" s="746"/>
      <c r="AD23" s="747"/>
      <c r="AE23" s="748"/>
      <c r="AF23" s="749"/>
      <c r="AG23" s="750"/>
      <c r="AH23" s="734"/>
      <c r="AI23" s="735"/>
      <c r="AJ23" s="723"/>
      <c r="AK23" s="724"/>
      <c r="AL23" s="725"/>
      <c r="AM23" s="711"/>
      <c r="AN23" s="711"/>
      <c r="AO23" s="711"/>
      <c r="AP23" s="726"/>
      <c r="AQ23" s="711"/>
      <c r="AR23" s="711"/>
      <c r="AS23" s="711"/>
      <c r="AT23" s="726"/>
      <c r="AU23" s="711"/>
      <c r="AV23" s="711"/>
      <c r="AW23" s="711"/>
      <c r="AX23" s="726"/>
      <c r="AY23" s="711"/>
      <c r="AZ23" s="711"/>
      <c r="BA23" s="711"/>
      <c r="BB23" s="726"/>
      <c r="BC23" s="711"/>
      <c r="BD23" s="711"/>
      <c r="BE23" s="713"/>
      <c r="BG23" s="1043"/>
      <c r="BH23" s="744"/>
      <c r="BI23" s="745"/>
      <c r="BJ23" s="746"/>
      <c r="BK23" s="746"/>
      <c r="BL23" s="746"/>
      <c r="BM23" s="747"/>
      <c r="BN23" s="748"/>
      <c r="BO23" s="749"/>
      <c r="BP23" s="750"/>
      <c r="BQ23" s="734"/>
      <c r="BR23" s="735"/>
    </row>
    <row r="24" spans="1:70" ht="31.95" customHeight="1" thickTop="1" thickBot="1" x14ac:dyDescent="0.35">
      <c r="A24" s="708"/>
      <c r="B24" s="709"/>
      <c r="C24" s="710"/>
      <c r="D24" s="711"/>
      <c r="E24" s="711"/>
      <c r="F24" s="711"/>
      <c r="G24" s="712"/>
      <c r="H24" s="711"/>
      <c r="I24" s="711"/>
      <c r="J24" s="711"/>
      <c r="K24" s="712"/>
      <c r="L24" s="711"/>
      <c r="M24" s="711"/>
      <c r="N24" s="711"/>
      <c r="O24" s="712"/>
      <c r="P24" s="711"/>
      <c r="Q24" s="711"/>
      <c r="R24" s="711"/>
      <c r="S24" s="712"/>
      <c r="T24" s="711"/>
      <c r="U24" s="711"/>
      <c r="V24" s="713"/>
      <c r="X24" s="1044" t="str">
        <f>IF(IGRF!B24="","",IGRF!B24)</f>
        <v>352</v>
      </c>
      <c r="Y24" s="714"/>
      <c r="Z24" s="715"/>
      <c r="AA24" s="716"/>
      <c r="AB24" s="716"/>
      <c r="AC24" s="716"/>
      <c r="AD24" s="717"/>
      <c r="AE24" s="718"/>
      <c r="AF24" s="719"/>
      <c r="AG24" s="720"/>
      <c r="AH24" s="743"/>
      <c r="AI24" s="722"/>
      <c r="AJ24" s="708"/>
      <c r="AK24" s="709"/>
      <c r="AL24" s="710"/>
      <c r="AM24" s="711"/>
      <c r="AN24" s="711"/>
      <c r="AO24" s="711"/>
      <c r="AP24" s="712"/>
      <c r="AQ24" s="711"/>
      <c r="AR24" s="711"/>
      <c r="AS24" s="711"/>
      <c r="AT24" s="712"/>
      <c r="AU24" s="711"/>
      <c r="AV24" s="711"/>
      <c r="AW24" s="711"/>
      <c r="AX24" s="712"/>
      <c r="AY24" s="711"/>
      <c r="AZ24" s="711"/>
      <c r="BA24" s="711"/>
      <c r="BB24" s="712"/>
      <c r="BC24" s="711"/>
      <c r="BD24" s="711"/>
      <c r="BE24" s="713"/>
      <c r="BG24" s="1044" t="str">
        <f>IF(IGRF!I24="","",IGRF!I24)</f>
        <v>49</v>
      </c>
      <c r="BH24" s="714"/>
      <c r="BI24" s="715"/>
      <c r="BJ24" s="716"/>
      <c r="BK24" s="716"/>
      <c r="BL24" s="716"/>
      <c r="BM24" s="717"/>
      <c r="BN24" s="718"/>
      <c r="BO24" s="719"/>
      <c r="BP24" s="720"/>
      <c r="BQ24" s="743"/>
      <c r="BR24" s="722"/>
    </row>
    <row r="25" spans="1:70" ht="31.95" customHeight="1" thickBot="1" x14ac:dyDescent="0.35">
      <c r="A25" s="723"/>
      <c r="B25" s="724"/>
      <c r="C25" s="725"/>
      <c r="D25" s="711"/>
      <c r="E25" s="711"/>
      <c r="F25" s="711"/>
      <c r="G25" s="726"/>
      <c r="H25" s="711"/>
      <c r="I25" s="711"/>
      <c r="J25" s="711"/>
      <c r="K25" s="726"/>
      <c r="L25" s="711"/>
      <c r="M25" s="711"/>
      <c r="N25" s="711"/>
      <c r="O25" s="726"/>
      <c r="P25" s="711"/>
      <c r="Q25" s="711"/>
      <c r="R25" s="711"/>
      <c r="S25" s="726"/>
      <c r="T25" s="711"/>
      <c r="U25" s="711"/>
      <c r="V25" s="713"/>
      <c r="X25" s="1045"/>
      <c r="Y25" s="727"/>
      <c r="Z25" s="728"/>
      <c r="AA25" s="729"/>
      <c r="AB25" s="729"/>
      <c r="AC25" s="729"/>
      <c r="AD25" s="730"/>
      <c r="AE25" s="731"/>
      <c r="AF25" s="732"/>
      <c r="AG25" s="733"/>
      <c r="AH25" s="734"/>
      <c r="AI25" s="735"/>
      <c r="AJ25" s="723"/>
      <c r="AK25" s="724"/>
      <c r="AL25" s="725"/>
      <c r="AM25" s="711"/>
      <c r="AN25" s="711"/>
      <c r="AO25" s="711"/>
      <c r="AP25" s="726"/>
      <c r="AQ25" s="711"/>
      <c r="AR25" s="711"/>
      <c r="AS25" s="711"/>
      <c r="AT25" s="726"/>
      <c r="AU25" s="711"/>
      <c r="AV25" s="711"/>
      <c r="AW25" s="711"/>
      <c r="AX25" s="726"/>
      <c r="AY25" s="711"/>
      <c r="AZ25" s="711"/>
      <c r="BA25" s="711"/>
      <c r="BB25" s="726"/>
      <c r="BC25" s="711"/>
      <c r="BD25" s="711"/>
      <c r="BE25" s="713"/>
      <c r="BG25" s="1045"/>
      <c r="BH25" s="727"/>
      <c r="BI25" s="728"/>
      <c r="BJ25" s="729"/>
      <c r="BK25" s="729"/>
      <c r="BL25" s="729"/>
      <c r="BM25" s="730"/>
      <c r="BN25" s="731"/>
      <c r="BO25" s="732"/>
      <c r="BP25" s="733"/>
      <c r="BQ25" s="734"/>
      <c r="BR25" s="735"/>
    </row>
    <row r="26" spans="1:70" ht="31.95" customHeight="1" thickTop="1" thickBot="1" x14ac:dyDescent="0.35">
      <c r="A26" s="708"/>
      <c r="B26" s="709"/>
      <c r="C26" s="710"/>
      <c r="D26" s="711"/>
      <c r="E26" s="711"/>
      <c r="F26" s="711"/>
      <c r="G26" s="712"/>
      <c r="H26" s="711"/>
      <c r="I26" s="711"/>
      <c r="J26" s="711"/>
      <c r="K26" s="712"/>
      <c r="L26" s="711"/>
      <c r="M26" s="711"/>
      <c r="N26" s="711"/>
      <c r="O26" s="712"/>
      <c r="P26" s="711"/>
      <c r="Q26" s="711"/>
      <c r="R26" s="711"/>
      <c r="S26" s="712"/>
      <c r="T26" s="711"/>
      <c r="U26" s="711"/>
      <c r="V26" s="713"/>
      <c r="X26" s="1042" t="str">
        <f>IF(IGRF!B25="","",IGRF!B25)</f>
        <v>36</v>
      </c>
      <c r="Y26" s="736"/>
      <c r="Z26" s="737"/>
      <c r="AA26" s="738"/>
      <c r="AB26" s="738"/>
      <c r="AC26" s="738"/>
      <c r="AD26" s="739"/>
      <c r="AE26" s="740"/>
      <c r="AF26" s="741"/>
      <c r="AG26" s="742"/>
      <c r="AH26" s="743"/>
      <c r="AI26" s="722"/>
      <c r="AJ26" s="708"/>
      <c r="AK26" s="709"/>
      <c r="AL26" s="710"/>
      <c r="AM26" s="711"/>
      <c r="AN26" s="711"/>
      <c r="AO26" s="711"/>
      <c r="AP26" s="712"/>
      <c r="AQ26" s="711"/>
      <c r="AR26" s="711"/>
      <c r="AS26" s="711"/>
      <c r="AT26" s="712"/>
      <c r="AU26" s="711"/>
      <c r="AV26" s="711"/>
      <c r="AW26" s="711"/>
      <c r="AX26" s="712"/>
      <c r="AY26" s="711"/>
      <c r="AZ26" s="711"/>
      <c r="BA26" s="711"/>
      <c r="BB26" s="712"/>
      <c r="BC26" s="711"/>
      <c r="BD26" s="711"/>
      <c r="BE26" s="713"/>
      <c r="BG26" s="1042" t="str">
        <f>IF(IGRF!I25="","",IGRF!I25)</f>
        <v>78</v>
      </c>
      <c r="BH26" s="736"/>
      <c r="BI26" s="737"/>
      <c r="BJ26" s="738"/>
      <c r="BK26" s="738"/>
      <c r="BL26" s="738"/>
      <c r="BM26" s="739"/>
      <c r="BN26" s="740"/>
      <c r="BO26" s="741"/>
      <c r="BP26" s="742"/>
      <c r="BQ26" s="743"/>
      <c r="BR26" s="722"/>
    </row>
    <row r="27" spans="1:70" ht="31.95" customHeight="1" thickBot="1" x14ac:dyDescent="0.35">
      <c r="A27" s="723"/>
      <c r="B27" s="724"/>
      <c r="C27" s="725"/>
      <c r="D27" s="711"/>
      <c r="E27" s="711"/>
      <c r="F27" s="711"/>
      <c r="G27" s="726"/>
      <c r="H27" s="711"/>
      <c r="I27" s="711"/>
      <c r="J27" s="711"/>
      <c r="K27" s="726"/>
      <c r="L27" s="711"/>
      <c r="M27" s="711"/>
      <c r="N27" s="711"/>
      <c r="O27" s="726"/>
      <c r="P27" s="711"/>
      <c r="Q27" s="711"/>
      <c r="R27" s="711"/>
      <c r="S27" s="726"/>
      <c r="T27" s="711"/>
      <c r="U27" s="711"/>
      <c r="V27" s="713"/>
      <c r="X27" s="1043"/>
      <c r="Y27" s="744"/>
      <c r="Z27" s="745"/>
      <c r="AA27" s="746"/>
      <c r="AB27" s="746"/>
      <c r="AC27" s="746"/>
      <c r="AD27" s="747"/>
      <c r="AE27" s="748"/>
      <c r="AF27" s="749"/>
      <c r="AG27" s="750"/>
      <c r="AH27" s="734"/>
      <c r="AI27" s="735"/>
      <c r="AJ27" s="723"/>
      <c r="AK27" s="724"/>
      <c r="AL27" s="725"/>
      <c r="AM27" s="711"/>
      <c r="AN27" s="711"/>
      <c r="AO27" s="711"/>
      <c r="AP27" s="726"/>
      <c r="AQ27" s="711"/>
      <c r="AR27" s="711"/>
      <c r="AS27" s="711"/>
      <c r="AT27" s="726"/>
      <c r="AU27" s="711"/>
      <c r="AV27" s="711"/>
      <c r="AW27" s="711"/>
      <c r="AX27" s="726"/>
      <c r="AY27" s="711"/>
      <c r="AZ27" s="711"/>
      <c r="BA27" s="711"/>
      <c r="BB27" s="726"/>
      <c r="BC27" s="711"/>
      <c r="BD27" s="711"/>
      <c r="BE27" s="713"/>
      <c r="BG27" s="1043"/>
      <c r="BH27" s="744"/>
      <c r="BI27" s="745"/>
      <c r="BJ27" s="746"/>
      <c r="BK27" s="746"/>
      <c r="BL27" s="746"/>
      <c r="BM27" s="747"/>
      <c r="BN27" s="748"/>
      <c r="BO27" s="749"/>
      <c r="BP27" s="750"/>
      <c r="BQ27" s="734"/>
      <c r="BR27" s="735"/>
    </row>
    <row r="28" spans="1:70" ht="31.95" customHeight="1" thickTop="1" thickBot="1" x14ac:dyDescent="0.35">
      <c r="A28" s="708"/>
      <c r="B28" s="709"/>
      <c r="C28" s="710"/>
      <c r="D28" s="711"/>
      <c r="E28" s="711"/>
      <c r="F28" s="711"/>
      <c r="G28" s="712"/>
      <c r="H28" s="711"/>
      <c r="I28" s="711"/>
      <c r="J28" s="711"/>
      <c r="K28" s="712"/>
      <c r="L28" s="711"/>
      <c r="M28" s="711"/>
      <c r="N28" s="711"/>
      <c r="O28" s="712"/>
      <c r="P28" s="711"/>
      <c r="Q28" s="711"/>
      <c r="R28" s="711"/>
      <c r="S28" s="712"/>
      <c r="T28" s="711"/>
      <c r="U28" s="711"/>
      <c r="V28" s="713"/>
      <c r="X28" s="1044" t="str">
        <f>IF(IGRF!B26="","",IGRF!B26)</f>
        <v>64</v>
      </c>
      <c r="Y28" s="714"/>
      <c r="Z28" s="715"/>
      <c r="AA28" s="716"/>
      <c r="AB28" s="716"/>
      <c r="AC28" s="716"/>
      <c r="AD28" s="717"/>
      <c r="AE28" s="718"/>
      <c r="AF28" s="719"/>
      <c r="AG28" s="720"/>
      <c r="AH28" s="743"/>
      <c r="AI28" s="722"/>
      <c r="AJ28" s="708"/>
      <c r="AK28" s="709"/>
      <c r="AL28" s="710"/>
      <c r="AM28" s="711"/>
      <c r="AN28" s="711"/>
      <c r="AO28" s="711"/>
      <c r="AP28" s="712"/>
      <c r="AQ28" s="711"/>
      <c r="AR28" s="711"/>
      <c r="AS28" s="711"/>
      <c r="AT28" s="712"/>
      <c r="AU28" s="711"/>
      <c r="AV28" s="711"/>
      <c r="AW28" s="711"/>
      <c r="AX28" s="712"/>
      <c r="AY28" s="711"/>
      <c r="AZ28" s="711"/>
      <c r="BA28" s="711"/>
      <c r="BB28" s="712"/>
      <c r="BC28" s="711"/>
      <c r="BD28" s="711"/>
      <c r="BE28" s="713"/>
      <c r="BG28" s="1044" t="str">
        <f>IF(IGRF!I26="","",IGRF!I26)</f>
        <v>8*</v>
      </c>
      <c r="BH28" s="714"/>
      <c r="BI28" s="715"/>
      <c r="BJ28" s="716"/>
      <c r="BK28" s="716"/>
      <c r="BL28" s="716"/>
      <c r="BM28" s="717"/>
      <c r="BN28" s="718"/>
      <c r="BO28" s="719"/>
      <c r="BP28" s="720"/>
      <c r="BQ28" s="743"/>
      <c r="BR28" s="722"/>
    </row>
    <row r="29" spans="1:70" ht="31.95" customHeight="1" thickBot="1" x14ac:dyDescent="0.35">
      <c r="A29" s="723"/>
      <c r="B29" s="724"/>
      <c r="C29" s="725"/>
      <c r="D29" s="711"/>
      <c r="E29" s="711"/>
      <c r="F29" s="711"/>
      <c r="G29" s="726"/>
      <c r="H29" s="711"/>
      <c r="I29" s="711"/>
      <c r="J29" s="711"/>
      <c r="K29" s="726"/>
      <c r="L29" s="711"/>
      <c r="M29" s="711"/>
      <c r="N29" s="711"/>
      <c r="O29" s="726"/>
      <c r="P29" s="711"/>
      <c r="Q29" s="711"/>
      <c r="R29" s="711"/>
      <c r="S29" s="726"/>
      <c r="T29" s="711"/>
      <c r="U29" s="711"/>
      <c r="V29" s="713"/>
      <c r="X29" s="1045"/>
      <c r="Y29" s="727"/>
      <c r="Z29" s="728"/>
      <c r="AA29" s="729"/>
      <c r="AB29" s="729"/>
      <c r="AC29" s="729"/>
      <c r="AD29" s="730"/>
      <c r="AE29" s="731"/>
      <c r="AF29" s="732"/>
      <c r="AG29" s="733"/>
      <c r="AH29" s="734"/>
      <c r="AI29" s="735"/>
      <c r="AJ29" s="723"/>
      <c r="AK29" s="724"/>
      <c r="AL29" s="725"/>
      <c r="AM29" s="711"/>
      <c r="AN29" s="711"/>
      <c r="AO29" s="711"/>
      <c r="AP29" s="726"/>
      <c r="AQ29" s="711"/>
      <c r="AR29" s="711"/>
      <c r="AS29" s="711"/>
      <c r="AT29" s="726"/>
      <c r="AU29" s="711"/>
      <c r="AV29" s="711"/>
      <c r="AW29" s="711"/>
      <c r="AX29" s="726"/>
      <c r="AY29" s="711"/>
      <c r="AZ29" s="711"/>
      <c r="BA29" s="711"/>
      <c r="BB29" s="726"/>
      <c r="BC29" s="711"/>
      <c r="BD29" s="711"/>
      <c r="BE29" s="713"/>
      <c r="BG29" s="1045"/>
      <c r="BH29" s="727"/>
      <c r="BI29" s="728"/>
      <c r="BJ29" s="729"/>
      <c r="BK29" s="729"/>
      <c r="BL29" s="729"/>
      <c r="BM29" s="730"/>
      <c r="BN29" s="731"/>
      <c r="BO29" s="732"/>
      <c r="BP29" s="733"/>
      <c r="BQ29" s="734"/>
      <c r="BR29" s="735"/>
    </row>
    <row r="30" spans="1:70" ht="31.95" customHeight="1" thickTop="1" thickBot="1" x14ac:dyDescent="0.35">
      <c r="A30" s="708"/>
      <c r="B30" s="709"/>
      <c r="C30" s="710"/>
      <c r="D30" s="711"/>
      <c r="E30" s="711"/>
      <c r="F30" s="711"/>
      <c r="G30" s="712"/>
      <c r="H30" s="711"/>
      <c r="I30" s="711"/>
      <c r="J30" s="711"/>
      <c r="K30" s="712"/>
      <c r="L30" s="711"/>
      <c r="M30" s="711"/>
      <c r="N30" s="711"/>
      <c r="O30" s="712"/>
      <c r="P30" s="711"/>
      <c r="Q30" s="711"/>
      <c r="R30" s="711"/>
      <c r="S30" s="712"/>
      <c r="T30" s="711"/>
      <c r="U30" s="711"/>
      <c r="V30" s="713"/>
      <c r="X30" s="1042" t="str">
        <f>IF(IGRF!B27="","",IGRF!B27)</f>
        <v>825</v>
      </c>
      <c r="Y30" s="736"/>
      <c r="Z30" s="737"/>
      <c r="AA30" s="738"/>
      <c r="AB30" s="738"/>
      <c r="AC30" s="738"/>
      <c r="AD30" s="739"/>
      <c r="AE30" s="740"/>
      <c r="AF30" s="741"/>
      <c r="AG30" s="742"/>
      <c r="AH30" s="743"/>
      <c r="AI30" s="722"/>
      <c r="AJ30" s="708"/>
      <c r="AK30" s="709"/>
      <c r="AL30" s="710"/>
      <c r="AM30" s="711"/>
      <c r="AN30" s="711"/>
      <c r="AO30" s="711"/>
      <c r="AP30" s="712"/>
      <c r="AQ30" s="711"/>
      <c r="AR30" s="711"/>
      <c r="AS30" s="711"/>
      <c r="AT30" s="712"/>
      <c r="AU30" s="711"/>
      <c r="AV30" s="711"/>
      <c r="AW30" s="711"/>
      <c r="AX30" s="712"/>
      <c r="AY30" s="711"/>
      <c r="AZ30" s="711"/>
      <c r="BA30" s="711"/>
      <c r="BB30" s="712"/>
      <c r="BC30" s="711"/>
      <c r="BD30" s="711"/>
      <c r="BE30" s="713"/>
      <c r="BG30" s="1042" t="str">
        <f>IF(IGRF!I27="","",IGRF!I27)</f>
        <v>800</v>
      </c>
      <c r="BH30" s="736"/>
      <c r="BI30" s="737"/>
      <c r="BJ30" s="738"/>
      <c r="BK30" s="738"/>
      <c r="BL30" s="738"/>
      <c r="BM30" s="739"/>
      <c r="BN30" s="740"/>
      <c r="BO30" s="741"/>
      <c r="BP30" s="742"/>
      <c r="BQ30" s="743"/>
      <c r="BR30" s="722"/>
    </row>
    <row r="31" spans="1:70" ht="31.95" customHeight="1" thickBot="1" x14ac:dyDescent="0.35">
      <c r="A31" s="723"/>
      <c r="B31" s="724"/>
      <c r="C31" s="725"/>
      <c r="D31" s="711"/>
      <c r="E31" s="711"/>
      <c r="F31" s="711"/>
      <c r="G31" s="726"/>
      <c r="H31" s="711"/>
      <c r="I31" s="711"/>
      <c r="J31" s="711"/>
      <c r="K31" s="726"/>
      <c r="L31" s="711"/>
      <c r="M31" s="711"/>
      <c r="N31" s="711"/>
      <c r="O31" s="726"/>
      <c r="P31" s="711"/>
      <c r="Q31" s="711"/>
      <c r="R31" s="711"/>
      <c r="S31" s="726"/>
      <c r="T31" s="711"/>
      <c r="U31" s="711"/>
      <c r="V31" s="713"/>
      <c r="X31" s="1043"/>
      <c r="Y31" s="744"/>
      <c r="Z31" s="745"/>
      <c r="AA31" s="746"/>
      <c r="AB31" s="746"/>
      <c r="AC31" s="746"/>
      <c r="AD31" s="747"/>
      <c r="AE31" s="748"/>
      <c r="AF31" s="749"/>
      <c r="AG31" s="750"/>
      <c r="AH31" s="734"/>
      <c r="AI31" s="735"/>
      <c r="AJ31" s="723"/>
      <c r="AK31" s="724"/>
      <c r="AL31" s="725"/>
      <c r="AM31" s="711"/>
      <c r="AN31" s="711"/>
      <c r="AO31" s="711"/>
      <c r="AP31" s="726"/>
      <c r="AQ31" s="711"/>
      <c r="AR31" s="711"/>
      <c r="AS31" s="711"/>
      <c r="AT31" s="726"/>
      <c r="AU31" s="711"/>
      <c r="AV31" s="711"/>
      <c r="AW31" s="711"/>
      <c r="AX31" s="726"/>
      <c r="AY31" s="711"/>
      <c r="AZ31" s="711"/>
      <c r="BA31" s="711"/>
      <c r="BB31" s="726"/>
      <c r="BC31" s="711"/>
      <c r="BD31" s="711"/>
      <c r="BE31" s="713"/>
      <c r="BG31" s="1043"/>
      <c r="BH31" s="744"/>
      <c r="BI31" s="745"/>
      <c r="BJ31" s="746"/>
      <c r="BK31" s="746"/>
      <c r="BL31" s="746"/>
      <c r="BM31" s="747"/>
      <c r="BN31" s="748"/>
      <c r="BO31" s="749"/>
      <c r="BP31" s="750"/>
      <c r="BQ31" s="734"/>
      <c r="BR31" s="735"/>
    </row>
    <row r="32" spans="1:70" ht="31.95" customHeight="1" thickTop="1" thickBot="1" x14ac:dyDescent="0.35">
      <c r="A32" s="708"/>
      <c r="B32" s="709"/>
      <c r="C32" s="710"/>
      <c r="D32" s="711"/>
      <c r="E32" s="711"/>
      <c r="F32" s="711"/>
      <c r="G32" s="712"/>
      <c r="H32" s="711"/>
      <c r="I32" s="711"/>
      <c r="J32" s="711"/>
      <c r="K32" s="712"/>
      <c r="L32" s="711"/>
      <c r="M32" s="711"/>
      <c r="N32" s="711"/>
      <c r="O32" s="712"/>
      <c r="P32" s="711"/>
      <c r="Q32" s="711"/>
      <c r="R32" s="711"/>
      <c r="S32" s="712"/>
      <c r="T32" s="711"/>
      <c r="U32" s="711"/>
      <c r="V32" s="713"/>
      <c r="X32" s="1044" t="str">
        <f>IF(IGRF!B28="","",IGRF!B28)</f>
        <v>83</v>
      </c>
      <c r="Y32" s="714"/>
      <c r="Z32" s="715"/>
      <c r="AA32" s="716"/>
      <c r="AB32" s="716"/>
      <c r="AC32" s="716"/>
      <c r="AD32" s="717"/>
      <c r="AE32" s="718"/>
      <c r="AF32" s="719"/>
      <c r="AG32" s="720"/>
      <c r="AH32" s="743"/>
      <c r="AI32" s="722"/>
      <c r="AJ32" s="708"/>
      <c r="AK32" s="709"/>
      <c r="AL32" s="710"/>
      <c r="AM32" s="711"/>
      <c r="AN32" s="711"/>
      <c r="AO32" s="711"/>
      <c r="AP32" s="712"/>
      <c r="AQ32" s="711"/>
      <c r="AR32" s="711"/>
      <c r="AS32" s="711"/>
      <c r="AT32" s="712"/>
      <c r="AU32" s="711"/>
      <c r="AV32" s="711"/>
      <c r="AW32" s="711"/>
      <c r="AX32" s="712"/>
      <c r="AY32" s="711"/>
      <c r="AZ32" s="711"/>
      <c r="BA32" s="711"/>
      <c r="BB32" s="712"/>
      <c r="BC32" s="711"/>
      <c r="BD32" s="711"/>
      <c r="BE32" s="713"/>
      <c r="BG32" s="1044" t="str">
        <f>IF(IGRF!I28="","",IGRF!I28)</f>
        <v>88*</v>
      </c>
      <c r="BH32" s="714"/>
      <c r="BI32" s="715"/>
      <c r="BJ32" s="716"/>
      <c r="BK32" s="716"/>
      <c r="BL32" s="716"/>
      <c r="BM32" s="717"/>
      <c r="BN32" s="718"/>
      <c r="BO32" s="719"/>
      <c r="BP32" s="720"/>
      <c r="BQ32" s="743"/>
      <c r="BR32" s="722"/>
    </row>
    <row r="33" spans="1:71" ht="31.95" customHeight="1" thickBot="1" x14ac:dyDescent="0.35">
      <c r="A33" s="723"/>
      <c r="B33" s="724"/>
      <c r="C33" s="725"/>
      <c r="D33" s="711"/>
      <c r="E33" s="711"/>
      <c r="F33" s="711"/>
      <c r="G33" s="726"/>
      <c r="H33" s="711"/>
      <c r="I33" s="711"/>
      <c r="J33" s="711"/>
      <c r="K33" s="726"/>
      <c r="L33" s="711"/>
      <c r="M33" s="711"/>
      <c r="N33" s="711"/>
      <c r="O33" s="726"/>
      <c r="P33" s="711"/>
      <c r="Q33" s="711"/>
      <c r="R33" s="711"/>
      <c r="S33" s="726"/>
      <c r="T33" s="711"/>
      <c r="U33" s="711"/>
      <c r="V33" s="713"/>
      <c r="X33" s="1045"/>
      <c r="Y33" s="727"/>
      <c r="Z33" s="728"/>
      <c r="AA33" s="729"/>
      <c r="AB33" s="729"/>
      <c r="AC33" s="729"/>
      <c r="AD33" s="730"/>
      <c r="AE33" s="731"/>
      <c r="AF33" s="732"/>
      <c r="AG33" s="733"/>
      <c r="AH33" s="734"/>
      <c r="AI33" s="735"/>
      <c r="AJ33" s="723"/>
      <c r="AK33" s="724"/>
      <c r="AL33" s="725"/>
      <c r="AM33" s="711"/>
      <c r="AN33" s="711"/>
      <c r="AO33" s="711"/>
      <c r="AP33" s="726"/>
      <c r="AQ33" s="711"/>
      <c r="AR33" s="711"/>
      <c r="AS33" s="711"/>
      <c r="AT33" s="726"/>
      <c r="AU33" s="711"/>
      <c r="AV33" s="711"/>
      <c r="AW33" s="711"/>
      <c r="AX33" s="726"/>
      <c r="AY33" s="711"/>
      <c r="AZ33" s="711"/>
      <c r="BA33" s="711"/>
      <c r="BB33" s="726"/>
      <c r="BC33" s="711"/>
      <c r="BD33" s="711"/>
      <c r="BE33" s="713"/>
      <c r="BG33" s="1045"/>
      <c r="BH33" s="727"/>
      <c r="BI33" s="728"/>
      <c r="BJ33" s="729"/>
      <c r="BK33" s="729"/>
      <c r="BL33" s="729"/>
      <c r="BM33" s="730"/>
      <c r="BN33" s="731"/>
      <c r="BO33" s="732"/>
      <c r="BP33" s="733"/>
      <c r="BQ33" s="734"/>
      <c r="BR33" s="735"/>
    </row>
    <row r="34" spans="1:71" ht="31.95" customHeight="1" thickTop="1" thickBot="1" x14ac:dyDescent="0.35">
      <c r="A34" s="708"/>
      <c r="B34" s="709"/>
      <c r="C34" s="710"/>
      <c r="D34" s="711"/>
      <c r="E34" s="711"/>
      <c r="F34" s="711"/>
      <c r="G34" s="712"/>
      <c r="H34" s="711"/>
      <c r="I34" s="711"/>
      <c r="J34" s="711"/>
      <c r="K34" s="712"/>
      <c r="L34" s="711"/>
      <c r="M34" s="711"/>
      <c r="N34" s="711"/>
      <c r="O34" s="712"/>
      <c r="P34" s="711"/>
      <c r="Q34" s="711"/>
      <c r="R34" s="711"/>
      <c r="S34" s="712"/>
      <c r="T34" s="711"/>
      <c r="U34" s="711"/>
      <c r="V34" s="713"/>
      <c r="X34" s="1042" t="str">
        <f>IF(IGRF!B29="","",IGRF!B29)</f>
        <v>84</v>
      </c>
      <c r="Y34" s="736"/>
      <c r="Z34" s="737"/>
      <c r="AA34" s="738"/>
      <c r="AB34" s="738"/>
      <c r="AC34" s="738"/>
      <c r="AD34" s="739"/>
      <c r="AE34" s="740"/>
      <c r="AF34" s="741"/>
      <c r="AG34" s="742"/>
      <c r="AH34" s="743"/>
      <c r="AI34" s="722"/>
      <c r="AJ34" s="708"/>
      <c r="AK34" s="709"/>
      <c r="AL34" s="710"/>
      <c r="AM34" s="711"/>
      <c r="AN34" s="711"/>
      <c r="AO34" s="711"/>
      <c r="AP34" s="712"/>
      <c r="AQ34" s="711"/>
      <c r="AR34" s="711"/>
      <c r="AS34" s="711"/>
      <c r="AT34" s="712"/>
      <c r="AU34" s="711"/>
      <c r="AV34" s="711"/>
      <c r="AW34" s="711"/>
      <c r="AX34" s="712"/>
      <c r="AY34" s="711"/>
      <c r="AZ34" s="711"/>
      <c r="BA34" s="711"/>
      <c r="BB34" s="712"/>
      <c r="BC34" s="711"/>
      <c r="BD34" s="711"/>
      <c r="BE34" s="713"/>
      <c r="BG34" s="1042" t="str">
        <f>IF(IGRF!I29="","",IGRF!I29)</f>
        <v>911</v>
      </c>
      <c r="BH34" s="736"/>
      <c r="BI34" s="737"/>
      <c r="BJ34" s="738"/>
      <c r="BK34" s="738"/>
      <c r="BL34" s="738"/>
      <c r="BM34" s="739"/>
      <c r="BN34" s="740"/>
      <c r="BO34" s="741"/>
      <c r="BP34" s="742"/>
      <c r="BQ34" s="743"/>
      <c r="BR34" s="722"/>
    </row>
    <row r="35" spans="1:71" ht="31.95" customHeight="1" thickBot="1" x14ac:dyDescent="0.35">
      <c r="A35" s="723"/>
      <c r="B35" s="724"/>
      <c r="C35" s="725"/>
      <c r="D35" s="711"/>
      <c r="E35" s="711"/>
      <c r="F35" s="711"/>
      <c r="G35" s="726"/>
      <c r="H35" s="711"/>
      <c r="I35" s="711"/>
      <c r="J35" s="711"/>
      <c r="K35" s="726"/>
      <c r="L35" s="711"/>
      <c r="M35" s="711"/>
      <c r="N35" s="711"/>
      <c r="O35" s="726"/>
      <c r="P35" s="711"/>
      <c r="Q35" s="711"/>
      <c r="R35" s="711"/>
      <c r="S35" s="726"/>
      <c r="T35" s="711"/>
      <c r="U35" s="711"/>
      <c r="V35" s="713"/>
      <c r="X35" s="1043"/>
      <c r="Y35" s="744"/>
      <c r="Z35" s="745"/>
      <c r="AA35" s="746"/>
      <c r="AB35" s="746"/>
      <c r="AC35" s="746"/>
      <c r="AD35" s="747"/>
      <c r="AE35" s="748"/>
      <c r="AF35" s="749"/>
      <c r="AG35" s="750"/>
      <c r="AH35" s="734"/>
      <c r="AI35" s="735"/>
      <c r="AJ35" s="723"/>
      <c r="AK35" s="724"/>
      <c r="AL35" s="725"/>
      <c r="AM35" s="711"/>
      <c r="AN35" s="711"/>
      <c r="AO35" s="711"/>
      <c r="AP35" s="726"/>
      <c r="AQ35" s="711"/>
      <c r="AR35" s="711"/>
      <c r="AS35" s="711"/>
      <c r="AT35" s="726"/>
      <c r="AU35" s="711"/>
      <c r="AV35" s="711"/>
      <c r="AW35" s="711"/>
      <c r="AX35" s="726"/>
      <c r="AY35" s="711"/>
      <c r="AZ35" s="711"/>
      <c r="BA35" s="711"/>
      <c r="BB35" s="726"/>
      <c r="BC35" s="711"/>
      <c r="BD35" s="711"/>
      <c r="BE35" s="713"/>
      <c r="BG35" s="1043"/>
      <c r="BH35" s="744"/>
      <c r="BI35" s="745"/>
      <c r="BJ35" s="746"/>
      <c r="BK35" s="746"/>
      <c r="BL35" s="746"/>
      <c r="BM35" s="747"/>
      <c r="BN35" s="748"/>
      <c r="BO35" s="749"/>
      <c r="BP35" s="750"/>
      <c r="BQ35" s="734"/>
      <c r="BR35" s="735"/>
    </row>
    <row r="36" spans="1:71" ht="31.95" customHeight="1" thickTop="1" thickBot="1" x14ac:dyDescent="0.35">
      <c r="A36" s="708"/>
      <c r="B36" s="709"/>
      <c r="C36" s="710"/>
      <c r="D36" s="711"/>
      <c r="E36" s="711"/>
      <c r="F36" s="711"/>
      <c r="G36" s="712"/>
      <c r="H36" s="711"/>
      <c r="I36" s="711"/>
      <c r="J36" s="711"/>
      <c r="K36" s="712"/>
      <c r="L36" s="711"/>
      <c r="M36" s="711"/>
      <c r="N36" s="711"/>
      <c r="O36" s="712"/>
      <c r="P36" s="711"/>
      <c r="Q36" s="711"/>
      <c r="R36" s="711"/>
      <c r="S36" s="712"/>
      <c r="T36" s="711"/>
      <c r="U36" s="711"/>
      <c r="V36" s="713"/>
      <c r="X36" s="1044" t="str">
        <f>IF(IGRF!B30="","",IGRF!B30)</f>
        <v>86</v>
      </c>
      <c r="Y36" s="714"/>
      <c r="Z36" s="715"/>
      <c r="AA36" s="716"/>
      <c r="AB36" s="716"/>
      <c r="AC36" s="716"/>
      <c r="AD36" s="717"/>
      <c r="AE36" s="718"/>
      <c r="AF36" s="719"/>
      <c r="AG36" s="720"/>
      <c r="AH36" s="743"/>
      <c r="AI36" s="722"/>
      <c r="AJ36" s="708"/>
      <c r="AK36" s="709"/>
      <c r="AL36" s="710"/>
      <c r="AM36" s="711"/>
      <c r="AN36" s="711"/>
      <c r="AO36" s="711"/>
      <c r="AP36" s="712"/>
      <c r="AQ36" s="711"/>
      <c r="AR36" s="711"/>
      <c r="AS36" s="711"/>
      <c r="AT36" s="712"/>
      <c r="AU36" s="711"/>
      <c r="AV36" s="711"/>
      <c r="AW36" s="711"/>
      <c r="AX36" s="712"/>
      <c r="AY36" s="711"/>
      <c r="AZ36" s="711"/>
      <c r="BA36" s="711"/>
      <c r="BB36" s="712"/>
      <c r="BC36" s="711"/>
      <c r="BD36" s="711"/>
      <c r="BE36" s="713"/>
      <c r="BG36" s="1044" t="str">
        <f>IF(IGRF!I30="","",IGRF!I30)</f>
        <v>94</v>
      </c>
      <c r="BH36" s="714"/>
      <c r="BI36" s="715"/>
      <c r="BJ36" s="716"/>
      <c r="BK36" s="716"/>
      <c r="BL36" s="716"/>
      <c r="BM36" s="717"/>
      <c r="BN36" s="718"/>
      <c r="BO36" s="719"/>
      <c r="BP36" s="720"/>
      <c r="BQ36" s="743"/>
      <c r="BR36" s="722"/>
    </row>
    <row r="37" spans="1:71" ht="31.95" customHeight="1" thickBot="1" x14ac:dyDescent="0.35">
      <c r="A37" s="723"/>
      <c r="B37" s="724"/>
      <c r="C37" s="725"/>
      <c r="D37" s="711"/>
      <c r="E37" s="711"/>
      <c r="F37" s="711"/>
      <c r="G37" s="726"/>
      <c r="H37" s="711"/>
      <c r="I37" s="711"/>
      <c r="J37" s="711"/>
      <c r="K37" s="726"/>
      <c r="L37" s="711"/>
      <c r="M37" s="711"/>
      <c r="N37" s="711"/>
      <c r="O37" s="726"/>
      <c r="P37" s="711"/>
      <c r="Q37" s="711"/>
      <c r="R37" s="711"/>
      <c r="S37" s="726"/>
      <c r="T37" s="711"/>
      <c r="U37" s="711"/>
      <c r="V37" s="713"/>
      <c r="X37" s="1045"/>
      <c r="Y37" s="727"/>
      <c r="Z37" s="728"/>
      <c r="AA37" s="729"/>
      <c r="AB37" s="729"/>
      <c r="AC37" s="729"/>
      <c r="AD37" s="730"/>
      <c r="AE37" s="731"/>
      <c r="AF37" s="732"/>
      <c r="AG37" s="733"/>
      <c r="AH37" s="734"/>
      <c r="AI37" s="735"/>
      <c r="AJ37" s="723"/>
      <c r="AK37" s="724"/>
      <c r="AL37" s="725"/>
      <c r="AM37" s="711"/>
      <c r="AN37" s="711"/>
      <c r="AO37" s="711"/>
      <c r="AP37" s="726"/>
      <c r="AQ37" s="711"/>
      <c r="AR37" s="711"/>
      <c r="AS37" s="711"/>
      <c r="AT37" s="726"/>
      <c r="AU37" s="711"/>
      <c r="AV37" s="711"/>
      <c r="AW37" s="711"/>
      <c r="AX37" s="726"/>
      <c r="AY37" s="711"/>
      <c r="AZ37" s="711"/>
      <c r="BA37" s="711"/>
      <c r="BB37" s="726"/>
      <c r="BC37" s="711"/>
      <c r="BD37" s="711"/>
      <c r="BE37" s="713"/>
      <c r="BG37" s="1045"/>
      <c r="BH37" s="727"/>
      <c r="BI37" s="728"/>
      <c r="BJ37" s="729"/>
      <c r="BK37" s="729"/>
      <c r="BL37" s="729"/>
      <c r="BM37" s="730"/>
      <c r="BN37" s="731"/>
      <c r="BO37" s="732"/>
      <c r="BP37" s="733"/>
      <c r="BQ37" s="734"/>
      <c r="BR37" s="735"/>
    </row>
    <row r="38" spans="1:71" ht="31.95" customHeight="1" thickTop="1" thickBot="1" x14ac:dyDescent="0.35">
      <c r="A38" s="708"/>
      <c r="B38" s="709"/>
      <c r="C38" s="710"/>
      <c r="D38" s="711"/>
      <c r="E38" s="711"/>
      <c r="F38" s="711"/>
      <c r="G38" s="712"/>
      <c r="H38" s="711"/>
      <c r="I38" s="711"/>
      <c r="J38" s="711"/>
      <c r="K38" s="712"/>
      <c r="L38" s="711"/>
      <c r="M38" s="711"/>
      <c r="N38" s="711"/>
      <c r="O38" s="712"/>
      <c r="P38" s="711"/>
      <c r="Q38" s="711"/>
      <c r="R38" s="711"/>
      <c r="S38" s="712"/>
      <c r="T38" s="711"/>
      <c r="U38" s="711"/>
      <c r="V38" s="713"/>
      <c r="X38" s="1042" t="str">
        <f>IF(IGRF!B31="","",IGRF!B31)</f>
        <v/>
      </c>
      <c r="Y38" s="736"/>
      <c r="Z38" s="737"/>
      <c r="AA38" s="738"/>
      <c r="AB38" s="738"/>
      <c r="AC38" s="738"/>
      <c r="AD38" s="739"/>
      <c r="AE38" s="740"/>
      <c r="AF38" s="741"/>
      <c r="AG38" s="742"/>
      <c r="AH38" s="743"/>
      <c r="AI38" s="722"/>
      <c r="AJ38" s="708"/>
      <c r="AK38" s="709"/>
      <c r="AL38" s="710"/>
      <c r="AM38" s="711"/>
      <c r="AN38" s="711"/>
      <c r="AO38" s="711"/>
      <c r="AP38" s="712"/>
      <c r="AQ38" s="711"/>
      <c r="AR38" s="711"/>
      <c r="AS38" s="711"/>
      <c r="AT38" s="712"/>
      <c r="AU38" s="711"/>
      <c r="AV38" s="711"/>
      <c r="AW38" s="711"/>
      <c r="AX38" s="712"/>
      <c r="AY38" s="711"/>
      <c r="AZ38" s="711"/>
      <c r="BA38" s="711"/>
      <c r="BB38" s="712"/>
      <c r="BC38" s="711"/>
      <c r="BD38" s="711"/>
      <c r="BE38" s="713"/>
      <c r="BG38" s="1042" t="str">
        <f>IF(IGRF!I31="","",IGRF!I31)</f>
        <v/>
      </c>
      <c r="BH38" s="736"/>
      <c r="BI38" s="737"/>
      <c r="BJ38" s="738"/>
      <c r="BK38" s="738"/>
      <c r="BL38" s="738"/>
      <c r="BM38" s="739"/>
      <c r="BN38" s="740"/>
      <c r="BO38" s="741"/>
      <c r="BP38" s="742"/>
      <c r="BQ38" s="743"/>
      <c r="BR38" s="722"/>
    </row>
    <row r="39" spans="1:71" ht="31.95" customHeight="1" thickBot="1" x14ac:dyDescent="0.35">
      <c r="A39" s="723"/>
      <c r="B39" s="724"/>
      <c r="C39" s="725"/>
      <c r="D39" s="711"/>
      <c r="E39" s="711"/>
      <c r="F39" s="711"/>
      <c r="G39" s="726"/>
      <c r="H39" s="711"/>
      <c r="I39" s="711"/>
      <c r="J39" s="711"/>
      <c r="K39" s="726"/>
      <c r="L39" s="711"/>
      <c r="M39" s="711"/>
      <c r="N39" s="711"/>
      <c r="O39" s="726"/>
      <c r="P39" s="711"/>
      <c r="Q39" s="711"/>
      <c r="R39" s="711"/>
      <c r="S39" s="726"/>
      <c r="T39" s="711"/>
      <c r="U39" s="711"/>
      <c r="V39" s="713"/>
      <c r="X39" s="1043"/>
      <c r="Y39" s="744"/>
      <c r="Z39" s="745"/>
      <c r="AA39" s="746"/>
      <c r="AB39" s="746"/>
      <c r="AC39" s="746"/>
      <c r="AD39" s="747"/>
      <c r="AE39" s="748"/>
      <c r="AF39" s="749"/>
      <c r="AG39" s="750"/>
      <c r="AH39" s="734"/>
      <c r="AI39" s="735"/>
      <c r="AJ39" s="723"/>
      <c r="AK39" s="724"/>
      <c r="AL39" s="725"/>
      <c r="AM39" s="711"/>
      <c r="AN39" s="711"/>
      <c r="AO39" s="711"/>
      <c r="AP39" s="726"/>
      <c r="AQ39" s="711"/>
      <c r="AR39" s="711"/>
      <c r="AS39" s="711"/>
      <c r="AT39" s="726"/>
      <c r="AU39" s="711"/>
      <c r="AV39" s="711"/>
      <c r="AW39" s="711"/>
      <c r="AX39" s="726"/>
      <c r="AY39" s="711"/>
      <c r="AZ39" s="711"/>
      <c r="BA39" s="711"/>
      <c r="BB39" s="726"/>
      <c r="BC39" s="711"/>
      <c r="BD39" s="711"/>
      <c r="BE39" s="713"/>
      <c r="BG39" s="1043"/>
      <c r="BH39" s="744"/>
      <c r="BI39" s="745"/>
      <c r="BJ39" s="746"/>
      <c r="BK39" s="746"/>
      <c r="BL39" s="746"/>
      <c r="BM39" s="747"/>
      <c r="BN39" s="748"/>
      <c r="BO39" s="749"/>
      <c r="BP39" s="750"/>
      <c r="BQ39" s="734"/>
      <c r="BR39" s="735"/>
    </row>
    <row r="40" spans="1:71" ht="31.95" customHeight="1" thickTop="1" thickBot="1" x14ac:dyDescent="0.35">
      <c r="A40" s="708"/>
      <c r="B40" s="709"/>
      <c r="C40" s="710"/>
      <c r="D40" s="711"/>
      <c r="E40" s="711"/>
      <c r="F40" s="711"/>
      <c r="G40" s="712"/>
      <c r="H40" s="711"/>
      <c r="I40" s="711"/>
      <c r="J40" s="711"/>
      <c r="K40" s="712"/>
      <c r="L40" s="711"/>
      <c r="M40" s="711"/>
      <c r="N40" s="711"/>
      <c r="O40" s="712"/>
      <c r="P40" s="711"/>
      <c r="Q40" s="711"/>
      <c r="R40" s="711"/>
      <c r="S40" s="712"/>
      <c r="T40" s="711"/>
      <c r="U40" s="711"/>
      <c r="V40" s="713"/>
      <c r="X40" s="1044" t="str">
        <f>IF(IGRF!B32="","",IGRF!B32)</f>
        <v/>
      </c>
      <c r="Y40" s="714"/>
      <c r="Z40" s="715"/>
      <c r="AA40" s="716"/>
      <c r="AB40" s="716"/>
      <c r="AC40" s="716"/>
      <c r="AD40" s="717"/>
      <c r="AE40" s="718"/>
      <c r="AF40" s="719"/>
      <c r="AG40" s="720"/>
      <c r="AH40" s="743"/>
      <c r="AI40" s="722"/>
      <c r="AJ40" s="708"/>
      <c r="AK40" s="709"/>
      <c r="AL40" s="710"/>
      <c r="AM40" s="711"/>
      <c r="AN40" s="711"/>
      <c r="AO40" s="711"/>
      <c r="AP40" s="712"/>
      <c r="AQ40" s="711"/>
      <c r="AR40" s="711"/>
      <c r="AS40" s="711"/>
      <c r="AT40" s="712"/>
      <c r="AU40" s="711"/>
      <c r="AV40" s="711"/>
      <c r="AW40" s="711"/>
      <c r="AX40" s="712"/>
      <c r="AY40" s="711"/>
      <c r="AZ40" s="711"/>
      <c r="BA40" s="711"/>
      <c r="BB40" s="712"/>
      <c r="BC40" s="711"/>
      <c r="BD40" s="711"/>
      <c r="BE40" s="713"/>
      <c r="BG40" s="1044" t="str">
        <f>IF(IGRF!I32="","",IGRF!I32)</f>
        <v/>
      </c>
      <c r="BH40" s="714"/>
      <c r="BI40" s="715"/>
      <c r="BJ40" s="716"/>
      <c r="BK40" s="716"/>
      <c r="BL40" s="716"/>
      <c r="BM40" s="717"/>
      <c r="BN40" s="718"/>
      <c r="BO40" s="719"/>
      <c r="BP40" s="720"/>
      <c r="BQ40" s="743"/>
      <c r="BR40" s="722"/>
    </row>
    <row r="41" spans="1:71" ht="31.95" customHeight="1" thickBot="1" x14ac:dyDescent="0.35">
      <c r="A41" s="723"/>
      <c r="B41" s="724"/>
      <c r="C41" s="725"/>
      <c r="D41" s="711"/>
      <c r="E41" s="711"/>
      <c r="F41" s="711"/>
      <c r="G41" s="726"/>
      <c r="H41" s="711"/>
      <c r="I41" s="711"/>
      <c r="J41" s="711"/>
      <c r="K41" s="726"/>
      <c r="L41" s="711"/>
      <c r="M41" s="711"/>
      <c r="N41" s="711"/>
      <c r="O41" s="726"/>
      <c r="P41" s="711"/>
      <c r="Q41" s="711"/>
      <c r="R41" s="711"/>
      <c r="S41" s="726"/>
      <c r="T41" s="711"/>
      <c r="U41" s="711"/>
      <c r="V41" s="713"/>
      <c r="X41" s="1045"/>
      <c r="Y41" s="727"/>
      <c r="Z41" s="728"/>
      <c r="AA41" s="729"/>
      <c r="AB41" s="729"/>
      <c r="AC41" s="729"/>
      <c r="AD41" s="730"/>
      <c r="AE41" s="731"/>
      <c r="AF41" s="732"/>
      <c r="AG41" s="733"/>
      <c r="AH41" s="734"/>
      <c r="AI41" s="735"/>
      <c r="AJ41" s="723"/>
      <c r="AK41" s="724"/>
      <c r="AL41" s="725"/>
      <c r="AM41" s="711"/>
      <c r="AN41" s="711"/>
      <c r="AO41" s="711"/>
      <c r="AP41" s="726"/>
      <c r="AQ41" s="711"/>
      <c r="AR41" s="711"/>
      <c r="AS41" s="711"/>
      <c r="AT41" s="726"/>
      <c r="AU41" s="711"/>
      <c r="AV41" s="711"/>
      <c r="AW41" s="711"/>
      <c r="AX41" s="726"/>
      <c r="AY41" s="711"/>
      <c r="AZ41" s="711"/>
      <c r="BA41" s="711"/>
      <c r="BB41" s="726"/>
      <c r="BC41" s="711"/>
      <c r="BD41" s="711"/>
      <c r="BE41" s="713"/>
      <c r="BG41" s="1045"/>
      <c r="BH41" s="727"/>
      <c r="BI41" s="728"/>
      <c r="BJ41" s="729"/>
      <c r="BK41" s="729"/>
      <c r="BL41" s="729"/>
      <c r="BM41" s="730"/>
      <c r="BN41" s="731"/>
      <c r="BO41" s="732"/>
      <c r="BP41" s="733"/>
      <c r="BQ41" s="734"/>
      <c r="BR41" s="735"/>
    </row>
    <row r="42" spans="1:71" ht="31.95" customHeight="1" thickTop="1" x14ac:dyDescent="0.3">
      <c r="A42" s="1046" t="s">
        <v>513</v>
      </c>
      <c r="B42" s="1046"/>
      <c r="C42" s="1046"/>
      <c r="D42" s="1046"/>
      <c r="E42" s="1046"/>
      <c r="F42" s="1046"/>
      <c r="G42" s="1046"/>
      <c r="H42" s="1046"/>
      <c r="I42" s="1046"/>
      <c r="J42" s="1046"/>
      <c r="K42" s="1046"/>
      <c r="L42" s="1046"/>
      <c r="M42" s="1046"/>
      <c r="N42" s="1046"/>
      <c r="O42" s="1046"/>
      <c r="P42" s="1046"/>
      <c r="Q42" s="1046"/>
      <c r="R42" s="1046"/>
      <c r="S42" s="751" t="s">
        <v>492</v>
      </c>
      <c r="T42" s="752"/>
      <c r="U42" s="753"/>
      <c r="V42" s="754"/>
      <c r="X42" s="1042" t="str">
        <f>IF(IGRF!B33="","",IGRF!B33)</f>
        <v/>
      </c>
      <c r="Y42" s="736"/>
      <c r="Z42" s="737"/>
      <c r="AA42" s="738"/>
      <c r="AB42" s="738"/>
      <c r="AC42" s="738"/>
      <c r="AD42" s="739"/>
      <c r="AE42" s="740"/>
      <c r="AF42" s="741"/>
      <c r="AG42" s="742"/>
      <c r="AH42" s="743"/>
      <c r="AI42" s="722"/>
      <c r="AJ42" s="1046" t="s">
        <v>513</v>
      </c>
      <c r="AK42" s="1046"/>
      <c r="AL42" s="1046"/>
      <c r="AM42" s="1046"/>
      <c r="AN42" s="1046"/>
      <c r="AO42" s="1046"/>
      <c r="AP42" s="1046"/>
      <c r="AQ42" s="1046"/>
      <c r="AR42" s="1046"/>
      <c r="AS42" s="1046"/>
      <c r="AT42" s="1046"/>
      <c r="AU42" s="1046"/>
      <c r="AV42" s="1046"/>
      <c r="AW42" s="1046"/>
      <c r="AX42" s="1046"/>
      <c r="AY42" s="1046"/>
      <c r="AZ42" s="1046"/>
      <c r="BA42" s="1046"/>
      <c r="BB42" s="751" t="s">
        <v>492</v>
      </c>
      <c r="BC42" s="752"/>
      <c r="BD42" s="753"/>
      <c r="BE42" s="754"/>
      <c r="BG42" s="1042" t="str">
        <f>IF(IGRF!I33="","",IGRF!I33)</f>
        <v/>
      </c>
      <c r="BH42" s="736"/>
      <c r="BI42" s="737"/>
      <c r="BJ42" s="738"/>
      <c r="BK42" s="738"/>
      <c r="BL42" s="738"/>
      <c r="BM42" s="739"/>
      <c r="BN42" s="740"/>
      <c r="BO42" s="741"/>
      <c r="BP42" s="742"/>
      <c r="BQ42" s="743"/>
      <c r="BR42" s="722"/>
    </row>
    <row r="43" spans="1:71" ht="31.95" customHeight="1" thickBot="1" x14ac:dyDescent="0.35">
      <c r="A43" s="1047"/>
      <c r="B43" s="1047"/>
      <c r="C43" s="1047"/>
      <c r="D43" s="1047"/>
      <c r="E43" s="1047"/>
      <c r="F43" s="1047"/>
      <c r="G43" s="1047"/>
      <c r="H43" s="1047"/>
      <c r="I43" s="1047"/>
      <c r="J43" s="1047"/>
      <c r="K43" s="1047"/>
      <c r="L43" s="1047"/>
      <c r="M43" s="1047"/>
      <c r="N43" s="1047"/>
      <c r="O43" s="1047"/>
      <c r="P43" s="1047"/>
      <c r="Q43" s="1047"/>
      <c r="R43" s="1047"/>
      <c r="S43" s="755"/>
      <c r="T43" s="756"/>
      <c r="U43" s="757"/>
      <c r="V43" s="758"/>
      <c r="X43" s="1043"/>
      <c r="Y43" s="744"/>
      <c r="Z43" s="745"/>
      <c r="AA43" s="746"/>
      <c r="AB43" s="746"/>
      <c r="AC43" s="746"/>
      <c r="AD43" s="747"/>
      <c r="AE43" s="748"/>
      <c r="AF43" s="749"/>
      <c r="AG43" s="750"/>
      <c r="AH43" s="734"/>
      <c r="AI43" s="735"/>
      <c r="AJ43" s="1047"/>
      <c r="AK43" s="1047"/>
      <c r="AL43" s="1047"/>
      <c r="AM43" s="1047"/>
      <c r="AN43" s="1047"/>
      <c r="AO43" s="1047"/>
      <c r="AP43" s="1047"/>
      <c r="AQ43" s="1047"/>
      <c r="AR43" s="1047"/>
      <c r="AS43" s="1047"/>
      <c r="AT43" s="1047"/>
      <c r="AU43" s="1047"/>
      <c r="AV43" s="1047"/>
      <c r="AW43" s="1047"/>
      <c r="AX43" s="1047"/>
      <c r="AY43" s="1047"/>
      <c r="AZ43" s="1047"/>
      <c r="BA43" s="1047"/>
      <c r="BB43" s="755"/>
      <c r="BC43" s="756"/>
      <c r="BD43" s="757"/>
      <c r="BE43" s="758"/>
      <c r="BG43" s="1043"/>
      <c r="BH43" s="744"/>
      <c r="BI43" s="745"/>
      <c r="BJ43" s="746"/>
      <c r="BK43" s="746"/>
      <c r="BL43" s="746"/>
      <c r="BM43" s="747"/>
      <c r="BN43" s="748"/>
      <c r="BO43" s="749"/>
      <c r="BP43" s="750"/>
      <c r="BQ43" s="734"/>
      <c r="BR43" s="735"/>
    </row>
    <row r="44" spans="1:71" ht="28.5" customHeight="1" x14ac:dyDescent="0.3">
      <c r="A44" s="1047"/>
      <c r="B44" s="1047"/>
      <c r="C44" s="1047"/>
      <c r="D44" s="1047"/>
      <c r="E44" s="1047"/>
      <c r="F44" s="1047"/>
      <c r="G44" s="1047"/>
      <c r="H44" s="1047"/>
      <c r="I44" s="1047"/>
      <c r="J44" s="1047"/>
      <c r="K44" s="1047"/>
      <c r="L44" s="1047"/>
      <c r="M44" s="1047"/>
      <c r="N44" s="1047"/>
      <c r="O44" s="1047"/>
      <c r="P44" s="1047"/>
      <c r="Q44" s="1047"/>
      <c r="R44" s="1047"/>
      <c r="S44" s="755"/>
      <c r="T44" s="755"/>
      <c r="U44" s="755"/>
      <c r="V44" s="755"/>
      <c r="X44" s="759"/>
      <c r="Y44" s="760"/>
      <c r="Z44" s="760"/>
      <c r="AA44" s="760"/>
      <c r="AB44" s="760"/>
      <c r="AC44" s="1041" t="s">
        <v>493</v>
      </c>
      <c r="AD44" s="1041"/>
      <c r="AE44" s="1041"/>
      <c r="AF44" s="1041"/>
      <c r="AG44" s="1041"/>
      <c r="AH44" s="1041"/>
      <c r="AI44" s="1041"/>
      <c r="AJ44" s="1047"/>
      <c r="AK44" s="1047"/>
      <c r="AL44" s="1047"/>
      <c r="AM44" s="1047"/>
      <c r="AN44" s="1047"/>
      <c r="AO44" s="1047"/>
      <c r="AP44" s="1047"/>
      <c r="AQ44" s="1047"/>
      <c r="AR44" s="1047"/>
      <c r="AS44" s="1047"/>
      <c r="AT44" s="1047"/>
      <c r="AU44" s="1047"/>
      <c r="AV44" s="1047"/>
      <c r="AW44" s="1047"/>
      <c r="AX44" s="1047"/>
      <c r="AY44" s="1047"/>
      <c r="AZ44" s="1047"/>
      <c r="BA44" s="1047"/>
      <c r="BB44" s="755"/>
      <c r="BC44" s="755"/>
      <c r="BD44" s="755"/>
      <c r="BE44" s="755"/>
      <c r="BG44" s="759"/>
      <c r="BH44" s="759"/>
      <c r="BI44" s="760"/>
      <c r="BJ44" s="760"/>
      <c r="BK44" s="760"/>
      <c r="BL44" s="1041" t="s">
        <v>493</v>
      </c>
      <c r="BM44" s="1041"/>
      <c r="BN44" s="1041"/>
      <c r="BO44" s="1041"/>
      <c r="BP44" s="1041"/>
      <c r="BQ44" s="1041"/>
      <c r="BR44" s="1041"/>
      <c r="BS44" s="761"/>
    </row>
    <row r="45" spans="1:71" ht="28.95" customHeight="1" x14ac:dyDescent="0.45">
      <c r="A45" s="1054" t="str">
        <f>A1</f>
        <v>Black Rose Rollers / All Stars</v>
      </c>
      <c r="B45" s="1054"/>
      <c r="C45" s="1054"/>
      <c r="D45" s="1054"/>
      <c r="E45" s="1054"/>
      <c r="F45" s="1054"/>
      <c r="G45" s="1054"/>
      <c r="H45" s="1054"/>
      <c r="I45" s="1054"/>
      <c r="J45" s="1054"/>
      <c r="K45" s="1056" t="str">
        <f>K1</f>
        <v>Black</v>
      </c>
      <c r="L45" s="1056"/>
      <c r="M45" s="1056"/>
      <c r="N45" s="1056"/>
      <c r="O45" s="1056"/>
      <c r="P45" s="1057">
        <f>P1</f>
        <v>45144</v>
      </c>
      <c r="Q45" s="1057"/>
      <c r="R45" s="1057"/>
      <c r="S45" s="1057"/>
      <c r="T45" s="1058"/>
      <c r="U45" s="1058"/>
      <c r="V45" s="1058"/>
      <c r="W45" s="1058"/>
      <c r="X45" s="1058"/>
      <c r="Y45" s="1058"/>
      <c r="Z45" s="1058"/>
      <c r="AA45" s="1058"/>
      <c r="AB45" s="1058"/>
      <c r="AC45" s="1058"/>
      <c r="AD45" s="1058"/>
      <c r="AE45" s="1058"/>
      <c r="AF45" s="1051">
        <v>2</v>
      </c>
      <c r="AG45" s="1051"/>
      <c r="AH45" s="1051"/>
      <c r="AI45" s="1051"/>
      <c r="AJ45" s="1054" t="str">
        <f>AJ1</f>
        <v>Steel City Roller Derby / Steel Hurtin'</v>
      </c>
      <c r="AK45" s="1054"/>
      <c r="AL45" s="1054"/>
      <c r="AM45" s="1054"/>
      <c r="AN45" s="1054"/>
      <c r="AO45" s="1054"/>
      <c r="AP45" s="1054"/>
      <c r="AQ45" s="1054"/>
      <c r="AR45" s="1054"/>
      <c r="AS45" s="1054"/>
      <c r="AT45" s="1056" t="str">
        <f>AT1</f>
        <v>Yellow</v>
      </c>
      <c r="AU45" s="1056"/>
      <c r="AV45" s="1056"/>
      <c r="AW45" s="1056"/>
      <c r="AX45" s="1056"/>
      <c r="AY45" s="1057">
        <f>AY1</f>
        <v>45144</v>
      </c>
      <c r="AZ45" s="1057"/>
      <c r="BA45" s="1057"/>
      <c r="BB45" s="1057"/>
      <c r="BC45" s="1058"/>
      <c r="BD45" s="1058"/>
      <c r="BE45" s="1058"/>
      <c r="BF45" s="1058"/>
      <c r="BG45" s="1058"/>
      <c r="BH45" s="1058"/>
      <c r="BI45" s="1058"/>
      <c r="BJ45" s="1058"/>
      <c r="BK45" s="1058"/>
      <c r="BL45" s="1058"/>
      <c r="BM45" s="1058"/>
      <c r="BN45" s="1058"/>
      <c r="BO45" s="1051">
        <v>2</v>
      </c>
      <c r="BP45" s="1051"/>
      <c r="BQ45" s="1051"/>
      <c r="BR45" s="1051"/>
    </row>
    <row r="46" spans="1:71" ht="15" customHeight="1" thickBot="1" x14ac:dyDescent="0.35">
      <c r="A46" s="1055"/>
      <c r="B46" s="1055"/>
      <c r="C46" s="1055"/>
      <c r="D46" s="1055"/>
      <c r="E46" s="1055"/>
      <c r="F46" s="1055"/>
      <c r="G46" s="1055"/>
      <c r="H46" s="1055"/>
      <c r="I46" s="1055"/>
      <c r="J46" s="1055"/>
      <c r="K46" s="1025" t="s">
        <v>181</v>
      </c>
      <c r="L46" s="1025"/>
      <c r="M46" s="1025"/>
      <c r="N46" s="1025"/>
      <c r="O46" s="1025"/>
      <c r="P46" s="1052" t="s">
        <v>184</v>
      </c>
      <c r="Q46" s="1052"/>
      <c r="R46" s="1052"/>
      <c r="S46" s="1052"/>
      <c r="T46" s="1025" t="s">
        <v>490</v>
      </c>
      <c r="U46" s="1025"/>
      <c r="V46" s="1025"/>
      <c r="W46" s="1025"/>
      <c r="X46" s="1025"/>
      <c r="Y46" s="1025"/>
      <c r="Z46" s="1025"/>
      <c r="AA46" s="1025"/>
      <c r="AB46" s="1025"/>
      <c r="AC46" s="1025"/>
      <c r="AD46" s="1025"/>
      <c r="AE46" s="1025"/>
      <c r="AF46" s="1053" t="str">
        <f>AF2</f>
        <v/>
      </c>
      <c r="AG46" s="1053"/>
      <c r="AH46" s="1053"/>
      <c r="AI46" s="1053"/>
      <c r="AJ46" s="1055"/>
      <c r="AK46" s="1055"/>
      <c r="AL46" s="1055"/>
      <c r="AM46" s="1055"/>
      <c r="AN46" s="1055"/>
      <c r="AO46" s="1055"/>
      <c r="AP46" s="1055"/>
      <c r="AQ46" s="1055"/>
      <c r="AR46" s="1055"/>
      <c r="AS46" s="1055"/>
      <c r="AT46" s="1025" t="s">
        <v>181</v>
      </c>
      <c r="AU46" s="1025"/>
      <c r="AV46" s="1025"/>
      <c r="AW46" s="1025"/>
      <c r="AX46" s="1025"/>
      <c r="AY46" s="1052" t="s">
        <v>184</v>
      </c>
      <c r="AZ46" s="1052"/>
      <c r="BA46" s="1052"/>
      <c r="BB46" s="1052"/>
      <c r="BC46" s="1025" t="s">
        <v>490</v>
      </c>
      <c r="BD46" s="1025"/>
      <c r="BE46" s="1025"/>
      <c r="BF46" s="1025"/>
      <c r="BG46" s="1025"/>
      <c r="BH46" s="1025"/>
      <c r="BI46" s="1025"/>
      <c r="BJ46" s="1025"/>
      <c r="BK46" s="1025"/>
      <c r="BL46" s="1025"/>
      <c r="BM46" s="1025"/>
      <c r="BN46" s="1025"/>
      <c r="BO46" s="1053" t="str">
        <f>BO2</f>
        <v/>
      </c>
      <c r="BP46" s="1053"/>
      <c r="BQ46" s="1053"/>
      <c r="BR46" s="1053"/>
    </row>
    <row r="47" spans="1:71" s="15" customFormat="1" ht="13.5" customHeight="1" thickBot="1" x14ac:dyDescent="0.35">
      <c r="A47" s="703" t="s">
        <v>268</v>
      </c>
      <c r="B47" s="704" t="s">
        <v>182</v>
      </c>
      <c r="C47" s="705" t="s">
        <v>105</v>
      </c>
      <c r="D47" s="1050" t="s">
        <v>269</v>
      </c>
      <c r="E47" s="1050"/>
      <c r="F47" s="1050"/>
      <c r="G47" s="705" t="s">
        <v>103</v>
      </c>
      <c r="H47" s="1050" t="s">
        <v>269</v>
      </c>
      <c r="I47" s="1050"/>
      <c r="J47" s="1050"/>
      <c r="K47" s="705" t="s">
        <v>104</v>
      </c>
      <c r="L47" s="1050" t="s">
        <v>269</v>
      </c>
      <c r="M47" s="1050"/>
      <c r="N47" s="1050"/>
      <c r="O47" s="705" t="s">
        <v>104</v>
      </c>
      <c r="P47" s="1050" t="s">
        <v>269</v>
      </c>
      <c r="Q47" s="1050"/>
      <c r="R47" s="1050"/>
      <c r="S47" s="705" t="s">
        <v>104</v>
      </c>
      <c r="T47" s="1050" t="s">
        <v>269</v>
      </c>
      <c r="U47" s="1050"/>
      <c r="V47" s="1050"/>
      <c r="W47" s="706"/>
      <c r="X47" s="706" t="s">
        <v>491</v>
      </c>
      <c r="Y47" s="1048" t="s">
        <v>162</v>
      </c>
      <c r="Z47" s="1048"/>
      <c r="AA47" s="1048"/>
      <c r="AB47" s="1048"/>
      <c r="AC47" s="1048"/>
      <c r="AD47" s="1048"/>
      <c r="AE47" s="1048"/>
      <c r="AF47" s="1048"/>
      <c r="AG47" s="1048"/>
      <c r="AH47" s="1048" t="s">
        <v>110</v>
      </c>
      <c r="AI47" s="1049"/>
      <c r="AJ47" s="703" t="s">
        <v>268</v>
      </c>
      <c r="AK47" s="704" t="s">
        <v>182</v>
      </c>
      <c r="AL47" s="705" t="s">
        <v>105</v>
      </c>
      <c r="AM47" s="1050" t="s">
        <v>269</v>
      </c>
      <c r="AN47" s="1050"/>
      <c r="AO47" s="1050"/>
      <c r="AP47" s="705" t="s">
        <v>103</v>
      </c>
      <c r="AQ47" s="1050" t="s">
        <v>269</v>
      </c>
      <c r="AR47" s="1050"/>
      <c r="AS47" s="1050"/>
      <c r="AT47" s="705" t="s">
        <v>104</v>
      </c>
      <c r="AU47" s="1050" t="s">
        <v>269</v>
      </c>
      <c r="AV47" s="1050"/>
      <c r="AW47" s="1050"/>
      <c r="AX47" s="705" t="s">
        <v>104</v>
      </c>
      <c r="AY47" s="1050" t="s">
        <v>269</v>
      </c>
      <c r="AZ47" s="1050"/>
      <c r="BA47" s="1050"/>
      <c r="BB47" s="705" t="s">
        <v>104</v>
      </c>
      <c r="BC47" s="1050" t="s">
        <v>269</v>
      </c>
      <c r="BD47" s="1050"/>
      <c r="BE47" s="1050"/>
      <c r="BF47" s="706"/>
      <c r="BG47" s="706" t="s">
        <v>491</v>
      </c>
      <c r="BH47" s="1048" t="s">
        <v>162</v>
      </c>
      <c r="BI47" s="1048"/>
      <c r="BJ47" s="1048"/>
      <c r="BK47" s="1048"/>
      <c r="BL47" s="1048"/>
      <c r="BM47" s="1048"/>
      <c r="BN47" s="1048"/>
      <c r="BO47" s="1048"/>
      <c r="BP47" s="1048"/>
      <c r="BQ47" s="1048" t="s">
        <v>110</v>
      </c>
      <c r="BR47" s="1049"/>
    </row>
    <row r="48" spans="1:71" ht="31.95" customHeight="1" thickTop="1" thickBot="1" x14ac:dyDescent="0.35">
      <c r="A48" s="708"/>
      <c r="B48" s="709"/>
      <c r="C48" s="710"/>
      <c r="D48" s="711"/>
      <c r="E48" s="711"/>
      <c r="F48" s="711"/>
      <c r="G48" s="712"/>
      <c r="H48" s="711"/>
      <c r="I48" s="711"/>
      <c r="J48" s="711"/>
      <c r="K48" s="712"/>
      <c r="L48" s="711"/>
      <c r="M48" s="711"/>
      <c r="N48" s="711"/>
      <c r="O48" s="712"/>
      <c r="P48" s="711"/>
      <c r="Q48" s="711"/>
      <c r="R48" s="711"/>
      <c r="S48" s="712"/>
      <c r="T48" s="711"/>
      <c r="U48" s="711"/>
      <c r="V48" s="713"/>
      <c r="X48" s="1044" t="str">
        <f>X4</f>
        <v>101</v>
      </c>
      <c r="Y48" s="714"/>
      <c r="Z48" s="715"/>
      <c r="AA48" s="716"/>
      <c r="AB48" s="716"/>
      <c r="AC48" s="716"/>
      <c r="AD48" s="717"/>
      <c r="AE48" s="718"/>
      <c r="AF48" s="719"/>
      <c r="AG48" s="720"/>
      <c r="AH48" s="721"/>
      <c r="AI48" s="722"/>
      <c r="AJ48" s="708"/>
      <c r="AK48" s="709"/>
      <c r="AL48" s="710"/>
      <c r="AM48" s="711"/>
      <c r="AN48" s="711"/>
      <c r="AO48" s="711"/>
      <c r="AP48" s="712"/>
      <c r="AQ48" s="711"/>
      <c r="AR48" s="711"/>
      <c r="AS48" s="711"/>
      <c r="AT48" s="712"/>
      <c r="AU48" s="711"/>
      <c r="AV48" s="711"/>
      <c r="AW48" s="711"/>
      <c r="AX48" s="712"/>
      <c r="AY48" s="711"/>
      <c r="AZ48" s="711"/>
      <c r="BA48" s="711"/>
      <c r="BB48" s="712"/>
      <c r="BC48" s="711"/>
      <c r="BD48" s="711"/>
      <c r="BE48" s="713"/>
      <c r="BG48" s="1044" t="str">
        <f>BG4</f>
        <v>12</v>
      </c>
      <c r="BH48" s="714"/>
      <c r="BI48" s="715"/>
      <c r="BJ48" s="716"/>
      <c r="BK48" s="716"/>
      <c r="BL48" s="716"/>
      <c r="BM48" s="717"/>
      <c r="BN48" s="718"/>
      <c r="BO48" s="719"/>
      <c r="BP48" s="720"/>
      <c r="BQ48" s="721"/>
      <c r="BR48" s="722"/>
    </row>
    <row r="49" spans="1:70" ht="31.95" customHeight="1" thickBot="1" x14ac:dyDescent="0.35">
      <c r="A49" s="723"/>
      <c r="B49" s="724"/>
      <c r="C49" s="725"/>
      <c r="D49" s="711"/>
      <c r="E49" s="711"/>
      <c r="F49" s="711"/>
      <c r="G49" s="726"/>
      <c r="H49" s="711"/>
      <c r="I49" s="711"/>
      <c r="J49" s="711"/>
      <c r="K49" s="726"/>
      <c r="L49" s="711"/>
      <c r="M49" s="711"/>
      <c r="N49" s="711"/>
      <c r="O49" s="726"/>
      <c r="P49" s="711"/>
      <c r="Q49" s="711"/>
      <c r="R49" s="711"/>
      <c r="S49" s="726"/>
      <c r="T49" s="711"/>
      <c r="U49" s="711"/>
      <c r="V49" s="713"/>
      <c r="X49" s="1045"/>
      <c r="Y49" s="727"/>
      <c r="Z49" s="728"/>
      <c r="AA49" s="729"/>
      <c r="AB49" s="729"/>
      <c r="AC49" s="729"/>
      <c r="AD49" s="730"/>
      <c r="AE49" s="731"/>
      <c r="AF49" s="732"/>
      <c r="AG49" s="733"/>
      <c r="AH49" s="734"/>
      <c r="AI49" s="735"/>
      <c r="AJ49" s="723"/>
      <c r="AK49" s="724"/>
      <c r="AL49" s="725"/>
      <c r="AM49" s="711"/>
      <c r="AN49" s="711"/>
      <c r="AO49" s="711"/>
      <c r="AP49" s="726"/>
      <c r="AQ49" s="711"/>
      <c r="AR49" s="711"/>
      <c r="AS49" s="711"/>
      <c r="AT49" s="726"/>
      <c r="AU49" s="711"/>
      <c r="AV49" s="711"/>
      <c r="AW49" s="711"/>
      <c r="AX49" s="726"/>
      <c r="AY49" s="711"/>
      <c r="AZ49" s="711"/>
      <c r="BA49" s="711"/>
      <c r="BB49" s="726"/>
      <c r="BC49" s="711"/>
      <c r="BD49" s="711"/>
      <c r="BE49" s="713"/>
      <c r="BG49" s="1045"/>
      <c r="BH49" s="727"/>
      <c r="BI49" s="728"/>
      <c r="BJ49" s="729"/>
      <c r="BK49" s="729"/>
      <c r="BL49" s="729"/>
      <c r="BM49" s="730"/>
      <c r="BN49" s="731"/>
      <c r="BO49" s="732"/>
      <c r="BP49" s="733"/>
      <c r="BQ49" s="734"/>
      <c r="BR49" s="735"/>
    </row>
    <row r="50" spans="1:70" ht="31.95" customHeight="1" thickTop="1" thickBot="1" x14ac:dyDescent="0.35">
      <c r="A50" s="708"/>
      <c r="B50" s="709"/>
      <c r="C50" s="710"/>
      <c r="D50" s="711"/>
      <c r="E50" s="711"/>
      <c r="F50" s="711"/>
      <c r="G50" s="712"/>
      <c r="H50" s="711"/>
      <c r="I50" s="711"/>
      <c r="J50" s="711"/>
      <c r="K50" s="712"/>
      <c r="L50" s="711"/>
      <c r="M50" s="711"/>
      <c r="N50" s="711"/>
      <c r="O50" s="712"/>
      <c r="P50" s="711"/>
      <c r="Q50" s="711"/>
      <c r="R50" s="711"/>
      <c r="S50" s="712"/>
      <c r="T50" s="711"/>
      <c r="U50" s="711"/>
      <c r="V50" s="713"/>
      <c r="X50" s="1042" t="str">
        <f>X6</f>
        <v>123</v>
      </c>
      <c r="Y50" s="736"/>
      <c r="Z50" s="737"/>
      <c r="AA50" s="738"/>
      <c r="AB50" s="738"/>
      <c r="AC50" s="738"/>
      <c r="AD50" s="739"/>
      <c r="AE50" s="740"/>
      <c r="AF50" s="741"/>
      <c r="AG50" s="742"/>
      <c r="AH50" s="743"/>
      <c r="AI50" s="722"/>
      <c r="AJ50" s="708"/>
      <c r="AK50" s="709"/>
      <c r="AL50" s="710"/>
      <c r="AM50" s="711"/>
      <c r="AN50" s="711"/>
      <c r="AO50" s="711"/>
      <c r="AP50" s="712"/>
      <c r="AQ50" s="711"/>
      <c r="AR50" s="711"/>
      <c r="AS50" s="711"/>
      <c r="AT50" s="712"/>
      <c r="AU50" s="711"/>
      <c r="AV50" s="711"/>
      <c r="AW50" s="711"/>
      <c r="AX50" s="712"/>
      <c r="AY50" s="711"/>
      <c r="AZ50" s="711"/>
      <c r="BA50" s="711"/>
      <c r="BB50" s="712"/>
      <c r="BC50" s="711"/>
      <c r="BD50" s="711"/>
      <c r="BE50" s="713"/>
      <c r="BG50" s="1042" t="str">
        <f>BG6</f>
        <v>16</v>
      </c>
      <c r="BH50" s="736"/>
      <c r="BI50" s="737"/>
      <c r="BJ50" s="738"/>
      <c r="BK50" s="738"/>
      <c r="BL50" s="738"/>
      <c r="BM50" s="739"/>
      <c r="BN50" s="740"/>
      <c r="BO50" s="741"/>
      <c r="BP50" s="742"/>
      <c r="BQ50" s="743"/>
      <c r="BR50" s="722"/>
    </row>
    <row r="51" spans="1:70" ht="31.95" customHeight="1" thickBot="1" x14ac:dyDescent="0.35">
      <c r="A51" s="723"/>
      <c r="B51" s="724"/>
      <c r="C51" s="725"/>
      <c r="D51" s="711"/>
      <c r="E51" s="711"/>
      <c r="F51" s="711"/>
      <c r="G51" s="726"/>
      <c r="H51" s="711"/>
      <c r="I51" s="711"/>
      <c r="J51" s="711"/>
      <c r="K51" s="726"/>
      <c r="L51" s="711"/>
      <c r="M51" s="711"/>
      <c r="N51" s="711"/>
      <c r="O51" s="726"/>
      <c r="P51" s="711"/>
      <c r="Q51" s="711"/>
      <c r="R51" s="711"/>
      <c r="S51" s="726"/>
      <c r="T51" s="711"/>
      <c r="U51" s="711"/>
      <c r="V51" s="713"/>
      <c r="X51" s="1043"/>
      <c r="Y51" s="744"/>
      <c r="Z51" s="745"/>
      <c r="AA51" s="746"/>
      <c r="AB51" s="746"/>
      <c r="AC51" s="746"/>
      <c r="AD51" s="747"/>
      <c r="AE51" s="748"/>
      <c r="AF51" s="749"/>
      <c r="AG51" s="750"/>
      <c r="AH51" s="734"/>
      <c r="AI51" s="735"/>
      <c r="AJ51" s="723"/>
      <c r="AK51" s="724"/>
      <c r="AL51" s="725"/>
      <c r="AM51" s="711"/>
      <c r="AN51" s="711"/>
      <c r="AO51" s="711"/>
      <c r="AP51" s="726"/>
      <c r="AQ51" s="711"/>
      <c r="AR51" s="711"/>
      <c r="AS51" s="711"/>
      <c r="AT51" s="726"/>
      <c r="AU51" s="711"/>
      <c r="AV51" s="711"/>
      <c r="AW51" s="711"/>
      <c r="AX51" s="726"/>
      <c r="AY51" s="711"/>
      <c r="AZ51" s="711"/>
      <c r="BA51" s="711"/>
      <c r="BB51" s="726"/>
      <c r="BC51" s="711"/>
      <c r="BD51" s="711"/>
      <c r="BE51" s="713"/>
      <c r="BG51" s="1043"/>
      <c r="BH51" s="744"/>
      <c r="BI51" s="745"/>
      <c r="BJ51" s="746"/>
      <c r="BK51" s="746"/>
      <c r="BL51" s="746"/>
      <c r="BM51" s="747"/>
      <c r="BN51" s="748"/>
      <c r="BO51" s="749"/>
      <c r="BP51" s="750"/>
      <c r="BQ51" s="734"/>
      <c r="BR51" s="735"/>
    </row>
    <row r="52" spans="1:70" ht="31.95" customHeight="1" thickTop="1" thickBot="1" x14ac:dyDescent="0.35">
      <c r="A52" s="708"/>
      <c r="B52" s="709"/>
      <c r="C52" s="710"/>
      <c r="D52" s="711"/>
      <c r="E52" s="711"/>
      <c r="F52" s="711"/>
      <c r="G52" s="712"/>
      <c r="H52" s="711"/>
      <c r="I52" s="711"/>
      <c r="J52" s="711"/>
      <c r="K52" s="712"/>
      <c r="L52" s="711"/>
      <c r="M52" s="711"/>
      <c r="N52" s="711"/>
      <c r="O52" s="712"/>
      <c r="P52" s="711"/>
      <c r="Q52" s="711"/>
      <c r="R52" s="711"/>
      <c r="S52" s="712"/>
      <c r="T52" s="711"/>
      <c r="U52" s="711"/>
      <c r="V52" s="713"/>
      <c r="X52" s="1044" t="str">
        <f t="shared" ref="X52" si="0">X8</f>
        <v>1760</v>
      </c>
      <c r="Y52" s="714"/>
      <c r="Z52" s="715"/>
      <c r="AA52" s="716"/>
      <c r="AB52" s="716"/>
      <c r="AC52" s="716"/>
      <c r="AD52" s="717"/>
      <c r="AE52" s="718"/>
      <c r="AF52" s="719"/>
      <c r="AG52" s="720"/>
      <c r="AH52" s="743"/>
      <c r="AI52" s="722"/>
      <c r="AJ52" s="708"/>
      <c r="AK52" s="709"/>
      <c r="AL52" s="710"/>
      <c r="AM52" s="711"/>
      <c r="AN52" s="711"/>
      <c r="AO52" s="711"/>
      <c r="AP52" s="712"/>
      <c r="AQ52" s="711"/>
      <c r="AR52" s="711"/>
      <c r="AS52" s="711"/>
      <c r="AT52" s="712"/>
      <c r="AU52" s="711"/>
      <c r="AV52" s="711"/>
      <c r="AW52" s="711"/>
      <c r="AX52" s="712"/>
      <c r="AY52" s="711"/>
      <c r="AZ52" s="711"/>
      <c r="BA52" s="711"/>
      <c r="BB52" s="712"/>
      <c r="BC52" s="711"/>
      <c r="BD52" s="711"/>
      <c r="BE52" s="713"/>
      <c r="BG52" s="1044" t="str">
        <f t="shared" ref="BG52" si="1">BG8</f>
        <v>17</v>
      </c>
      <c r="BH52" s="714"/>
      <c r="BI52" s="715"/>
      <c r="BJ52" s="716"/>
      <c r="BK52" s="716"/>
      <c r="BL52" s="716"/>
      <c r="BM52" s="717"/>
      <c r="BN52" s="718"/>
      <c r="BO52" s="719"/>
      <c r="BP52" s="720"/>
      <c r="BQ52" s="743"/>
      <c r="BR52" s="722"/>
    </row>
    <row r="53" spans="1:70" ht="31.95" customHeight="1" thickBot="1" x14ac:dyDescent="0.35">
      <c r="A53" s="723"/>
      <c r="B53" s="724"/>
      <c r="C53" s="725"/>
      <c r="D53" s="711"/>
      <c r="E53" s="711"/>
      <c r="F53" s="711"/>
      <c r="G53" s="726"/>
      <c r="H53" s="711"/>
      <c r="I53" s="711"/>
      <c r="J53" s="711"/>
      <c r="K53" s="726"/>
      <c r="L53" s="711"/>
      <c r="M53" s="711"/>
      <c r="N53" s="711"/>
      <c r="O53" s="726"/>
      <c r="P53" s="711"/>
      <c r="Q53" s="711"/>
      <c r="R53" s="711"/>
      <c r="S53" s="726"/>
      <c r="T53" s="711"/>
      <c r="U53" s="711"/>
      <c r="V53" s="713"/>
      <c r="X53" s="1045"/>
      <c r="Y53" s="727"/>
      <c r="Z53" s="728"/>
      <c r="AA53" s="729"/>
      <c r="AB53" s="729"/>
      <c r="AC53" s="729"/>
      <c r="AD53" s="730"/>
      <c r="AE53" s="731"/>
      <c r="AF53" s="732"/>
      <c r="AG53" s="733"/>
      <c r="AH53" s="734"/>
      <c r="AI53" s="735"/>
      <c r="AJ53" s="723"/>
      <c r="AK53" s="724"/>
      <c r="AL53" s="725"/>
      <c r="AM53" s="711"/>
      <c r="AN53" s="711"/>
      <c r="AO53" s="711"/>
      <c r="AP53" s="726"/>
      <c r="AQ53" s="711"/>
      <c r="AR53" s="711"/>
      <c r="AS53" s="711"/>
      <c r="AT53" s="726"/>
      <c r="AU53" s="711"/>
      <c r="AV53" s="711"/>
      <c r="AW53" s="711"/>
      <c r="AX53" s="726"/>
      <c r="AY53" s="711"/>
      <c r="AZ53" s="711"/>
      <c r="BA53" s="711"/>
      <c r="BB53" s="726"/>
      <c r="BC53" s="711"/>
      <c r="BD53" s="711"/>
      <c r="BE53" s="713"/>
      <c r="BG53" s="1045"/>
      <c r="BH53" s="727"/>
      <c r="BI53" s="728"/>
      <c r="BJ53" s="729"/>
      <c r="BK53" s="729"/>
      <c r="BL53" s="729"/>
      <c r="BM53" s="730"/>
      <c r="BN53" s="731"/>
      <c r="BO53" s="732"/>
      <c r="BP53" s="733"/>
      <c r="BQ53" s="734"/>
      <c r="BR53" s="735"/>
    </row>
    <row r="54" spans="1:70" ht="31.95" customHeight="1" thickTop="1" thickBot="1" x14ac:dyDescent="0.35">
      <c r="A54" s="708"/>
      <c r="B54" s="709"/>
      <c r="C54" s="710"/>
      <c r="D54" s="711"/>
      <c r="E54" s="711"/>
      <c r="F54" s="711"/>
      <c r="G54" s="712"/>
      <c r="H54" s="711"/>
      <c r="I54" s="711"/>
      <c r="J54" s="711"/>
      <c r="K54" s="712"/>
      <c r="L54" s="711"/>
      <c r="M54" s="711"/>
      <c r="N54" s="711"/>
      <c r="O54" s="712"/>
      <c r="P54" s="711"/>
      <c r="Q54" s="711"/>
      <c r="R54" s="711"/>
      <c r="S54" s="712"/>
      <c r="T54" s="711"/>
      <c r="U54" s="711"/>
      <c r="V54" s="713"/>
      <c r="X54" s="1042" t="str">
        <f t="shared" ref="X54" si="2">X10</f>
        <v>202</v>
      </c>
      <c r="Y54" s="736"/>
      <c r="Z54" s="737"/>
      <c r="AA54" s="738"/>
      <c r="AB54" s="738"/>
      <c r="AC54" s="738"/>
      <c r="AD54" s="739"/>
      <c r="AE54" s="740"/>
      <c r="AF54" s="741"/>
      <c r="AG54" s="742"/>
      <c r="AH54" s="743"/>
      <c r="AI54" s="722"/>
      <c r="AJ54" s="708"/>
      <c r="AK54" s="709"/>
      <c r="AL54" s="710"/>
      <c r="AM54" s="711"/>
      <c r="AN54" s="711"/>
      <c r="AO54" s="711"/>
      <c r="AP54" s="712"/>
      <c r="AQ54" s="711"/>
      <c r="AR54" s="711"/>
      <c r="AS54" s="711"/>
      <c r="AT54" s="712"/>
      <c r="AU54" s="711"/>
      <c r="AV54" s="711"/>
      <c r="AW54" s="711"/>
      <c r="AX54" s="712"/>
      <c r="AY54" s="711"/>
      <c r="AZ54" s="711"/>
      <c r="BA54" s="711"/>
      <c r="BB54" s="712"/>
      <c r="BC54" s="711"/>
      <c r="BD54" s="711"/>
      <c r="BE54" s="713"/>
      <c r="BG54" s="1042" t="str">
        <f t="shared" ref="BG54" si="3">BG10</f>
        <v>2</v>
      </c>
      <c r="BH54" s="736"/>
      <c r="BI54" s="737"/>
      <c r="BJ54" s="738"/>
      <c r="BK54" s="738"/>
      <c r="BL54" s="738"/>
      <c r="BM54" s="739"/>
      <c r="BN54" s="740"/>
      <c r="BO54" s="741"/>
      <c r="BP54" s="742"/>
      <c r="BQ54" s="743"/>
      <c r="BR54" s="722"/>
    </row>
    <row r="55" spans="1:70" ht="31.95" customHeight="1" thickBot="1" x14ac:dyDescent="0.35">
      <c r="A55" s="723"/>
      <c r="B55" s="724"/>
      <c r="C55" s="725"/>
      <c r="D55" s="711"/>
      <c r="E55" s="711"/>
      <c r="F55" s="711"/>
      <c r="G55" s="726"/>
      <c r="H55" s="711"/>
      <c r="I55" s="711"/>
      <c r="J55" s="711"/>
      <c r="K55" s="726"/>
      <c r="L55" s="711"/>
      <c r="M55" s="711"/>
      <c r="N55" s="711"/>
      <c r="O55" s="726"/>
      <c r="P55" s="711"/>
      <c r="Q55" s="711"/>
      <c r="R55" s="711"/>
      <c r="S55" s="726"/>
      <c r="T55" s="711"/>
      <c r="U55" s="711"/>
      <c r="V55" s="713"/>
      <c r="X55" s="1043"/>
      <c r="Y55" s="744"/>
      <c r="Z55" s="745"/>
      <c r="AA55" s="746"/>
      <c r="AB55" s="746"/>
      <c r="AC55" s="746"/>
      <c r="AD55" s="747"/>
      <c r="AE55" s="748"/>
      <c r="AF55" s="749"/>
      <c r="AG55" s="750"/>
      <c r="AH55" s="734"/>
      <c r="AI55" s="735"/>
      <c r="AJ55" s="723"/>
      <c r="AK55" s="724"/>
      <c r="AL55" s="725"/>
      <c r="AM55" s="711"/>
      <c r="AN55" s="711"/>
      <c r="AO55" s="711"/>
      <c r="AP55" s="726"/>
      <c r="AQ55" s="711"/>
      <c r="AR55" s="711"/>
      <c r="AS55" s="711"/>
      <c r="AT55" s="726"/>
      <c r="AU55" s="711"/>
      <c r="AV55" s="711"/>
      <c r="AW55" s="711"/>
      <c r="AX55" s="726"/>
      <c r="AY55" s="711"/>
      <c r="AZ55" s="711"/>
      <c r="BA55" s="711"/>
      <c r="BB55" s="726"/>
      <c r="BC55" s="711"/>
      <c r="BD55" s="711"/>
      <c r="BE55" s="713"/>
      <c r="BG55" s="1043"/>
      <c r="BH55" s="744"/>
      <c r="BI55" s="745"/>
      <c r="BJ55" s="746"/>
      <c r="BK55" s="746"/>
      <c r="BL55" s="746"/>
      <c r="BM55" s="747"/>
      <c r="BN55" s="748"/>
      <c r="BO55" s="749"/>
      <c r="BP55" s="750"/>
      <c r="BQ55" s="734"/>
      <c r="BR55" s="735"/>
    </row>
    <row r="56" spans="1:70" ht="31.95" customHeight="1" thickTop="1" thickBot="1" x14ac:dyDescent="0.35">
      <c r="A56" s="708"/>
      <c r="B56" s="709"/>
      <c r="C56" s="710"/>
      <c r="D56" s="711"/>
      <c r="E56" s="711"/>
      <c r="F56" s="711"/>
      <c r="G56" s="712"/>
      <c r="H56" s="711"/>
      <c r="I56" s="711"/>
      <c r="J56" s="711"/>
      <c r="K56" s="712"/>
      <c r="L56" s="711"/>
      <c r="M56" s="711"/>
      <c r="N56" s="711"/>
      <c r="O56" s="712"/>
      <c r="P56" s="711"/>
      <c r="Q56" s="711"/>
      <c r="R56" s="711"/>
      <c r="S56" s="712"/>
      <c r="T56" s="711"/>
      <c r="U56" s="711"/>
      <c r="V56" s="713"/>
      <c r="X56" s="1044" t="str">
        <f t="shared" ref="X56" si="4">X12</f>
        <v>22</v>
      </c>
      <c r="Y56" s="714"/>
      <c r="Z56" s="715"/>
      <c r="AA56" s="716"/>
      <c r="AB56" s="716"/>
      <c r="AC56" s="716"/>
      <c r="AD56" s="717"/>
      <c r="AE56" s="718"/>
      <c r="AF56" s="719"/>
      <c r="AG56" s="720"/>
      <c r="AH56" s="743"/>
      <c r="AI56" s="722"/>
      <c r="AJ56" s="708"/>
      <c r="AK56" s="709"/>
      <c r="AL56" s="710"/>
      <c r="AM56" s="711"/>
      <c r="AN56" s="711"/>
      <c r="AO56" s="711"/>
      <c r="AP56" s="712"/>
      <c r="AQ56" s="711"/>
      <c r="AR56" s="711"/>
      <c r="AS56" s="711"/>
      <c r="AT56" s="712"/>
      <c r="AU56" s="711"/>
      <c r="AV56" s="711"/>
      <c r="AW56" s="711"/>
      <c r="AX56" s="712"/>
      <c r="AY56" s="711"/>
      <c r="AZ56" s="711"/>
      <c r="BA56" s="711"/>
      <c r="BB56" s="712"/>
      <c r="BC56" s="711"/>
      <c r="BD56" s="711"/>
      <c r="BE56" s="713"/>
      <c r="BG56" s="1044" t="str">
        <f t="shared" ref="BG56" si="5">BG12</f>
        <v>219</v>
      </c>
      <c r="BH56" s="714"/>
      <c r="BI56" s="715"/>
      <c r="BJ56" s="716"/>
      <c r="BK56" s="716"/>
      <c r="BL56" s="716"/>
      <c r="BM56" s="717"/>
      <c r="BN56" s="718"/>
      <c r="BO56" s="719"/>
      <c r="BP56" s="720"/>
      <c r="BQ56" s="743"/>
      <c r="BR56" s="722"/>
    </row>
    <row r="57" spans="1:70" ht="31.95" customHeight="1" thickBot="1" x14ac:dyDescent="0.35">
      <c r="A57" s="723"/>
      <c r="B57" s="724"/>
      <c r="C57" s="725"/>
      <c r="D57" s="711"/>
      <c r="E57" s="711"/>
      <c r="F57" s="711"/>
      <c r="G57" s="726"/>
      <c r="H57" s="711"/>
      <c r="I57" s="711"/>
      <c r="J57" s="711"/>
      <c r="K57" s="726"/>
      <c r="L57" s="711"/>
      <c r="M57" s="711"/>
      <c r="N57" s="711"/>
      <c r="O57" s="726"/>
      <c r="P57" s="711"/>
      <c r="Q57" s="711"/>
      <c r="R57" s="711"/>
      <c r="S57" s="726"/>
      <c r="T57" s="711"/>
      <c r="U57" s="711"/>
      <c r="V57" s="713"/>
      <c r="X57" s="1045"/>
      <c r="Y57" s="727"/>
      <c r="Z57" s="728"/>
      <c r="AA57" s="729"/>
      <c r="AB57" s="729"/>
      <c r="AC57" s="729"/>
      <c r="AD57" s="730"/>
      <c r="AE57" s="731"/>
      <c r="AF57" s="732"/>
      <c r="AG57" s="733"/>
      <c r="AH57" s="734"/>
      <c r="AI57" s="735"/>
      <c r="AJ57" s="723"/>
      <c r="AK57" s="724"/>
      <c r="AL57" s="725"/>
      <c r="AM57" s="711"/>
      <c r="AN57" s="711"/>
      <c r="AO57" s="711"/>
      <c r="AP57" s="726"/>
      <c r="AQ57" s="711"/>
      <c r="AR57" s="711"/>
      <c r="AS57" s="711"/>
      <c r="AT57" s="726"/>
      <c r="AU57" s="711"/>
      <c r="AV57" s="711"/>
      <c r="AW57" s="711"/>
      <c r="AX57" s="726"/>
      <c r="AY57" s="711"/>
      <c r="AZ57" s="711"/>
      <c r="BA57" s="711"/>
      <c r="BB57" s="726"/>
      <c r="BC57" s="711"/>
      <c r="BD57" s="711"/>
      <c r="BE57" s="713"/>
      <c r="BG57" s="1045"/>
      <c r="BH57" s="727"/>
      <c r="BI57" s="728"/>
      <c r="BJ57" s="729"/>
      <c r="BK57" s="729"/>
      <c r="BL57" s="729"/>
      <c r="BM57" s="730"/>
      <c r="BN57" s="731"/>
      <c r="BO57" s="732"/>
      <c r="BP57" s="733"/>
      <c r="BQ57" s="734"/>
      <c r="BR57" s="735"/>
    </row>
    <row r="58" spans="1:70" ht="31.95" customHeight="1" thickTop="1" thickBot="1" x14ac:dyDescent="0.35">
      <c r="A58" s="708"/>
      <c r="B58" s="709"/>
      <c r="C58" s="710"/>
      <c r="D58" s="711"/>
      <c r="E58" s="711"/>
      <c r="F58" s="711"/>
      <c r="G58" s="712"/>
      <c r="H58" s="711"/>
      <c r="I58" s="711"/>
      <c r="J58" s="711"/>
      <c r="K58" s="712"/>
      <c r="L58" s="711"/>
      <c r="M58" s="711"/>
      <c r="N58" s="711"/>
      <c r="O58" s="712"/>
      <c r="P58" s="711"/>
      <c r="Q58" s="711"/>
      <c r="R58" s="711"/>
      <c r="S58" s="712"/>
      <c r="T58" s="711"/>
      <c r="U58" s="711"/>
      <c r="V58" s="713"/>
      <c r="X58" s="1042" t="str">
        <f t="shared" ref="X58" si="6">X14</f>
        <v>221*</v>
      </c>
      <c r="Y58" s="736"/>
      <c r="Z58" s="737"/>
      <c r="AA58" s="738"/>
      <c r="AB58" s="738"/>
      <c r="AC58" s="738"/>
      <c r="AD58" s="739"/>
      <c r="AE58" s="740"/>
      <c r="AF58" s="741"/>
      <c r="AG58" s="742"/>
      <c r="AH58" s="743"/>
      <c r="AI58" s="722"/>
      <c r="AJ58" s="708"/>
      <c r="AK58" s="709"/>
      <c r="AL58" s="710"/>
      <c r="AM58" s="711"/>
      <c r="AN58" s="711"/>
      <c r="AO58" s="711"/>
      <c r="AP58" s="712"/>
      <c r="AQ58" s="711"/>
      <c r="AR58" s="711"/>
      <c r="AS58" s="711"/>
      <c r="AT58" s="712"/>
      <c r="AU58" s="711"/>
      <c r="AV58" s="711"/>
      <c r="AW58" s="711"/>
      <c r="AX58" s="712"/>
      <c r="AY58" s="711"/>
      <c r="AZ58" s="711"/>
      <c r="BA58" s="711"/>
      <c r="BB58" s="712"/>
      <c r="BC58" s="711"/>
      <c r="BD58" s="711"/>
      <c r="BE58" s="713"/>
      <c r="BG58" s="1042" t="str">
        <f t="shared" ref="BG58" si="7">BG14</f>
        <v>22</v>
      </c>
      <c r="BH58" s="736"/>
      <c r="BI58" s="737"/>
      <c r="BJ58" s="738"/>
      <c r="BK58" s="738"/>
      <c r="BL58" s="738"/>
      <c r="BM58" s="739"/>
      <c r="BN58" s="740"/>
      <c r="BO58" s="741"/>
      <c r="BP58" s="742"/>
      <c r="BQ58" s="743"/>
      <c r="BR58" s="722"/>
    </row>
    <row r="59" spans="1:70" ht="31.95" customHeight="1" thickBot="1" x14ac:dyDescent="0.35">
      <c r="A59" s="723"/>
      <c r="B59" s="724"/>
      <c r="C59" s="725"/>
      <c r="D59" s="711"/>
      <c r="E59" s="711"/>
      <c r="F59" s="711"/>
      <c r="G59" s="726"/>
      <c r="H59" s="711"/>
      <c r="I59" s="711"/>
      <c r="J59" s="711"/>
      <c r="K59" s="726"/>
      <c r="L59" s="711"/>
      <c r="M59" s="711"/>
      <c r="N59" s="711"/>
      <c r="O59" s="726"/>
      <c r="P59" s="711"/>
      <c r="Q59" s="711"/>
      <c r="R59" s="711"/>
      <c r="S59" s="726"/>
      <c r="T59" s="711"/>
      <c r="U59" s="711"/>
      <c r="V59" s="713"/>
      <c r="X59" s="1043"/>
      <c r="Y59" s="744"/>
      <c r="Z59" s="745"/>
      <c r="AA59" s="746"/>
      <c r="AB59" s="746"/>
      <c r="AC59" s="746"/>
      <c r="AD59" s="747"/>
      <c r="AE59" s="748"/>
      <c r="AF59" s="749"/>
      <c r="AG59" s="750"/>
      <c r="AH59" s="734"/>
      <c r="AI59" s="735"/>
      <c r="AJ59" s="723"/>
      <c r="AK59" s="724"/>
      <c r="AL59" s="725"/>
      <c r="AM59" s="711"/>
      <c r="AN59" s="711"/>
      <c r="AO59" s="711"/>
      <c r="AP59" s="726"/>
      <c r="AQ59" s="711"/>
      <c r="AR59" s="711"/>
      <c r="AS59" s="711"/>
      <c r="AT59" s="726"/>
      <c r="AU59" s="711"/>
      <c r="AV59" s="711"/>
      <c r="AW59" s="711"/>
      <c r="AX59" s="726"/>
      <c r="AY59" s="711"/>
      <c r="AZ59" s="711"/>
      <c r="BA59" s="711"/>
      <c r="BB59" s="726"/>
      <c r="BC59" s="711"/>
      <c r="BD59" s="711"/>
      <c r="BE59" s="713"/>
      <c r="BG59" s="1043"/>
      <c r="BH59" s="744"/>
      <c r="BI59" s="745"/>
      <c r="BJ59" s="746"/>
      <c r="BK59" s="746"/>
      <c r="BL59" s="746"/>
      <c r="BM59" s="747"/>
      <c r="BN59" s="748"/>
      <c r="BO59" s="749"/>
      <c r="BP59" s="750"/>
      <c r="BQ59" s="734"/>
      <c r="BR59" s="735"/>
    </row>
    <row r="60" spans="1:70" ht="31.95" customHeight="1" thickTop="1" thickBot="1" x14ac:dyDescent="0.35">
      <c r="A60" s="708"/>
      <c r="B60" s="709"/>
      <c r="C60" s="710"/>
      <c r="D60" s="711"/>
      <c r="E60" s="711"/>
      <c r="F60" s="711"/>
      <c r="G60" s="712"/>
      <c r="H60" s="711"/>
      <c r="I60" s="711"/>
      <c r="J60" s="711"/>
      <c r="K60" s="712"/>
      <c r="L60" s="711"/>
      <c r="M60" s="711"/>
      <c r="N60" s="711"/>
      <c r="O60" s="712"/>
      <c r="P60" s="711"/>
      <c r="Q60" s="711"/>
      <c r="R60" s="711"/>
      <c r="S60" s="712"/>
      <c r="T60" s="711"/>
      <c r="U60" s="711"/>
      <c r="V60" s="713"/>
      <c r="X60" s="1044" t="str">
        <f t="shared" ref="X60" si="8">X16</f>
        <v>229</v>
      </c>
      <c r="Y60" s="714"/>
      <c r="Z60" s="715"/>
      <c r="AA60" s="716"/>
      <c r="AB60" s="716"/>
      <c r="AC60" s="716"/>
      <c r="AD60" s="717"/>
      <c r="AE60" s="718"/>
      <c r="AF60" s="719"/>
      <c r="AG60" s="720"/>
      <c r="AH60" s="743"/>
      <c r="AI60" s="722"/>
      <c r="AJ60" s="708"/>
      <c r="AK60" s="709"/>
      <c r="AL60" s="710"/>
      <c r="AM60" s="711"/>
      <c r="AN60" s="711"/>
      <c r="AO60" s="711"/>
      <c r="AP60" s="712"/>
      <c r="AQ60" s="711"/>
      <c r="AR60" s="711"/>
      <c r="AS60" s="711"/>
      <c r="AT60" s="712"/>
      <c r="AU60" s="711"/>
      <c r="AV60" s="711"/>
      <c r="AW60" s="711"/>
      <c r="AX60" s="712"/>
      <c r="AY60" s="711"/>
      <c r="AZ60" s="711"/>
      <c r="BA60" s="711"/>
      <c r="BB60" s="712"/>
      <c r="BC60" s="711"/>
      <c r="BD60" s="711"/>
      <c r="BE60" s="713"/>
      <c r="BG60" s="1044" t="str">
        <f t="shared" ref="BG60" si="9">BG16</f>
        <v>223</v>
      </c>
      <c r="BH60" s="714"/>
      <c r="BI60" s="715"/>
      <c r="BJ60" s="716"/>
      <c r="BK60" s="716"/>
      <c r="BL60" s="716"/>
      <c r="BM60" s="717"/>
      <c r="BN60" s="718"/>
      <c r="BO60" s="719"/>
      <c r="BP60" s="720"/>
      <c r="BQ60" s="743"/>
      <c r="BR60" s="722"/>
    </row>
    <row r="61" spans="1:70" ht="31.95" customHeight="1" thickBot="1" x14ac:dyDescent="0.35">
      <c r="A61" s="723"/>
      <c r="B61" s="724"/>
      <c r="C61" s="725"/>
      <c r="D61" s="711"/>
      <c r="E61" s="711"/>
      <c r="F61" s="711"/>
      <c r="G61" s="726"/>
      <c r="H61" s="711"/>
      <c r="I61" s="711"/>
      <c r="J61" s="711"/>
      <c r="K61" s="726"/>
      <c r="L61" s="711"/>
      <c r="M61" s="711"/>
      <c r="N61" s="711"/>
      <c r="O61" s="726"/>
      <c r="P61" s="711"/>
      <c r="Q61" s="711"/>
      <c r="R61" s="711"/>
      <c r="S61" s="726"/>
      <c r="T61" s="711"/>
      <c r="U61" s="711"/>
      <c r="V61" s="713"/>
      <c r="X61" s="1045"/>
      <c r="Y61" s="727"/>
      <c r="Z61" s="728"/>
      <c r="AA61" s="729"/>
      <c r="AB61" s="729"/>
      <c r="AC61" s="729"/>
      <c r="AD61" s="730"/>
      <c r="AE61" s="731"/>
      <c r="AF61" s="732"/>
      <c r="AG61" s="733"/>
      <c r="AH61" s="734"/>
      <c r="AI61" s="735"/>
      <c r="AJ61" s="723"/>
      <c r="AK61" s="724"/>
      <c r="AL61" s="725"/>
      <c r="AM61" s="711"/>
      <c r="AN61" s="711"/>
      <c r="AO61" s="711"/>
      <c r="AP61" s="726"/>
      <c r="AQ61" s="711"/>
      <c r="AR61" s="711"/>
      <c r="AS61" s="711"/>
      <c r="AT61" s="726"/>
      <c r="AU61" s="711"/>
      <c r="AV61" s="711"/>
      <c r="AW61" s="711"/>
      <c r="AX61" s="726"/>
      <c r="AY61" s="711"/>
      <c r="AZ61" s="711"/>
      <c r="BA61" s="711"/>
      <c r="BB61" s="726"/>
      <c r="BC61" s="711"/>
      <c r="BD61" s="711"/>
      <c r="BE61" s="713"/>
      <c r="BG61" s="1045"/>
      <c r="BH61" s="727"/>
      <c r="BI61" s="728"/>
      <c r="BJ61" s="729"/>
      <c r="BK61" s="729"/>
      <c r="BL61" s="729"/>
      <c r="BM61" s="730"/>
      <c r="BN61" s="731"/>
      <c r="BO61" s="732"/>
      <c r="BP61" s="733"/>
      <c r="BQ61" s="734"/>
      <c r="BR61" s="735"/>
    </row>
    <row r="62" spans="1:70" ht="31.95" customHeight="1" thickTop="1" thickBot="1" x14ac:dyDescent="0.35">
      <c r="A62" s="708"/>
      <c r="B62" s="709"/>
      <c r="C62" s="710"/>
      <c r="D62" s="711"/>
      <c r="E62" s="711"/>
      <c r="F62" s="711"/>
      <c r="G62" s="712"/>
      <c r="H62" s="711"/>
      <c r="I62" s="711"/>
      <c r="J62" s="711"/>
      <c r="K62" s="712"/>
      <c r="L62" s="711"/>
      <c r="M62" s="711"/>
      <c r="N62" s="711"/>
      <c r="O62" s="712"/>
      <c r="P62" s="711"/>
      <c r="Q62" s="711"/>
      <c r="R62" s="711"/>
      <c r="S62" s="712"/>
      <c r="T62" s="711"/>
      <c r="U62" s="711"/>
      <c r="V62" s="713"/>
      <c r="X62" s="1042" t="str">
        <f t="shared" ref="X62" si="10">X18</f>
        <v>237</v>
      </c>
      <c r="Y62" s="736"/>
      <c r="Z62" s="737"/>
      <c r="AA62" s="738"/>
      <c r="AB62" s="738"/>
      <c r="AC62" s="738"/>
      <c r="AD62" s="739"/>
      <c r="AE62" s="740"/>
      <c r="AF62" s="741"/>
      <c r="AG62" s="742"/>
      <c r="AH62" s="743"/>
      <c r="AI62" s="722"/>
      <c r="AJ62" s="708"/>
      <c r="AK62" s="709"/>
      <c r="AL62" s="710"/>
      <c r="AM62" s="711"/>
      <c r="AN62" s="711"/>
      <c r="AO62" s="711"/>
      <c r="AP62" s="712"/>
      <c r="AQ62" s="711"/>
      <c r="AR62" s="711"/>
      <c r="AS62" s="711"/>
      <c r="AT62" s="712"/>
      <c r="AU62" s="711"/>
      <c r="AV62" s="711"/>
      <c r="AW62" s="711"/>
      <c r="AX62" s="712"/>
      <c r="AY62" s="711"/>
      <c r="AZ62" s="711"/>
      <c r="BA62" s="711"/>
      <c r="BB62" s="712"/>
      <c r="BC62" s="711"/>
      <c r="BD62" s="711"/>
      <c r="BE62" s="713"/>
      <c r="BG62" s="1042" t="str">
        <f t="shared" ref="BG62" si="11">BG18</f>
        <v>23</v>
      </c>
      <c r="BH62" s="736"/>
      <c r="BI62" s="737"/>
      <c r="BJ62" s="738"/>
      <c r="BK62" s="738"/>
      <c r="BL62" s="738"/>
      <c r="BM62" s="739"/>
      <c r="BN62" s="740"/>
      <c r="BO62" s="741"/>
      <c r="BP62" s="742"/>
      <c r="BQ62" s="743"/>
      <c r="BR62" s="722"/>
    </row>
    <row r="63" spans="1:70" ht="31.95" customHeight="1" thickBot="1" x14ac:dyDescent="0.35">
      <c r="A63" s="723"/>
      <c r="B63" s="724"/>
      <c r="C63" s="725"/>
      <c r="D63" s="711"/>
      <c r="E63" s="711"/>
      <c r="F63" s="711"/>
      <c r="G63" s="726"/>
      <c r="H63" s="711"/>
      <c r="I63" s="711"/>
      <c r="J63" s="711"/>
      <c r="K63" s="726"/>
      <c r="L63" s="711"/>
      <c r="M63" s="711"/>
      <c r="N63" s="711"/>
      <c r="O63" s="726"/>
      <c r="P63" s="711"/>
      <c r="Q63" s="711"/>
      <c r="R63" s="711"/>
      <c r="S63" s="726"/>
      <c r="T63" s="711"/>
      <c r="U63" s="711"/>
      <c r="V63" s="713"/>
      <c r="X63" s="1043"/>
      <c r="Y63" s="744"/>
      <c r="Z63" s="745"/>
      <c r="AA63" s="746"/>
      <c r="AB63" s="746"/>
      <c r="AC63" s="746"/>
      <c r="AD63" s="747"/>
      <c r="AE63" s="748"/>
      <c r="AF63" s="749"/>
      <c r="AG63" s="750"/>
      <c r="AH63" s="734"/>
      <c r="AI63" s="735"/>
      <c r="AJ63" s="723"/>
      <c r="AK63" s="724"/>
      <c r="AL63" s="725"/>
      <c r="AM63" s="711"/>
      <c r="AN63" s="711"/>
      <c r="AO63" s="711"/>
      <c r="AP63" s="726"/>
      <c r="AQ63" s="711"/>
      <c r="AR63" s="711"/>
      <c r="AS63" s="711"/>
      <c r="AT63" s="726"/>
      <c r="AU63" s="711"/>
      <c r="AV63" s="711"/>
      <c r="AW63" s="711"/>
      <c r="AX63" s="726"/>
      <c r="AY63" s="711"/>
      <c r="AZ63" s="711"/>
      <c r="BA63" s="711"/>
      <c r="BB63" s="726"/>
      <c r="BC63" s="711"/>
      <c r="BD63" s="711"/>
      <c r="BE63" s="713"/>
      <c r="BG63" s="1043"/>
      <c r="BH63" s="744"/>
      <c r="BI63" s="745"/>
      <c r="BJ63" s="746"/>
      <c r="BK63" s="746"/>
      <c r="BL63" s="746"/>
      <c r="BM63" s="747"/>
      <c r="BN63" s="748"/>
      <c r="BO63" s="749"/>
      <c r="BP63" s="750"/>
      <c r="BQ63" s="734"/>
      <c r="BR63" s="735"/>
    </row>
    <row r="64" spans="1:70" ht="31.95" customHeight="1" thickTop="1" thickBot="1" x14ac:dyDescent="0.35">
      <c r="A64" s="708"/>
      <c r="B64" s="709"/>
      <c r="C64" s="710"/>
      <c r="D64" s="711"/>
      <c r="E64" s="711"/>
      <c r="F64" s="711"/>
      <c r="G64" s="712"/>
      <c r="H64" s="711"/>
      <c r="I64" s="711"/>
      <c r="J64" s="711"/>
      <c r="K64" s="712"/>
      <c r="L64" s="711"/>
      <c r="M64" s="711"/>
      <c r="N64" s="711"/>
      <c r="O64" s="712"/>
      <c r="P64" s="711"/>
      <c r="Q64" s="711"/>
      <c r="R64" s="711"/>
      <c r="S64" s="712"/>
      <c r="T64" s="711"/>
      <c r="U64" s="711"/>
      <c r="V64" s="713"/>
      <c r="X64" s="1044" t="str">
        <f t="shared" ref="X64" si="12">X20</f>
        <v>282*</v>
      </c>
      <c r="Y64" s="714"/>
      <c r="Z64" s="715"/>
      <c r="AA64" s="716"/>
      <c r="AB64" s="716"/>
      <c r="AC64" s="716"/>
      <c r="AD64" s="717"/>
      <c r="AE64" s="718"/>
      <c r="AF64" s="719"/>
      <c r="AG64" s="720"/>
      <c r="AH64" s="743"/>
      <c r="AI64" s="722"/>
      <c r="AJ64" s="708"/>
      <c r="AK64" s="709"/>
      <c r="AL64" s="710"/>
      <c r="AM64" s="711"/>
      <c r="AN64" s="711"/>
      <c r="AO64" s="711"/>
      <c r="AP64" s="712"/>
      <c r="AQ64" s="711"/>
      <c r="AR64" s="711"/>
      <c r="AS64" s="711"/>
      <c r="AT64" s="712"/>
      <c r="AU64" s="711"/>
      <c r="AV64" s="711"/>
      <c r="AW64" s="711"/>
      <c r="AX64" s="712"/>
      <c r="AY64" s="711"/>
      <c r="AZ64" s="711"/>
      <c r="BA64" s="711"/>
      <c r="BB64" s="712"/>
      <c r="BC64" s="711"/>
      <c r="BD64" s="711"/>
      <c r="BE64" s="713"/>
      <c r="BG64" s="1044" t="str">
        <f t="shared" ref="BG64" si="13">BG20</f>
        <v>25</v>
      </c>
      <c r="BH64" s="714"/>
      <c r="BI64" s="715"/>
      <c r="BJ64" s="716"/>
      <c r="BK64" s="716"/>
      <c r="BL64" s="716"/>
      <c r="BM64" s="717"/>
      <c r="BN64" s="718"/>
      <c r="BO64" s="719"/>
      <c r="BP64" s="720"/>
      <c r="BQ64" s="743"/>
      <c r="BR64" s="722"/>
    </row>
    <row r="65" spans="1:70" ht="31.95" customHeight="1" thickBot="1" x14ac:dyDescent="0.35">
      <c r="A65" s="723"/>
      <c r="B65" s="724"/>
      <c r="C65" s="725"/>
      <c r="D65" s="711"/>
      <c r="E65" s="711"/>
      <c r="F65" s="711"/>
      <c r="G65" s="726"/>
      <c r="H65" s="711"/>
      <c r="I65" s="711"/>
      <c r="J65" s="711"/>
      <c r="K65" s="726"/>
      <c r="L65" s="711"/>
      <c r="M65" s="711"/>
      <c r="N65" s="711"/>
      <c r="O65" s="726"/>
      <c r="P65" s="711"/>
      <c r="Q65" s="711"/>
      <c r="R65" s="711"/>
      <c r="S65" s="726"/>
      <c r="T65" s="711"/>
      <c r="U65" s="711"/>
      <c r="V65" s="713"/>
      <c r="X65" s="1045"/>
      <c r="Y65" s="727"/>
      <c r="Z65" s="728"/>
      <c r="AA65" s="729"/>
      <c r="AB65" s="729"/>
      <c r="AC65" s="729"/>
      <c r="AD65" s="730"/>
      <c r="AE65" s="731"/>
      <c r="AF65" s="732"/>
      <c r="AG65" s="733"/>
      <c r="AH65" s="734"/>
      <c r="AI65" s="735"/>
      <c r="AJ65" s="723"/>
      <c r="AK65" s="724"/>
      <c r="AL65" s="725"/>
      <c r="AM65" s="711"/>
      <c r="AN65" s="711"/>
      <c r="AO65" s="711"/>
      <c r="AP65" s="726"/>
      <c r="AQ65" s="711"/>
      <c r="AR65" s="711"/>
      <c r="AS65" s="711"/>
      <c r="AT65" s="726"/>
      <c r="AU65" s="711"/>
      <c r="AV65" s="711"/>
      <c r="AW65" s="711"/>
      <c r="AX65" s="726"/>
      <c r="AY65" s="711"/>
      <c r="AZ65" s="711"/>
      <c r="BA65" s="711"/>
      <c r="BB65" s="726"/>
      <c r="BC65" s="711"/>
      <c r="BD65" s="711"/>
      <c r="BE65" s="713"/>
      <c r="BG65" s="1045"/>
      <c r="BH65" s="727"/>
      <c r="BI65" s="728"/>
      <c r="BJ65" s="729"/>
      <c r="BK65" s="729"/>
      <c r="BL65" s="729"/>
      <c r="BM65" s="730"/>
      <c r="BN65" s="731"/>
      <c r="BO65" s="732"/>
      <c r="BP65" s="733"/>
      <c r="BQ65" s="734"/>
      <c r="BR65" s="735"/>
    </row>
    <row r="66" spans="1:70" ht="31.95" customHeight="1" thickTop="1" thickBot="1" x14ac:dyDescent="0.35">
      <c r="A66" s="708"/>
      <c r="B66" s="709"/>
      <c r="C66" s="710"/>
      <c r="D66" s="711"/>
      <c r="E66" s="711"/>
      <c r="F66" s="711"/>
      <c r="G66" s="712"/>
      <c r="H66" s="711"/>
      <c r="I66" s="711"/>
      <c r="J66" s="711"/>
      <c r="K66" s="712"/>
      <c r="L66" s="711"/>
      <c r="M66" s="711"/>
      <c r="N66" s="711"/>
      <c r="O66" s="712"/>
      <c r="P66" s="711"/>
      <c r="Q66" s="711"/>
      <c r="R66" s="711"/>
      <c r="S66" s="712"/>
      <c r="T66" s="711"/>
      <c r="U66" s="711"/>
      <c r="V66" s="713"/>
      <c r="X66" s="1042" t="str">
        <f t="shared" ref="X66" si="14">X22</f>
        <v>337</v>
      </c>
      <c r="Y66" s="736"/>
      <c r="Z66" s="737"/>
      <c r="AA66" s="738"/>
      <c r="AB66" s="738"/>
      <c r="AC66" s="738"/>
      <c r="AD66" s="739"/>
      <c r="AE66" s="740"/>
      <c r="AF66" s="741"/>
      <c r="AG66" s="742"/>
      <c r="AH66" s="743"/>
      <c r="AI66" s="722"/>
      <c r="AJ66" s="708"/>
      <c r="AK66" s="709"/>
      <c r="AL66" s="710"/>
      <c r="AM66" s="711"/>
      <c r="AN66" s="711"/>
      <c r="AO66" s="711"/>
      <c r="AP66" s="712"/>
      <c r="AQ66" s="711"/>
      <c r="AR66" s="711"/>
      <c r="AS66" s="711"/>
      <c r="AT66" s="712"/>
      <c r="AU66" s="711"/>
      <c r="AV66" s="711"/>
      <c r="AW66" s="711"/>
      <c r="AX66" s="712"/>
      <c r="AY66" s="711"/>
      <c r="AZ66" s="711"/>
      <c r="BA66" s="711"/>
      <c r="BB66" s="712"/>
      <c r="BC66" s="711"/>
      <c r="BD66" s="711"/>
      <c r="BE66" s="713"/>
      <c r="BG66" s="1042" t="str">
        <f t="shared" ref="BG66" si="15">BG22</f>
        <v>26</v>
      </c>
      <c r="BH66" s="736"/>
      <c r="BI66" s="737"/>
      <c r="BJ66" s="738"/>
      <c r="BK66" s="738"/>
      <c r="BL66" s="738"/>
      <c r="BM66" s="739"/>
      <c r="BN66" s="740"/>
      <c r="BO66" s="741"/>
      <c r="BP66" s="742"/>
      <c r="BQ66" s="743"/>
      <c r="BR66" s="722"/>
    </row>
    <row r="67" spans="1:70" ht="31.95" customHeight="1" thickBot="1" x14ac:dyDescent="0.35">
      <c r="A67" s="723"/>
      <c r="B67" s="724"/>
      <c r="C67" s="725"/>
      <c r="D67" s="711"/>
      <c r="E67" s="711"/>
      <c r="F67" s="711"/>
      <c r="G67" s="726"/>
      <c r="H67" s="711"/>
      <c r="I67" s="711"/>
      <c r="J67" s="711"/>
      <c r="K67" s="726"/>
      <c r="L67" s="711"/>
      <c r="M67" s="711"/>
      <c r="N67" s="711"/>
      <c r="O67" s="726"/>
      <c r="P67" s="711"/>
      <c r="Q67" s="711"/>
      <c r="R67" s="711"/>
      <c r="S67" s="726"/>
      <c r="T67" s="711"/>
      <c r="U67" s="711"/>
      <c r="V67" s="713"/>
      <c r="X67" s="1043"/>
      <c r="Y67" s="744"/>
      <c r="Z67" s="745"/>
      <c r="AA67" s="746"/>
      <c r="AB67" s="746"/>
      <c r="AC67" s="746"/>
      <c r="AD67" s="747"/>
      <c r="AE67" s="748"/>
      <c r="AF67" s="749"/>
      <c r="AG67" s="750"/>
      <c r="AH67" s="734"/>
      <c r="AI67" s="735"/>
      <c r="AJ67" s="723"/>
      <c r="AK67" s="724"/>
      <c r="AL67" s="725"/>
      <c r="AM67" s="711"/>
      <c r="AN67" s="711"/>
      <c r="AO67" s="711"/>
      <c r="AP67" s="726"/>
      <c r="AQ67" s="711"/>
      <c r="AR67" s="711"/>
      <c r="AS67" s="711"/>
      <c r="AT67" s="726"/>
      <c r="AU67" s="711"/>
      <c r="AV67" s="711"/>
      <c r="AW67" s="711"/>
      <c r="AX67" s="726"/>
      <c r="AY67" s="711"/>
      <c r="AZ67" s="711"/>
      <c r="BA67" s="711"/>
      <c r="BB67" s="726"/>
      <c r="BC67" s="711"/>
      <c r="BD67" s="711"/>
      <c r="BE67" s="713"/>
      <c r="BG67" s="1043"/>
      <c r="BH67" s="744"/>
      <c r="BI67" s="745"/>
      <c r="BJ67" s="746"/>
      <c r="BK67" s="746"/>
      <c r="BL67" s="746"/>
      <c r="BM67" s="747"/>
      <c r="BN67" s="748"/>
      <c r="BO67" s="749"/>
      <c r="BP67" s="750"/>
      <c r="BQ67" s="734"/>
      <c r="BR67" s="735"/>
    </row>
    <row r="68" spans="1:70" ht="31.95" customHeight="1" thickTop="1" thickBot="1" x14ac:dyDescent="0.35">
      <c r="A68" s="708"/>
      <c r="B68" s="709"/>
      <c r="C68" s="710"/>
      <c r="D68" s="711"/>
      <c r="E68" s="711"/>
      <c r="F68" s="711"/>
      <c r="G68" s="712"/>
      <c r="H68" s="711"/>
      <c r="I68" s="711"/>
      <c r="J68" s="711"/>
      <c r="K68" s="712"/>
      <c r="L68" s="711"/>
      <c r="M68" s="711"/>
      <c r="N68" s="711"/>
      <c r="O68" s="712"/>
      <c r="P68" s="711"/>
      <c r="Q68" s="711"/>
      <c r="R68" s="711"/>
      <c r="S68" s="712"/>
      <c r="T68" s="711"/>
      <c r="U68" s="711"/>
      <c r="V68" s="713"/>
      <c r="X68" s="1044" t="str">
        <f t="shared" ref="X68" si="16">X24</f>
        <v>352</v>
      </c>
      <c r="Y68" s="714"/>
      <c r="Z68" s="715"/>
      <c r="AA68" s="716"/>
      <c r="AB68" s="716"/>
      <c r="AC68" s="716"/>
      <c r="AD68" s="717"/>
      <c r="AE68" s="718"/>
      <c r="AF68" s="719"/>
      <c r="AG68" s="720"/>
      <c r="AH68" s="743"/>
      <c r="AI68" s="722"/>
      <c r="AJ68" s="708"/>
      <c r="AK68" s="709"/>
      <c r="AL68" s="710"/>
      <c r="AM68" s="711"/>
      <c r="AN68" s="711"/>
      <c r="AO68" s="711"/>
      <c r="AP68" s="712"/>
      <c r="AQ68" s="711"/>
      <c r="AR68" s="711"/>
      <c r="AS68" s="711"/>
      <c r="AT68" s="712"/>
      <c r="AU68" s="711"/>
      <c r="AV68" s="711"/>
      <c r="AW68" s="711"/>
      <c r="AX68" s="712"/>
      <c r="AY68" s="711"/>
      <c r="AZ68" s="711"/>
      <c r="BA68" s="711"/>
      <c r="BB68" s="712"/>
      <c r="BC68" s="711"/>
      <c r="BD68" s="711"/>
      <c r="BE68" s="713"/>
      <c r="BG68" s="1044" t="str">
        <f t="shared" ref="BG68" si="17">BG24</f>
        <v>49</v>
      </c>
      <c r="BH68" s="714"/>
      <c r="BI68" s="715"/>
      <c r="BJ68" s="716"/>
      <c r="BK68" s="716"/>
      <c r="BL68" s="716"/>
      <c r="BM68" s="717"/>
      <c r="BN68" s="718"/>
      <c r="BO68" s="719"/>
      <c r="BP68" s="720"/>
      <c r="BQ68" s="743"/>
      <c r="BR68" s="722"/>
    </row>
    <row r="69" spans="1:70" ht="31.95" customHeight="1" thickBot="1" x14ac:dyDescent="0.35">
      <c r="A69" s="723"/>
      <c r="B69" s="724"/>
      <c r="C69" s="725"/>
      <c r="D69" s="711"/>
      <c r="E69" s="711"/>
      <c r="F69" s="711"/>
      <c r="G69" s="726"/>
      <c r="H69" s="711"/>
      <c r="I69" s="711"/>
      <c r="J69" s="711"/>
      <c r="K69" s="726"/>
      <c r="L69" s="711"/>
      <c r="M69" s="711"/>
      <c r="N69" s="711"/>
      <c r="O69" s="726"/>
      <c r="P69" s="711"/>
      <c r="Q69" s="711"/>
      <c r="R69" s="711"/>
      <c r="S69" s="726"/>
      <c r="T69" s="711"/>
      <c r="U69" s="711"/>
      <c r="V69" s="713"/>
      <c r="X69" s="1045"/>
      <c r="Y69" s="727"/>
      <c r="Z69" s="728"/>
      <c r="AA69" s="729"/>
      <c r="AB69" s="729"/>
      <c r="AC69" s="729"/>
      <c r="AD69" s="730"/>
      <c r="AE69" s="731"/>
      <c r="AF69" s="732"/>
      <c r="AG69" s="733"/>
      <c r="AH69" s="734"/>
      <c r="AI69" s="735"/>
      <c r="AJ69" s="723"/>
      <c r="AK69" s="724"/>
      <c r="AL69" s="725"/>
      <c r="AM69" s="711"/>
      <c r="AN69" s="711"/>
      <c r="AO69" s="711"/>
      <c r="AP69" s="726"/>
      <c r="AQ69" s="711"/>
      <c r="AR69" s="711"/>
      <c r="AS69" s="711"/>
      <c r="AT69" s="726"/>
      <c r="AU69" s="711"/>
      <c r="AV69" s="711"/>
      <c r="AW69" s="711"/>
      <c r="AX69" s="726"/>
      <c r="AY69" s="711"/>
      <c r="AZ69" s="711"/>
      <c r="BA69" s="711"/>
      <c r="BB69" s="726"/>
      <c r="BC69" s="711"/>
      <c r="BD69" s="711"/>
      <c r="BE69" s="713"/>
      <c r="BG69" s="1045"/>
      <c r="BH69" s="727"/>
      <c r="BI69" s="728"/>
      <c r="BJ69" s="729"/>
      <c r="BK69" s="729"/>
      <c r="BL69" s="729"/>
      <c r="BM69" s="730"/>
      <c r="BN69" s="731"/>
      <c r="BO69" s="732"/>
      <c r="BP69" s="733"/>
      <c r="BQ69" s="734"/>
      <c r="BR69" s="735"/>
    </row>
    <row r="70" spans="1:70" ht="31.95" customHeight="1" thickTop="1" thickBot="1" x14ac:dyDescent="0.35">
      <c r="A70" s="708"/>
      <c r="B70" s="709"/>
      <c r="C70" s="710"/>
      <c r="D70" s="711"/>
      <c r="E70" s="711"/>
      <c r="F70" s="711"/>
      <c r="G70" s="712"/>
      <c r="H70" s="711"/>
      <c r="I70" s="711"/>
      <c r="J70" s="711"/>
      <c r="K70" s="712"/>
      <c r="L70" s="711"/>
      <c r="M70" s="711"/>
      <c r="N70" s="711"/>
      <c r="O70" s="712"/>
      <c r="P70" s="711"/>
      <c r="Q70" s="711"/>
      <c r="R70" s="711"/>
      <c r="S70" s="712"/>
      <c r="T70" s="711"/>
      <c r="U70" s="711"/>
      <c r="V70" s="713"/>
      <c r="X70" s="1042" t="str">
        <f t="shared" ref="X70" si="18">X26</f>
        <v>36</v>
      </c>
      <c r="Y70" s="736"/>
      <c r="Z70" s="737"/>
      <c r="AA70" s="738"/>
      <c r="AB70" s="738"/>
      <c r="AC70" s="738"/>
      <c r="AD70" s="739"/>
      <c r="AE70" s="740"/>
      <c r="AF70" s="741"/>
      <c r="AG70" s="742"/>
      <c r="AH70" s="743"/>
      <c r="AI70" s="722"/>
      <c r="AJ70" s="708"/>
      <c r="AK70" s="709"/>
      <c r="AL70" s="710"/>
      <c r="AM70" s="711"/>
      <c r="AN70" s="711"/>
      <c r="AO70" s="711"/>
      <c r="AP70" s="712"/>
      <c r="AQ70" s="711"/>
      <c r="AR70" s="711"/>
      <c r="AS70" s="711"/>
      <c r="AT70" s="712"/>
      <c r="AU70" s="711"/>
      <c r="AV70" s="711"/>
      <c r="AW70" s="711"/>
      <c r="AX70" s="712"/>
      <c r="AY70" s="711"/>
      <c r="AZ70" s="711"/>
      <c r="BA70" s="711"/>
      <c r="BB70" s="712"/>
      <c r="BC70" s="711"/>
      <c r="BD70" s="711"/>
      <c r="BE70" s="713"/>
      <c r="BG70" s="1042" t="str">
        <f t="shared" ref="BG70" si="19">BG26</f>
        <v>78</v>
      </c>
      <c r="BH70" s="736"/>
      <c r="BI70" s="737"/>
      <c r="BJ70" s="738"/>
      <c r="BK70" s="738"/>
      <c r="BL70" s="738"/>
      <c r="BM70" s="739"/>
      <c r="BN70" s="740"/>
      <c r="BO70" s="741"/>
      <c r="BP70" s="742"/>
      <c r="BQ70" s="743"/>
      <c r="BR70" s="722"/>
    </row>
    <row r="71" spans="1:70" ht="31.95" customHeight="1" thickBot="1" x14ac:dyDescent="0.35">
      <c r="A71" s="723"/>
      <c r="B71" s="724"/>
      <c r="C71" s="725"/>
      <c r="D71" s="711"/>
      <c r="E71" s="711"/>
      <c r="F71" s="711"/>
      <c r="G71" s="726"/>
      <c r="H71" s="711"/>
      <c r="I71" s="711"/>
      <c r="J71" s="711"/>
      <c r="K71" s="726"/>
      <c r="L71" s="711"/>
      <c r="M71" s="711"/>
      <c r="N71" s="711"/>
      <c r="O71" s="726"/>
      <c r="P71" s="711"/>
      <c r="Q71" s="711"/>
      <c r="R71" s="711"/>
      <c r="S71" s="726"/>
      <c r="T71" s="711"/>
      <c r="U71" s="711"/>
      <c r="V71" s="713"/>
      <c r="X71" s="1043"/>
      <c r="Y71" s="744"/>
      <c r="Z71" s="745"/>
      <c r="AA71" s="746"/>
      <c r="AB71" s="746"/>
      <c r="AC71" s="746"/>
      <c r="AD71" s="747"/>
      <c r="AE71" s="748"/>
      <c r="AF71" s="749"/>
      <c r="AG71" s="750"/>
      <c r="AH71" s="734"/>
      <c r="AI71" s="735"/>
      <c r="AJ71" s="723"/>
      <c r="AK71" s="724"/>
      <c r="AL71" s="725"/>
      <c r="AM71" s="711"/>
      <c r="AN71" s="711"/>
      <c r="AO71" s="711"/>
      <c r="AP71" s="726"/>
      <c r="AQ71" s="711"/>
      <c r="AR71" s="711"/>
      <c r="AS71" s="711"/>
      <c r="AT71" s="726"/>
      <c r="AU71" s="711"/>
      <c r="AV71" s="711"/>
      <c r="AW71" s="711"/>
      <c r="AX71" s="726"/>
      <c r="AY71" s="711"/>
      <c r="AZ71" s="711"/>
      <c r="BA71" s="711"/>
      <c r="BB71" s="726"/>
      <c r="BC71" s="711"/>
      <c r="BD71" s="711"/>
      <c r="BE71" s="713"/>
      <c r="BG71" s="1043"/>
      <c r="BH71" s="744"/>
      <c r="BI71" s="745"/>
      <c r="BJ71" s="746"/>
      <c r="BK71" s="746"/>
      <c r="BL71" s="746"/>
      <c r="BM71" s="747"/>
      <c r="BN71" s="748"/>
      <c r="BO71" s="749"/>
      <c r="BP71" s="750"/>
      <c r="BQ71" s="734"/>
      <c r="BR71" s="735"/>
    </row>
    <row r="72" spans="1:70" ht="31.95" customHeight="1" thickTop="1" thickBot="1" x14ac:dyDescent="0.35">
      <c r="A72" s="708"/>
      <c r="B72" s="709"/>
      <c r="C72" s="710"/>
      <c r="D72" s="711"/>
      <c r="E72" s="711"/>
      <c r="F72" s="711"/>
      <c r="G72" s="712"/>
      <c r="H72" s="711"/>
      <c r="I72" s="711"/>
      <c r="J72" s="711"/>
      <c r="K72" s="712"/>
      <c r="L72" s="711"/>
      <c r="M72" s="711"/>
      <c r="N72" s="711"/>
      <c r="O72" s="712"/>
      <c r="P72" s="711"/>
      <c r="Q72" s="711"/>
      <c r="R72" s="711"/>
      <c r="S72" s="712"/>
      <c r="T72" s="711"/>
      <c r="U72" s="711"/>
      <c r="V72" s="713"/>
      <c r="X72" s="1044" t="str">
        <f t="shared" ref="X72" si="20">X28</f>
        <v>64</v>
      </c>
      <c r="Y72" s="714"/>
      <c r="Z72" s="715"/>
      <c r="AA72" s="716"/>
      <c r="AB72" s="716"/>
      <c r="AC72" s="716"/>
      <c r="AD72" s="717"/>
      <c r="AE72" s="718"/>
      <c r="AF72" s="719"/>
      <c r="AG72" s="720"/>
      <c r="AH72" s="743"/>
      <c r="AI72" s="722"/>
      <c r="AJ72" s="708"/>
      <c r="AK72" s="709"/>
      <c r="AL72" s="710"/>
      <c r="AM72" s="711"/>
      <c r="AN72" s="711"/>
      <c r="AO72" s="711"/>
      <c r="AP72" s="712"/>
      <c r="AQ72" s="711"/>
      <c r="AR72" s="711"/>
      <c r="AS72" s="711"/>
      <c r="AT72" s="712"/>
      <c r="AU72" s="711"/>
      <c r="AV72" s="711"/>
      <c r="AW72" s="711"/>
      <c r="AX72" s="712"/>
      <c r="AY72" s="711"/>
      <c r="AZ72" s="711"/>
      <c r="BA72" s="711"/>
      <c r="BB72" s="712"/>
      <c r="BC72" s="711"/>
      <c r="BD72" s="711"/>
      <c r="BE72" s="713"/>
      <c r="BG72" s="1044" t="str">
        <f t="shared" ref="BG72" si="21">BG28</f>
        <v>8*</v>
      </c>
      <c r="BH72" s="714"/>
      <c r="BI72" s="715"/>
      <c r="BJ72" s="716"/>
      <c r="BK72" s="716"/>
      <c r="BL72" s="716"/>
      <c r="BM72" s="717"/>
      <c r="BN72" s="718"/>
      <c r="BO72" s="719"/>
      <c r="BP72" s="720"/>
      <c r="BQ72" s="743"/>
      <c r="BR72" s="722"/>
    </row>
    <row r="73" spans="1:70" ht="31.95" customHeight="1" thickBot="1" x14ac:dyDescent="0.35">
      <c r="A73" s="723"/>
      <c r="B73" s="724"/>
      <c r="C73" s="725"/>
      <c r="D73" s="711"/>
      <c r="E73" s="711"/>
      <c r="F73" s="711"/>
      <c r="G73" s="726"/>
      <c r="H73" s="711"/>
      <c r="I73" s="711"/>
      <c r="J73" s="711"/>
      <c r="K73" s="726"/>
      <c r="L73" s="711"/>
      <c r="M73" s="711"/>
      <c r="N73" s="711"/>
      <c r="O73" s="726"/>
      <c r="P73" s="711"/>
      <c r="Q73" s="711"/>
      <c r="R73" s="711"/>
      <c r="S73" s="726"/>
      <c r="T73" s="711"/>
      <c r="U73" s="711"/>
      <c r="V73" s="713"/>
      <c r="X73" s="1045"/>
      <c r="Y73" s="727"/>
      <c r="Z73" s="728"/>
      <c r="AA73" s="729"/>
      <c r="AB73" s="729"/>
      <c r="AC73" s="729"/>
      <c r="AD73" s="730"/>
      <c r="AE73" s="731"/>
      <c r="AF73" s="732"/>
      <c r="AG73" s="733"/>
      <c r="AH73" s="734"/>
      <c r="AI73" s="735"/>
      <c r="AJ73" s="723"/>
      <c r="AK73" s="724"/>
      <c r="AL73" s="725"/>
      <c r="AM73" s="711"/>
      <c r="AN73" s="711"/>
      <c r="AO73" s="711"/>
      <c r="AP73" s="726"/>
      <c r="AQ73" s="711"/>
      <c r="AR73" s="711"/>
      <c r="AS73" s="711"/>
      <c r="AT73" s="726"/>
      <c r="AU73" s="711"/>
      <c r="AV73" s="711"/>
      <c r="AW73" s="711"/>
      <c r="AX73" s="726"/>
      <c r="AY73" s="711"/>
      <c r="AZ73" s="711"/>
      <c r="BA73" s="711"/>
      <c r="BB73" s="726"/>
      <c r="BC73" s="711"/>
      <c r="BD73" s="711"/>
      <c r="BE73" s="713"/>
      <c r="BG73" s="1045"/>
      <c r="BH73" s="727"/>
      <c r="BI73" s="728"/>
      <c r="BJ73" s="729"/>
      <c r="BK73" s="729"/>
      <c r="BL73" s="729"/>
      <c r="BM73" s="730"/>
      <c r="BN73" s="731"/>
      <c r="BO73" s="732"/>
      <c r="BP73" s="733"/>
      <c r="BQ73" s="734"/>
      <c r="BR73" s="735"/>
    </row>
    <row r="74" spans="1:70" ht="31.95" customHeight="1" thickTop="1" thickBot="1" x14ac:dyDescent="0.35">
      <c r="A74" s="708"/>
      <c r="B74" s="709"/>
      <c r="C74" s="710"/>
      <c r="D74" s="711"/>
      <c r="E74" s="711"/>
      <c r="F74" s="711"/>
      <c r="G74" s="712"/>
      <c r="H74" s="711"/>
      <c r="I74" s="711"/>
      <c r="J74" s="711"/>
      <c r="K74" s="712"/>
      <c r="L74" s="711"/>
      <c r="M74" s="711"/>
      <c r="N74" s="711"/>
      <c r="O74" s="712"/>
      <c r="P74" s="711"/>
      <c r="Q74" s="711"/>
      <c r="R74" s="711"/>
      <c r="S74" s="712"/>
      <c r="T74" s="711"/>
      <c r="U74" s="711"/>
      <c r="V74" s="713"/>
      <c r="X74" s="1042" t="str">
        <f t="shared" ref="X74" si="22">X30</f>
        <v>825</v>
      </c>
      <c r="Y74" s="736"/>
      <c r="Z74" s="737"/>
      <c r="AA74" s="738"/>
      <c r="AB74" s="738"/>
      <c r="AC74" s="738"/>
      <c r="AD74" s="739"/>
      <c r="AE74" s="740"/>
      <c r="AF74" s="741"/>
      <c r="AG74" s="742"/>
      <c r="AH74" s="743"/>
      <c r="AI74" s="722"/>
      <c r="AJ74" s="708"/>
      <c r="AK74" s="709"/>
      <c r="AL74" s="710"/>
      <c r="AM74" s="711"/>
      <c r="AN74" s="711"/>
      <c r="AO74" s="711"/>
      <c r="AP74" s="712"/>
      <c r="AQ74" s="711"/>
      <c r="AR74" s="711"/>
      <c r="AS74" s="711"/>
      <c r="AT74" s="712"/>
      <c r="AU74" s="711"/>
      <c r="AV74" s="711"/>
      <c r="AW74" s="711"/>
      <c r="AX74" s="712"/>
      <c r="AY74" s="711"/>
      <c r="AZ74" s="711"/>
      <c r="BA74" s="711"/>
      <c r="BB74" s="712"/>
      <c r="BC74" s="711"/>
      <c r="BD74" s="711"/>
      <c r="BE74" s="713"/>
      <c r="BG74" s="1042" t="str">
        <f t="shared" ref="BG74" si="23">BG30</f>
        <v>800</v>
      </c>
      <c r="BH74" s="736"/>
      <c r="BI74" s="737"/>
      <c r="BJ74" s="738"/>
      <c r="BK74" s="738"/>
      <c r="BL74" s="738"/>
      <c r="BM74" s="739"/>
      <c r="BN74" s="740"/>
      <c r="BO74" s="741"/>
      <c r="BP74" s="742"/>
      <c r="BQ74" s="743"/>
      <c r="BR74" s="722"/>
    </row>
    <row r="75" spans="1:70" ht="31.95" customHeight="1" thickBot="1" x14ac:dyDescent="0.35">
      <c r="A75" s="723"/>
      <c r="B75" s="724"/>
      <c r="C75" s="725"/>
      <c r="D75" s="711"/>
      <c r="E75" s="711"/>
      <c r="F75" s="711"/>
      <c r="G75" s="726"/>
      <c r="H75" s="711"/>
      <c r="I75" s="711"/>
      <c r="J75" s="711"/>
      <c r="K75" s="726"/>
      <c r="L75" s="711"/>
      <c r="M75" s="711"/>
      <c r="N75" s="711"/>
      <c r="O75" s="726"/>
      <c r="P75" s="711"/>
      <c r="Q75" s="711"/>
      <c r="R75" s="711"/>
      <c r="S75" s="726"/>
      <c r="T75" s="711"/>
      <c r="U75" s="711"/>
      <c r="V75" s="713"/>
      <c r="X75" s="1043"/>
      <c r="Y75" s="744"/>
      <c r="Z75" s="745"/>
      <c r="AA75" s="746"/>
      <c r="AB75" s="746"/>
      <c r="AC75" s="746"/>
      <c r="AD75" s="747"/>
      <c r="AE75" s="748"/>
      <c r="AF75" s="749"/>
      <c r="AG75" s="750"/>
      <c r="AH75" s="734"/>
      <c r="AI75" s="735"/>
      <c r="AJ75" s="723"/>
      <c r="AK75" s="724"/>
      <c r="AL75" s="725"/>
      <c r="AM75" s="711"/>
      <c r="AN75" s="711"/>
      <c r="AO75" s="711"/>
      <c r="AP75" s="726"/>
      <c r="AQ75" s="711"/>
      <c r="AR75" s="711"/>
      <c r="AS75" s="711"/>
      <c r="AT75" s="726"/>
      <c r="AU75" s="711"/>
      <c r="AV75" s="711"/>
      <c r="AW75" s="711"/>
      <c r="AX75" s="726"/>
      <c r="AY75" s="711"/>
      <c r="AZ75" s="711"/>
      <c r="BA75" s="711"/>
      <c r="BB75" s="726"/>
      <c r="BC75" s="711"/>
      <c r="BD75" s="711"/>
      <c r="BE75" s="713"/>
      <c r="BG75" s="1043"/>
      <c r="BH75" s="744"/>
      <c r="BI75" s="745"/>
      <c r="BJ75" s="746"/>
      <c r="BK75" s="746"/>
      <c r="BL75" s="746"/>
      <c r="BM75" s="747"/>
      <c r="BN75" s="748"/>
      <c r="BO75" s="749"/>
      <c r="BP75" s="750"/>
      <c r="BQ75" s="734"/>
      <c r="BR75" s="735"/>
    </row>
    <row r="76" spans="1:70" ht="31.95" customHeight="1" thickTop="1" thickBot="1" x14ac:dyDescent="0.35">
      <c r="A76" s="708"/>
      <c r="B76" s="709"/>
      <c r="C76" s="710"/>
      <c r="D76" s="711"/>
      <c r="E76" s="711"/>
      <c r="F76" s="711"/>
      <c r="G76" s="712"/>
      <c r="H76" s="711"/>
      <c r="I76" s="711"/>
      <c r="J76" s="711"/>
      <c r="K76" s="712"/>
      <c r="L76" s="711"/>
      <c r="M76" s="711"/>
      <c r="N76" s="711"/>
      <c r="O76" s="712"/>
      <c r="P76" s="711"/>
      <c r="Q76" s="711"/>
      <c r="R76" s="711"/>
      <c r="S76" s="712"/>
      <c r="T76" s="711"/>
      <c r="U76" s="711"/>
      <c r="V76" s="713"/>
      <c r="X76" s="1044" t="str">
        <f t="shared" ref="X76" si="24">X32</f>
        <v>83</v>
      </c>
      <c r="Y76" s="714"/>
      <c r="Z76" s="715"/>
      <c r="AA76" s="716"/>
      <c r="AB76" s="716"/>
      <c r="AC76" s="716"/>
      <c r="AD76" s="717"/>
      <c r="AE76" s="718"/>
      <c r="AF76" s="719"/>
      <c r="AG76" s="720"/>
      <c r="AH76" s="743"/>
      <c r="AI76" s="722"/>
      <c r="AJ76" s="708"/>
      <c r="AK76" s="709"/>
      <c r="AL76" s="710"/>
      <c r="AM76" s="711"/>
      <c r="AN76" s="711"/>
      <c r="AO76" s="711"/>
      <c r="AP76" s="712"/>
      <c r="AQ76" s="711"/>
      <c r="AR76" s="711"/>
      <c r="AS76" s="711"/>
      <c r="AT76" s="712"/>
      <c r="AU76" s="711"/>
      <c r="AV76" s="711"/>
      <c r="AW76" s="711"/>
      <c r="AX76" s="712"/>
      <c r="AY76" s="711"/>
      <c r="AZ76" s="711"/>
      <c r="BA76" s="711"/>
      <c r="BB76" s="712"/>
      <c r="BC76" s="711"/>
      <c r="BD76" s="711"/>
      <c r="BE76" s="713"/>
      <c r="BG76" s="1044" t="str">
        <f t="shared" ref="BG76" si="25">BG32</f>
        <v>88*</v>
      </c>
      <c r="BH76" s="714"/>
      <c r="BI76" s="715"/>
      <c r="BJ76" s="716"/>
      <c r="BK76" s="716"/>
      <c r="BL76" s="716"/>
      <c r="BM76" s="717"/>
      <c r="BN76" s="718"/>
      <c r="BO76" s="719"/>
      <c r="BP76" s="720"/>
      <c r="BQ76" s="743"/>
      <c r="BR76" s="722"/>
    </row>
    <row r="77" spans="1:70" ht="31.95" customHeight="1" thickBot="1" x14ac:dyDescent="0.35">
      <c r="A77" s="723"/>
      <c r="B77" s="724"/>
      <c r="C77" s="725"/>
      <c r="D77" s="711"/>
      <c r="E77" s="711"/>
      <c r="F77" s="711"/>
      <c r="G77" s="726"/>
      <c r="H77" s="711"/>
      <c r="I77" s="711"/>
      <c r="J77" s="711"/>
      <c r="K77" s="726"/>
      <c r="L77" s="711"/>
      <c r="M77" s="711"/>
      <c r="N77" s="711"/>
      <c r="O77" s="726"/>
      <c r="P77" s="711"/>
      <c r="Q77" s="711"/>
      <c r="R77" s="711"/>
      <c r="S77" s="726"/>
      <c r="T77" s="711"/>
      <c r="U77" s="711"/>
      <c r="V77" s="713"/>
      <c r="X77" s="1045"/>
      <c r="Y77" s="727"/>
      <c r="Z77" s="728"/>
      <c r="AA77" s="729"/>
      <c r="AB77" s="729"/>
      <c r="AC77" s="729"/>
      <c r="AD77" s="730"/>
      <c r="AE77" s="731"/>
      <c r="AF77" s="732"/>
      <c r="AG77" s="733"/>
      <c r="AH77" s="734"/>
      <c r="AI77" s="735"/>
      <c r="AJ77" s="723"/>
      <c r="AK77" s="724"/>
      <c r="AL77" s="725"/>
      <c r="AM77" s="711"/>
      <c r="AN77" s="711"/>
      <c r="AO77" s="711"/>
      <c r="AP77" s="726"/>
      <c r="AQ77" s="711"/>
      <c r="AR77" s="711"/>
      <c r="AS77" s="711"/>
      <c r="AT77" s="726"/>
      <c r="AU77" s="711"/>
      <c r="AV77" s="711"/>
      <c r="AW77" s="711"/>
      <c r="AX77" s="726"/>
      <c r="AY77" s="711"/>
      <c r="AZ77" s="711"/>
      <c r="BA77" s="711"/>
      <c r="BB77" s="726"/>
      <c r="BC77" s="711"/>
      <c r="BD77" s="711"/>
      <c r="BE77" s="713"/>
      <c r="BG77" s="1045"/>
      <c r="BH77" s="727"/>
      <c r="BI77" s="728"/>
      <c r="BJ77" s="729"/>
      <c r="BK77" s="729"/>
      <c r="BL77" s="729"/>
      <c r="BM77" s="730"/>
      <c r="BN77" s="731"/>
      <c r="BO77" s="732"/>
      <c r="BP77" s="733"/>
      <c r="BQ77" s="734"/>
      <c r="BR77" s="735"/>
    </row>
    <row r="78" spans="1:70" ht="31.95" customHeight="1" thickTop="1" thickBot="1" x14ac:dyDescent="0.35">
      <c r="A78" s="708"/>
      <c r="B78" s="709"/>
      <c r="C78" s="710"/>
      <c r="D78" s="711"/>
      <c r="E78" s="711"/>
      <c r="F78" s="711"/>
      <c r="G78" s="712"/>
      <c r="H78" s="711"/>
      <c r="I78" s="711"/>
      <c r="J78" s="711"/>
      <c r="K78" s="712"/>
      <c r="L78" s="711"/>
      <c r="M78" s="711"/>
      <c r="N78" s="711"/>
      <c r="O78" s="712"/>
      <c r="P78" s="711"/>
      <c r="Q78" s="711"/>
      <c r="R78" s="711"/>
      <c r="S78" s="712"/>
      <c r="T78" s="711"/>
      <c r="U78" s="711"/>
      <c r="V78" s="713"/>
      <c r="X78" s="1042" t="str">
        <f t="shared" ref="X78" si="26">X34</f>
        <v>84</v>
      </c>
      <c r="Y78" s="736"/>
      <c r="Z78" s="737"/>
      <c r="AA78" s="738"/>
      <c r="AB78" s="738"/>
      <c r="AC78" s="738"/>
      <c r="AD78" s="739"/>
      <c r="AE78" s="740"/>
      <c r="AF78" s="741"/>
      <c r="AG78" s="742"/>
      <c r="AH78" s="743"/>
      <c r="AI78" s="722"/>
      <c r="AJ78" s="708"/>
      <c r="AK78" s="709"/>
      <c r="AL78" s="710"/>
      <c r="AM78" s="711"/>
      <c r="AN78" s="711"/>
      <c r="AO78" s="711"/>
      <c r="AP78" s="712"/>
      <c r="AQ78" s="711"/>
      <c r="AR78" s="711"/>
      <c r="AS78" s="711"/>
      <c r="AT78" s="712"/>
      <c r="AU78" s="711"/>
      <c r="AV78" s="711"/>
      <c r="AW78" s="711"/>
      <c r="AX78" s="712"/>
      <c r="AY78" s="711"/>
      <c r="AZ78" s="711"/>
      <c r="BA78" s="711"/>
      <c r="BB78" s="712"/>
      <c r="BC78" s="711"/>
      <c r="BD78" s="711"/>
      <c r="BE78" s="713"/>
      <c r="BG78" s="1042" t="str">
        <f t="shared" ref="BG78" si="27">BG34</f>
        <v>911</v>
      </c>
      <c r="BH78" s="736"/>
      <c r="BI78" s="737"/>
      <c r="BJ78" s="738"/>
      <c r="BK78" s="738"/>
      <c r="BL78" s="738"/>
      <c r="BM78" s="739"/>
      <c r="BN78" s="740"/>
      <c r="BO78" s="741"/>
      <c r="BP78" s="742"/>
      <c r="BQ78" s="743"/>
      <c r="BR78" s="722"/>
    </row>
    <row r="79" spans="1:70" ht="31.95" customHeight="1" thickBot="1" x14ac:dyDescent="0.35">
      <c r="A79" s="723"/>
      <c r="B79" s="724"/>
      <c r="C79" s="725"/>
      <c r="D79" s="711"/>
      <c r="E79" s="711"/>
      <c r="F79" s="711"/>
      <c r="G79" s="726"/>
      <c r="H79" s="711"/>
      <c r="I79" s="711"/>
      <c r="J79" s="711"/>
      <c r="K79" s="726"/>
      <c r="L79" s="711"/>
      <c r="M79" s="711"/>
      <c r="N79" s="711"/>
      <c r="O79" s="726"/>
      <c r="P79" s="711"/>
      <c r="Q79" s="711"/>
      <c r="R79" s="711"/>
      <c r="S79" s="726"/>
      <c r="T79" s="711"/>
      <c r="U79" s="711"/>
      <c r="V79" s="713"/>
      <c r="X79" s="1043"/>
      <c r="Y79" s="744"/>
      <c r="Z79" s="745"/>
      <c r="AA79" s="746"/>
      <c r="AB79" s="746"/>
      <c r="AC79" s="746"/>
      <c r="AD79" s="747"/>
      <c r="AE79" s="748"/>
      <c r="AF79" s="749"/>
      <c r="AG79" s="750"/>
      <c r="AH79" s="734"/>
      <c r="AI79" s="735"/>
      <c r="AJ79" s="723"/>
      <c r="AK79" s="724"/>
      <c r="AL79" s="725"/>
      <c r="AM79" s="711"/>
      <c r="AN79" s="711"/>
      <c r="AO79" s="711"/>
      <c r="AP79" s="726"/>
      <c r="AQ79" s="711"/>
      <c r="AR79" s="711"/>
      <c r="AS79" s="711"/>
      <c r="AT79" s="726"/>
      <c r="AU79" s="711"/>
      <c r="AV79" s="711"/>
      <c r="AW79" s="711"/>
      <c r="AX79" s="726"/>
      <c r="AY79" s="711"/>
      <c r="AZ79" s="711"/>
      <c r="BA79" s="711"/>
      <c r="BB79" s="726"/>
      <c r="BC79" s="711"/>
      <c r="BD79" s="711"/>
      <c r="BE79" s="713"/>
      <c r="BG79" s="1043"/>
      <c r="BH79" s="744"/>
      <c r="BI79" s="745"/>
      <c r="BJ79" s="746"/>
      <c r="BK79" s="746"/>
      <c r="BL79" s="746"/>
      <c r="BM79" s="747"/>
      <c r="BN79" s="748"/>
      <c r="BO79" s="749"/>
      <c r="BP79" s="750"/>
      <c r="BQ79" s="734"/>
      <c r="BR79" s="735"/>
    </row>
    <row r="80" spans="1:70" ht="31.95" customHeight="1" thickTop="1" thickBot="1" x14ac:dyDescent="0.35">
      <c r="A80" s="708"/>
      <c r="B80" s="709"/>
      <c r="C80" s="710"/>
      <c r="D80" s="711"/>
      <c r="E80" s="711"/>
      <c r="F80" s="711"/>
      <c r="G80" s="712"/>
      <c r="H80" s="711"/>
      <c r="I80" s="711"/>
      <c r="J80" s="711"/>
      <c r="K80" s="712"/>
      <c r="L80" s="711"/>
      <c r="M80" s="711"/>
      <c r="N80" s="711"/>
      <c r="O80" s="712"/>
      <c r="P80" s="711"/>
      <c r="Q80" s="711"/>
      <c r="R80" s="711"/>
      <c r="S80" s="712"/>
      <c r="T80" s="711"/>
      <c r="U80" s="711"/>
      <c r="V80" s="713"/>
      <c r="X80" s="1044" t="str">
        <f t="shared" ref="X80" si="28">X36</f>
        <v>86</v>
      </c>
      <c r="Y80" s="714"/>
      <c r="Z80" s="715"/>
      <c r="AA80" s="716"/>
      <c r="AB80" s="716"/>
      <c r="AC80" s="716"/>
      <c r="AD80" s="717"/>
      <c r="AE80" s="718"/>
      <c r="AF80" s="719"/>
      <c r="AG80" s="720"/>
      <c r="AH80" s="743"/>
      <c r="AI80" s="722"/>
      <c r="AJ80" s="708"/>
      <c r="AK80" s="709"/>
      <c r="AL80" s="710"/>
      <c r="AM80" s="711"/>
      <c r="AN80" s="711"/>
      <c r="AO80" s="711"/>
      <c r="AP80" s="712"/>
      <c r="AQ80" s="711"/>
      <c r="AR80" s="711"/>
      <c r="AS80" s="711"/>
      <c r="AT80" s="712"/>
      <c r="AU80" s="711"/>
      <c r="AV80" s="711"/>
      <c r="AW80" s="711"/>
      <c r="AX80" s="712"/>
      <c r="AY80" s="711"/>
      <c r="AZ80" s="711"/>
      <c r="BA80" s="711"/>
      <c r="BB80" s="712"/>
      <c r="BC80" s="711"/>
      <c r="BD80" s="711"/>
      <c r="BE80" s="713"/>
      <c r="BG80" s="1044" t="str">
        <f t="shared" ref="BG80" si="29">BG36</f>
        <v>94</v>
      </c>
      <c r="BH80" s="714"/>
      <c r="BI80" s="715"/>
      <c r="BJ80" s="716"/>
      <c r="BK80" s="716"/>
      <c r="BL80" s="716"/>
      <c r="BM80" s="717"/>
      <c r="BN80" s="718"/>
      <c r="BO80" s="719"/>
      <c r="BP80" s="720"/>
      <c r="BQ80" s="743"/>
      <c r="BR80" s="722"/>
    </row>
    <row r="81" spans="1:70" ht="31.95" customHeight="1" thickBot="1" x14ac:dyDescent="0.35">
      <c r="A81" s="723"/>
      <c r="B81" s="724"/>
      <c r="C81" s="725"/>
      <c r="D81" s="711"/>
      <c r="E81" s="711"/>
      <c r="F81" s="711"/>
      <c r="G81" s="726"/>
      <c r="H81" s="711"/>
      <c r="I81" s="711"/>
      <c r="J81" s="711"/>
      <c r="K81" s="726"/>
      <c r="L81" s="711"/>
      <c r="M81" s="711"/>
      <c r="N81" s="711"/>
      <c r="O81" s="726"/>
      <c r="P81" s="711"/>
      <c r="Q81" s="711"/>
      <c r="R81" s="711"/>
      <c r="S81" s="726"/>
      <c r="T81" s="711"/>
      <c r="U81" s="711"/>
      <c r="V81" s="713"/>
      <c r="X81" s="1045"/>
      <c r="Y81" s="727"/>
      <c r="Z81" s="728"/>
      <c r="AA81" s="729"/>
      <c r="AB81" s="729"/>
      <c r="AC81" s="729"/>
      <c r="AD81" s="730"/>
      <c r="AE81" s="731"/>
      <c r="AF81" s="732"/>
      <c r="AG81" s="733"/>
      <c r="AH81" s="734"/>
      <c r="AI81" s="735"/>
      <c r="AJ81" s="723"/>
      <c r="AK81" s="724"/>
      <c r="AL81" s="725"/>
      <c r="AM81" s="711"/>
      <c r="AN81" s="711"/>
      <c r="AO81" s="711"/>
      <c r="AP81" s="726"/>
      <c r="AQ81" s="711"/>
      <c r="AR81" s="711"/>
      <c r="AS81" s="711"/>
      <c r="AT81" s="726"/>
      <c r="AU81" s="711"/>
      <c r="AV81" s="711"/>
      <c r="AW81" s="711"/>
      <c r="AX81" s="726"/>
      <c r="AY81" s="711"/>
      <c r="AZ81" s="711"/>
      <c r="BA81" s="711"/>
      <c r="BB81" s="726"/>
      <c r="BC81" s="711"/>
      <c r="BD81" s="711"/>
      <c r="BE81" s="713"/>
      <c r="BG81" s="1045"/>
      <c r="BH81" s="727"/>
      <c r="BI81" s="728"/>
      <c r="BJ81" s="729"/>
      <c r="BK81" s="729"/>
      <c r="BL81" s="729"/>
      <c r="BM81" s="730"/>
      <c r="BN81" s="731"/>
      <c r="BO81" s="732"/>
      <c r="BP81" s="733"/>
      <c r="BQ81" s="734"/>
      <c r="BR81" s="735"/>
    </row>
    <row r="82" spans="1:70" ht="31.95" customHeight="1" thickTop="1" thickBot="1" x14ac:dyDescent="0.35">
      <c r="A82" s="708"/>
      <c r="B82" s="709"/>
      <c r="C82" s="710"/>
      <c r="D82" s="711"/>
      <c r="E82" s="711"/>
      <c r="F82" s="711"/>
      <c r="G82" s="712"/>
      <c r="H82" s="711"/>
      <c r="I82" s="711"/>
      <c r="J82" s="711"/>
      <c r="K82" s="712"/>
      <c r="L82" s="711"/>
      <c r="M82" s="711"/>
      <c r="N82" s="711"/>
      <c r="O82" s="712"/>
      <c r="P82" s="711"/>
      <c r="Q82" s="711"/>
      <c r="R82" s="711"/>
      <c r="S82" s="712"/>
      <c r="T82" s="711"/>
      <c r="U82" s="711"/>
      <c r="V82" s="713"/>
      <c r="X82" s="1042" t="str">
        <f t="shared" ref="X82" si="30">X38</f>
        <v/>
      </c>
      <c r="Y82" s="736"/>
      <c r="Z82" s="737"/>
      <c r="AA82" s="738"/>
      <c r="AB82" s="738"/>
      <c r="AC82" s="738"/>
      <c r="AD82" s="739"/>
      <c r="AE82" s="740"/>
      <c r="AF82" s="741"/>
      <c r="AG82" s="742"/>
      <c r="AH82" s="743"/>
      <c r="AI82" s="722"/>
      <c r="AJ82" s="708"/>
      <c r="AK82" s="709"/>
      <c r="AL82" s="710"/>
      <c r="AM82" s="711"/>
      <c r="AN82" s="711"/>
      <c r="AO82" s="711"/>
      <c r="AP82" s="712"/>
      <c r="AQ82" s="711"/>
      <c r="AR82" s="711"/>
      <c r="AS82" s="711"/>
      <c r="AT82" s="712"/>
      <c r="AU82" s="711"/>
      <c r="AV82" s="711"/>
      <c r="AW82" s="711"/>
      <c r="AX82" s="712"/>
      <c r="AY82" s="711"/>
      <c r="AZ82" s="711"/>
      <c r="BA82" s="711"/>
      <c r="BB82" s="712"/>
      <c r="BC82" s="711"/>
      <c r="BD82" s="711"/>
      <c r="BE82" s="713"/>
      <c r="BG82" s="1042" t="str">
        <f t="shared" ref="BG82" si="31">BG38</f>
        <v/>
      </c>
      <c r="BH82" s="736"/>
      <c r="BI82" s="737"/>
      <c r="BJ82" s="738"/>
      <c r="BK82" s="738"/>
      <c r="BL82" s="738"/>
      <c r="BM82" s="739"/>
      <c r="BN82" s="740"/>
      <c r="BO82" s="741"/>
      <c r="BP82" s="742"/>
      <c r="BQ82" s="743"/>
      <c r="BR82" s="722"/>
    </row>
    <row r="83" spans="1:70" ht="31.95" customHeight="1" thickBot="1" x14ac:dyDescent="0.35">
      <c r="A83" s="723"/>
      <c r="B83" s="724"/>
      <c r="C83" s="725"/>
      <c r="D83" s="711"/>
      <c r="E83" s="711"/>
      <c r="F83" s="711"/>
      <c r="G83" s="726"/>
      <c r="H83" s="711"/>
      <c r="I83" s="711"/>
      <c r="J83" s="711"/>
      <c r="K83" s="726"/>
      <c r="L83" s="711"/>
      <c r="M83" s="711"/>
      <c r="N83" s="711"/>
      <c r="O83" s="726"/>
      <c r="P83" s="711"/>
      <c r="Q83" s="711"/>
      <c r="R83" s="711"/>
      <c r="S83" s="726"/>
      <c r="T83" s="711"/>
      <c r="U83" s="711"/>
      <c r="V83" s="713"/>
      <c r="X83" s="1043"/>
      <c r="Y83" s="744"/>
      <c r="Z83" s="745"/>
      <c r="AA83" s="746"/>
      <c r="AB83" s="746"/>
      <c r="AC83" s="746"/>
      <c r="AD83" s="747"/>
      <c r="AE83" s="748"/>
      <c r="AF83" s="749"/>
      <c r="AG83" s="750"/>
      <c r="AH83" s="734"/>
      <c r="AI83" s="735"/>
      <c r="AJ83" s="723"/>
      <c r="AK83" s="724"/>
      <c r="AL83" s="725"/>
      <c r="AM83" s="711"/>
      <c r="AN83" s="711"/>
      <c r="AO83" s="711"/>
      <c r="AP83" s="726"/>
      <c r="AQ83" s="711"/>
      <c r="AR83" s="711"/>
      <c r="AS83" s="711"/>
      <c r="AT83" s="726"/>
      <c r="AU83" s="711"/>
      <c r="AV83" s="711"/>
      <c r="AW83" s="711"/>
      <c r="AX83" s="726"/>
      <c r="AY83" s="711"/>
      <c r="AZ83" s="711"/>
      <c r="BA83" s="711"/>
      <c r="BB83" s="726"/>
      <c r="BC83" s="711"/>
      <c r="BD83" s="711"/>
      <c r="BE83" s="713"/>
      <c r="BG83" s="1043"/>
      <c r="BH83" s="744"/>
      <c r="BI83" s="745"/>
      <c r="BJ83" s="746"/>
      <c r="BK83" s="746"/>
      <c r="BL83" s="746"/>
      <c r="BM83" s="747"/>
      <c r="BN83" s="748"/>
      <c r="BO83" s="749"/>
      <c r="BP83" s="750"/>
      <c r="BQ83" s="734"/>
      <c r="BR83" s="735"/>
    </row>
    <row r="84" spans="1:70" ht="31.95" customHeight="1" thickTop="1" thickBot="1" x14ac:dyDescent="0.35">
      <c r="A84" s="708"/>
      <c r="B84" s="709"/>
      <c r="C84" s="710"/>
      <c r="D84" s="711"/>
      <c r="E84" s="711"/>
      <c r="F84" s="711"/>
      <c r="G84" s="712"/>
      <c r="H84" s="711"/>
      <c r="I84" s="711"/>
      <c r="J84" s="711"/>
      <c r="K84" s="712"/>
      <c r="L84" s="711"/>
      <c r="M84" s="711"/>
      <c r="N84" s="711"/>
      <c r="O84" s="712"/>
      <c r="P84" s="711"/>
      <c r="Q84" s="711"/>
      <c r="R84" s="711"/>
      <c r="S84" s="712"/>
      <c r="T84" s="711"/>
      <c r="U84" s="711"/>
      <c r="V84" s="713"/>
      <c r="X84" s="1044" t="str">
        <f t="shared" ref="X84" si="32">X40</f>
        <v/>
      </c>
      <c r="Y84" s="714"/>
      <c r="Z84" s="715"/>
      <c r="AA84" s="716"/>
      <c r="AB84" s="716"/>
      <c r="AC84" s="716"/>
      <c r="AD84" s="717"/>
      <c r="AE84" s="718"/>
      <c r="AF84" s="719"/>
      <c r="AG84" s="720"/>
      <c r="AH84" s="743"/>
      <c r="AI84" s="722"/>
      <c r="AJ84" s="708"/>
      <c r="AK84" s="709"/>
      <c r="AL84" s="710"/>
      <c r="AM84" s="711"/>
      <c r="AN84" s="711"/>
      <c r="AO84" s="711"/>
      <c r="AP84" s="712"/>
      <c r="AQ84" s="711"/>
      <c r="AR84" s="711"/>
      <c r="AS84" s="711"/>
      <c r="AT84" s="712"/>
      <c r="AU84" s="711"/>
      <c r="AV84" s="711"/>
      <c r="AW84" s="711"/>
      <c r="AX84" s="712"/>
      <c r="AY84" s="711"/>
      <c r="AZ84" s="711"/>
      <c r="BA84" s="711"/>
      <c r="BB84" s="712"/>
      <c r="BC84" s="711"/>
      <c r="BD84" s="711"/>
      <c r="BE84" s="713"/>
      <c r="BG84" s="1044" t="str">
        <f t="shared" ref="BG84" si="33">BG40</f>
        <v/>
      </c>
      <c r="BH84" s="714"/>
      <c r="BI84" s="715"/>
      <c r="BJ84" s="716"/>
      <c r="BK84" s="716"/>
      <c r="BL84" s="716"/>
      <c r="BM84" s="717"/>
      <c r="BN84" s="718"/>
      <c r="BO84" s="719"/>
      <c r="BP84" s="720"/>
      <c r="BQ84" s="743"/>
      <c r="BR84" s="722"/>
    </row>
    <row r="85" spans="1:70" ht="31.95" customHeight="1" thickBot="1" x14ac:dyDescent="0.35">
      <c r="A85" s="723"/>
      <c r="B85" s="724"/>
      <c r="C85" s="725"/>
      <c r="D85" s="711"/>
      <c r="E85" s="711"/>
      <c r="F85" s="711"/>
      <c r="G85" s="726"/>
      <c r="H85" s="711"/>
      <c r="I85" s="711"/>
      <c r="J85" s="711"/>
      <c r="K85" s="726"/>
      <c r="L85" s="711"/>
      <c r="M85" s="711"/>
      <c r="N85" s="711"/>
      <c r="O85" s="726"/>
      <c r="P85" s="711"/>
      <c r="Q85" s="711"/>
      <c r="R85" s="711"/>
      <c r="S85" s="726"/>
      <c r="T85" s="711"/>
      <c r="U85" s="711"/>
      <c r="V85" s="713"/>
      <c r="X85" s="1045"/>
      <c r="Y85" s="727"/>
      <c r="Z85" s="728"/>
      <c r="AA85" s="729"/>
      <c r="AB85" s="729"/>
      <c r="AC85" s="729"/>
      <c r="AD85" s="730"/>
      <c r="AE85" s="731"/>
      <c r="AF85" s="732"/>
      <c r="AG85" s="733"/>
      <c r="AH85" s="734"/>
      <c r="AI85" s="735"/>
      <c r="AJ85" s="723"/>
      <c r="AK85" s="724"/>
      <c r="AL85" s="725"/>
      <c r="AM85" s="711"/>
      <c r="AN85" s="711"/>
      <c r="AO85" s="711"/>
      <c r="AP85" s="726"/>
      <c r="AQ85" s="711"/>
      <c r="AR85" s="711"/>
      <c r="AS85" s="711"/>
      <c r="AT85" s="726"/>
      <c r="AU85" s="711"/>
      <c r="AV85" s="711"/>
      <c r="AW85" s="711"/>
      <c r="AX85" s="726"/>
      <c r="AY85" s="711"/>
      <c r="AZ85" s="711"/>
      <c r="BA85" s="711"/>
      <c r="BB85" s="726"/>
      <c r="BC85" s="711"/>
      <c r="BD85" s="711"/>
      <c r="BE85" s="713"/>
      <c r="BG85" s="1045"/>
      <c r="BH85" s="727"/>
      <c r="BI85" s="728"/>
      <c r="BJ85" s="729"/>
      <c r="BK85" s="729"/>
      <c r="BL85" s="729"/>
      <c r="BM85" s="730"/>
      <c r="BN85" s="731"/>
      <c r="BO85" s="732"/>
      <c r="BP85" s="733"/>
      <c r="BQ85" s="734"/>
      <c r="BR85" s="735"/>
    </row>
    <row r="86" spans="1:70" ht="31.95" customHeight="1" thickTop="1" x14ac:dyDescent="0.3">
      <c r="A86" s="1046" t="s">
        <v>513</v>
      </c>
      <c r="B86" s="1046"/>
      <c r="C86" s="1046"/>
      <c r="D86" s="1046"/>
      <c r="E86" s="1046"/>
      <c r="F86" s="1046"/>
      <c r="G86" s="1046"/>
      <c r="H86" s="1046"/>
      <c r="I86" s="1046"/>
      <c r="J86" s="1046"/>
      <c r="K86" s="1046"/>
      <c r="L86" s="1046"/>
      <c r="M86" s="1046"/>
      <c r="N86" s="1046"/>
      <c r="O86" s="1046"/>
      <c r="P86" s="1046"/>
      <c r="Q86" s="1046"/>
      <c r="R86" s="1046"/>
      <c r="S86" s="751" t="s">
        <v>492</v>
      </c>
      <c r="T86" s="752"/>
      <c r="U86" s="753"/>
      <c r="V86" s="754"/>
      <c r="X86" s="1042" t="str">
        <f t="shared" ref="X86" si="34">X42</f>
        <v/>
      </c>
      <c r="Y86" s="736"/>
      <c r="Z86" s="737"/>
      <c r="AA86" s="738"/>
      <c r="AB86" s="738"/>
      <c r="AC86" s="738"/>
      <c r="AD86" s="739"/>
      <c r="AE86" s="740"/>
      <c r="AF86" s="741"/>
      <c r="AG86" s="742"/>
      <c r="AH86" s="743"/>
      <c r="AI86" s="722"/>
      <c r="AJ86" s="1046" t="s">
        <v>513</v>
      </c>
      <c r="AK86" s="1046"/>
      <c r="AL86" s="1046"/>
      <c r="AM86" s="1046"/>
      <c r="AN86" s="1046"/>
      <c r="AO86" s="1046"/>
      <c r="AP86" s="1046"/>
      <c r="AQ86" s="1046"/>
      <c r="AR86" s="1046"/>
      <c r="AS86" s="1046"/>
      <c r="AT86" s="1046"/>
      <c r="AU86" s="1046"/>
      <c r="AV86" s="1046"/>
      <c r="AW86" s="1046"/>
      <c r="AX86" s="1046"/>
      <c r="AY86" s="1046"/>
      <c r="AZ86" s="1046"/>
      <c r="BA86" s="1046"/>
      <c r="BB86" s="751" t="s">
        <v>492</v>
      </c>
      <c r="BC86" s="752"/>
      <c r="BD86" s="753"/>
      <c r="BE86" s="754"/>
      <c r="BG86" s="1042" t="str">
        <f t="shared" ref="BG86" si="35">BG42</f>
        <v/>
      </c>
      <c r="BH86" s="736"/>
      <c r="BI86" s="737"/>
      <c r="BJ86" s="738"/>
      <c r="BK86" s="738"/>
      <c r="BL86" s="738"/>
      <c r="BM86" s="739"/>
      <c r="BN86" s="740"/>
      <c r="BO86" s="741"/>
      <c r="BP86" s="742"/>
      <c r="BQ86" s="743"/>
      <c r="BR86" s="722"/>
    </row>
    <row r="87" spans="1:70" ht="31.95" customHeight="1" thickBot="1" x14ac:dyDescent="0.35">
      <c r="A87" s="1047"/>
      <c r="B87" s="1047"/>
      <c r="C87" s="1047"/>
      <c r="D87" s="1047"/>
      <c r="E87" s="1047"/>
      <c r="F87" s="1047"/>
      <c r="G87" s="1047"/>
      <c r="H87" s="1047"/>
      <c r="I87" s="1047"/>
      <c r="J87" s="1047"/>
      <c r="K87" s="1047"/>
      <c r="L87" s="1047"/>
      <c r="M87" s="1047"/>
      <c r="N87" s="1047"/>
      <c r="O87" s="1047"/>
      <c r="P87" s="1047"/>
      <c r="Q87" s="1047"/>
      <c r="R87" s="1047"/>
      <c r="S87" s="755"/>
      <c r="T87" s="756"/>
      <c r="U87" s="757"/>
      <c r="V87" s="758"/>
      <c r="X87" s="1043"/>
      <c r="Y87" s="744"/>
      <c r="Z87" s="745"/>
      <c r="AA87" s="746"/>
      <c r="AB87" s="746"/>
      <c r="AC87" s="746"/>
      <c r="AD87" s="747"/>
      <c r="AE87" s="748"/>
      <c r="AF87" s="749"/>
      <c r="AG87" s="750"/>
      <c r="AH87" s="734"/>
      <c r="AI87" s="735"/>
      <c r="AJ87" s="1047"/>
      <c r="AK87" s="1047"/>
      <c r="AL87" s="1047"/>
      <c r="AM87" s="1047"/>
      <c r="AN87" s="1047"/>
      <c r="AO87" s="1047"/>
      <c r="AP87" s="1047"/>
      <c r="AQ87" s="1047"/>
      <c r="AR87" s="1047"/>
      <c r="AS87" s="1047"/>
      <c r="AT87" s="1047"/>
      <c r="AU87" s="1047"/>
      <c r="AV87" s="1047"/>
      <c r="AW87" s="1047"/>
      <c r="AX87" s="1047"/>
      <c r="AY87" s="1047"/>
      <c r="AZ87" s="1047"/>
      <c r="BA87" s="1047"/>
      <c r="BB87" s="755"/>
      <c r="BC87" s="756"/>
      <c r="BD87" s="757"/>
      <c r="BE87" s="758"/>
      <c r="BG87" s="1043"/>
      <c r="BH87" s="744"/>
      <c r="BI87" s="745"/>
      <c r="BJ87" s="746"/>
      <c r="BK87" s="746"/>
      <c r="BL87" s="746"/>
      <c r="BM87" s="747"/>
      <c r="BN87" s="748"/>
      <c r="BO87" s="749"/>
      <c r="BP87" s="750"/>
      <c r="BQ87" s="734"/>
      <c r="BR87" s="735"/>
    </row>
    <row r="88" spans="1:70" ht="28.5" customHeight="1" x14ac:dyDescent="0.3">
      <c r="A88" s="1047"/>
      <c r="B88" s="1047"/>
      <c r="C88" s="1047"/>
      <c r="D88" s="1047"/>
      <c r="E88" s="1047"/>
      <c r="F88" s="1047"/>
      <c r="G88" s="1047"/>
      <c r="H88" s="1047"/>
      <c r="I88" s="1047"/>
      <c r="J88" s="1047"/>
      <c r="K88" s="1047"/>
      <c r="L88" s="1047"/>
      <c r="M88" s="1047"/>
      <c r="N88" s="1047"/>
      <c r="O88" s="1047"/>
      <c r="P88" s="1047"/>
      <c r="Q88" s="1047"/>
      <c r="R88" s="1047"/>
      <c r="S88" s="755"/>
      <c r="T88" s="755"/>
      <c r="U88" s="755"/>
      <c r="V88" s="755"/>
      <c r="X88" s="759"/>
      <c r="Y88" s="760"/>
      <c r="Z88" s="760"/>
      <c r="AA88" s="760"/>
      <c r="AB88" s="760"/>
      <c r="AC88" s="1041" t="s">
        <v>494</v>
      </c>
      <c r="AD88" s="1041"/>
      <c r="AE88" s="1041"/>
      <c r="AF88" s="1041"/>
      <c r="AG88" s="1041"/>
      <c r="AH88" s="1041"/>
      <c r="AI88" s="1041"/>
      <c r="AJ88" s="1047"/>
      <c r="AK88" s="1047"/>
      <c r="AL88" s="1047"/>
      <c r="AM88" s="1047"/>
      <c r="AN88" s="1047"/>
      <c r="AO88" s="1047"/>
      <c r="AP88" s="1047"/>
      <c r="AQ88" s="1047"/>
      <c r="AR88" s="1047"/>
      <c r="AS88" s="1047"/>
      <c r="AT88" s="1047"/>
      <c r="AU88" s="1047"/>
      <c r="AV88" s="1047"/>
      <c r="AW88" s="1047"/>
      <c r="AX88" s="1047"/>
      <c r="AY88" s="1047"/>
      <c r="AZ88" s="1047"/>
      <c r="BA88" s="1047"/>
      <c r="BB88" s="755"/>
      <c r="BC88" s="755"/>
      <c r="BD88" s="755"/>
      <c r="BE88" s="755"/>
      <c r="BG88" s="759"/>
      <c r="BH88" s="760"/>
      <c r="BI88" s="760"/>
      <c r="BJ88" s="760"/>
      <c r="BK88" s="760"/>
      <c r="BL88" s="1041" t="s">
        <v>494</v>
      </c>
      <c r="BM88" s="1041"/>
      <c r="BN88" s="1041"/>
      <c r="BO88" s="1041"/>
      <c r="BP88" s="1041"/>
      <c r="BQ88" s="1041"/>
      <c r="BR88" s="1041"/>
    </row>
  </sheetData>
  <mergeCells count="152">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AY2:BB2"/>
    <mergeCell ref="K1:O1"/>
    <mergeCell ref="X4:X5"/>
    <mergeCell ref="BG4:BG5"/>
    <mergeCell ref="X6:X7"/>
    <mergeCell ref="BG6:BG7"/>
    <mergeCell ref="X8:X9"/>
    <mergeCell ref="BG8:BG9"/>
    <mergeCell ref="AQ3:AS3"/>
    <mergeCell ref="AU3:AW3"/>
    <mergeCell ref="AY3:BA3"/>
    <mergeCell ref="BC3:BE3"/>
    <mergeCell ref="P1:S1"/>
    <mergeCell ref="T1:AE1"/>
    <mergeCell ref="AF1:AI1"/>
    <mergeCell ref="AJ1:AS2"/>
    <mergeCell ref="X16:X17"/>
    <mergeCell ref="BG16:BG17"/>
    <mergeCell ref="X18:X19"/>
    <mergeCell ref="BG18:BG19"/>
    <mergeCell ref="X20:X21"/>
    <mergeCell ref="BG20:BG21"/>
    <mergeCell ref="X10:X11"/>
    <mergeCell ref="BG10:BG11"/>
    <mergeCell ref="X12:X13"/>
    <mergeCell ref="BG12:BG13"/>
    <mergeCell ref="X14:X15"/>
    <mergeCell ref="BG14:BG15"/>
    <mergeCell ref="X28:X29"/>
    <mergeCell ref="BG28:BG29"/>
    <mergeCell ref="X30:X31"/>
    <mergeCell ref="BG30:BG31"/>
    <mergeCell ref="X32:X33"/>
    <mergeCell ref="BG32:BG33"/>
    <mergeCell ref="X22:X23"/>
    <mergeCell ref="BG22:BG23"/>
    <mergeCell ref="X24:X25"/>
    <mergeCell ref="BG24:BG25"/>
    <mergeCell ref="X26:X27"/>
    <mergeCell ref="BG26:BG27"/>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BL44:BR44"/>
    <mergeCell ref="A45:J46"/>
    <mergeCell ref="K45:O45"/>
    <mergeCell ref="P45:S45"/>
    <mergeCell ref="T45:AE45"/>
    <mergeCell ref="AF45:AI45"/>
    <mergeCell ref="AJ45:AS46"/>
    <mergeCell ref="AT45:AX45"/>
    <mergeCell ref="AY45:BB45"/>
    <mergeCell ref="BC45:BN45"/>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X64:X65"/>
    <mergeCell ref="BG64:BG65"/>
    <mergeCell ref="X66:X67"/>
    <mergeCell ref="BG66:BG67"/>
    <mergeCell ref="X68:X69"/>
    <mergeCell ref="BG68:BG69"/>
    <mergeCell ref="X58:X59"/>
    <mergeCell ref="BG58:BG59"/>
    <mergeCell ref="X60:X61"/>
    <mergeCell ref="BG60:BG61"/>
    <mergeCell ref="X62:X63"/>
    <mergeCell ref="BG62:BG63"/>
    <mergeCell ref="X76:X77"/>
    <mergeCell ref="BG76:BG77"/>
    <mergeCell ref="X78:X79"/>
    <mergeCell ref="BG78:BG79"/>
    <mergeCell ref="X80:X81"/>
    <mergeCell ref="BG80:BG81"/>
    <mergeCell ref="X70:X71"/>
    <mergeCell ref="BG70:BG71"/>
    <mergeCell ref="X72:X73"/>
    <mergeCell ref="BG72:BG73"/>
    <mergeCell ref="X74:X75"/>
    <mergeCell ref="BG74:BG75"/>
    <mergeCell ref="BL88:BR88"/>
    <mergeCell ref="X82:X83"/>
    <mergeCell ref="BG82:BG83"/>
    <mergeCell ref="X84:X85"/>
    <mergeCell ref="BG84:BG85"/>
    <mergeCell ref="A86:R88"/>
    <mergeCell ref="X86:X87"/>
    <mergeCell ref="AJ86:BA88"/>
    <mergeCell ref="BG86:BG87"/>
    <mergeCell ref="AC88:AI88"/>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R48"/>
  <sheetViews>
    <sheetView zoomScaleNormal="100" workbookViewId="0">
      <selection sqref="A1:AM1"/>
    </sheetView>
  </sheetViews>
  <sheetFormatPr defaultColWidth="9.109375" defaultRowHeight="20.25" customHeight="1" x14ac:dyDescent="0.3"/>
  <cols>
    <col min="1" max="1" width="7.44140625" style="79"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5" width="6.44140625" style="3" customWidth="1"/>
    <col min="16" max="16" width="4.77734375" style="3" customWidth="1"/>
    <col min="17" max="17" width="6.77734375" style="3" bestFit="1" customWidth="1"/>
    <col min="18" max="21" width="4.6640625" style="3" customWidth="1"/>
    <col min="22" max="22" width="6.44140625" style="3" customWidth="1"/>
    <col min="23" max="23" width="4.6640625" style="80" customWidth="1"/>
    <col min="24" max="24" width="6.44140625" style="3" customWidth="1"/>
    <col min="25" max="25" width="4.6640625" style="80" customWidth="1"/>
    <col min="26" max="26" width="6.44140625" style="3" customWidth="1"/>
    <col min="27" max="27" width="4.6640625" style="3" customWidth="1"/>
    <col min="28" max="28" width="6.44140625" style="3" customWidth="1"/>
    <col min="29" max="29" width="6" style="3" customWidth="1"/>
    <col min="30" max="32" width="6" style="81" customWidth="1"/>
    <col min="33" max="36" width="6" style="82" customWidth="1"/>
    <col min="37" max="37" width="6.44140625" style="82" customWidth="1"/>
    <col min="38" max="38" width="4.6640625" style="3" customWidth="1"/>
    <col min="39" max="39" width="6.44140625" style="3" customWidth="1"/>
    <col min="40" max="40" width="7.44140625" style="83" customWidth="1"/>
    <col min="41" max="41" width="22" style="3" customWidth="1"/>
    <col min="42" max="46" width="3.33203125" style="3" customWidth="1"/>
    <col min="47" max="47" width="4.33203125" style="3" customWidth="1"/>
    <col min="48" max="52" width="3.109375" style="3" customWidth="1"/>
    <col min="53" max="53" width="4.33203125" style="3" customWidth="1"/>
    <col min="54" max="55" width="4.6640625" style="3" customWidth="1"/>
    <col min="56" max="56" width="5.33203125" style="81" customWidth="1"/>
    <col min="57" max="57" width="6.44140625" style="84" customWidth="1"/>
    <col min="58" max="58" width="5.33203125" style="81" customWidth="1"/>
    <col min="59" max="59" width="6.44140625" style="84" customWidth="1"/>
    <col min="60" max="60" width="5.33203125" style="81" customWidth="1"/>
    <col min="61" max="61" width="6.44140625" style="84" customWidth="1"/>
    <col min="62" max="66" width="3.109375" style="3" customWidth="1"/>
    <col min="67" max="67" width="4.6640625" style="3" customWidth="1"/>
    <col min="68" max="70" width="6.44140625" style="84" customWidth="1"/>
    <col min="71" max="75" width="3.33203125" style="3" customWidth="1"/>
    <col min="76" max="76" width="4.44140625" style="3" customWidth="1"/>
    <col min="77" max="16384" width="9.109375" style="3"/>
  </cols>
  <sheetData>
    <row r="1" spans="1:39" ht="15" customHeight="1" x14ac:dyDescent="0.3">
      <c r="A1" s="1071" t="s">
        <v>63</v>
      </c>
      <c r="B1" s="1071"/>
      <c r="C1" s="1071"/>
      <c r="D1" s="1071"/>
      <c r="E1" s="1071"/>
      <c r="F1" s="1071"/>
      <c r="G1" s="1071"/>
      <c r="H1" s="1071"/>
      <c r="I1" s="1071"/>
      <c r="J1" s="1071"/>
      <c r="K1" s="1071"/>
      <c r="L1" s="1071"/>
      <c r="M1" s="1071"/>
      <c r="N1" s="1071"/>
      <c r="O1" s="1071"/>
      <c r="P1" s="1071"/>
      <c r="Q1" s="1071"/>
      <c r="R1" s="1071"/>
      <c r="S1" s="1071"/>
      <c r="T1" s="1071"/>
      <c r="U1" s="1071"/>
      <c r="V1" s="1071"/>
      <c r="W1" s="1071"/>
      <c r="X1" s="1071"/>
      <c r="Y1" s="1071"/>
      <c r="Z1" s="1071"/>
      <c r="AA1" s="1071"/>
      <c r="AB1" s="1071"/>
      <c r="AC1" s="1071"/>
      <c r="AD1" s="1071"/>
      <c r="AE1" s="1071"/>
      <c r="AF1" s="1071"/>
      <c r="AG1" s="1071"/>
      <c r="AH1" s="1071"/>
      <c r="AI1" s="1071"/>
      <c r="AJ1" s="1071"/>
      <c r="AK1" s="1071"/>
      <c r="AL1" s="1071"/>
      <c r="AM1" s="1071"/>
    </row>
    <row r="2" spans="1:39" ht="15" customHeight="1" x14ac:dyDescent="0.3">
      <c r="A2" s="1072" t="str">
        <f>IF(IGRF!B10="","PLEASE FILL IN THE IGRF TAB!",IGRF!$B$10&amp;" / "&amp;IGRF!$B$11&amp;" vs. "&amp;IGRF!$I$10&amp;" / "&amp;IGRF!$I$11&amp;IF(IGRF!$L$3="",""," Game "&amp;IGRF!$L$3))</f>
        <v>Black Rose Rollers / All Stars vs. Steel City Roller Derby / Steel Hurtin'</v>
      </c>
      <c r="B2" s="1072"/>
      <c r="C2" s="1072"/>
      <c r="D2" s="1072"/>
      <c r="E2" s="1072"/>
      <c r="F2" s="1072"/>
      <c r="G2" s="1072"/>
      <c r="H2" s="1072"/>
      <c r="I2" s="1072"/>
      <c r="J2" s="1072"/>
      <c r="K2" s="1072"/>
      <c r="L2" s="1072"/>
      <c r="M2" s="1072"/>
      <c r="N2" s="1072"/>
      <c r="O2" s="1072"/>
      <c r="P2" s="1072"/>
      <c r="Q2" s="1072"/>
      <c r="R2" s="1072"/>
      <c r="S2" s="1072"/>
      <c r="T2" s="1072"/>
      <c r="U2" s="1072"/>
      <c r="V2" s="1072"/>
      <c r="W2" s="1072"/>
      <c r="X2" s="1072"/>
      <c r="Y2" s="1072"/>
      <c r="Z2" s="1072"/>
      <c r="AA2" s="1072"/>
      <c r="AB2" s="1072"/>
      <c r="AC2" s="1072"/>
      <c r="AD2" s="1072"/>
      <c r="AE2" s="1072"/>
      <c r="AF2" s="1072"/>
      <c r="AG2" s="1072"/>
      <c r="AH2" s="1072"/>
      <c r="AI2" s="1072"/>
      <c r="AJ2" s="1072"/>
      <c r="AK2" s="1072"/>
      <c r="AL2" s="1072"/>
      <c r="AM2" s="1072"/>
    </row>
    <row r="3" spans="1:39" ht="15" customHeight="1" thickBot="1" x14ac:dyDescent="0.35">
      <c r="A3" s="1073">
        <f>IF(IGRF!$B$7="","ENTER DATE ON IGRF TAB!",IGRF!$B$7)</f>
        <v>45144</v>
      </c>
      <c r="B3" s="1073"/>
      <c r="C3" s="1073"/>
      <c r="D3" s="1073"/>
      <c r="E3" s="1073"/>
      <c r="F3" s="1073"/>
      <c r="G3" s="1073"/>
      <c r="H3" s="1073"/>
      <c r="I3" s="1073"/>
      <c r="J3" s="1073"/>
      <c r="K3" s="1073"/>
      <c r="L3" s="1073"/>
      <c r="M3" s="1073"/>
      <c r="N3" s="1074"/>
      <c r="O3" s="1073"/>
      <c r="P3" s="1073"/>
      <c r="Q3" s="1073"/>
      <c r="R3" s="1073"/>
      <c r="S3" s="1073"/>
      <c r="T3" s="1073"/>
      <c r="U3" s="1073"/>
      <c r="V3" s="1073"/>
      <c r="W3" s="1073"/>
      <c r="X3" s="1073"/>
      <c r="Y3" s="1073"/>
      <c r="Z3" s="1073"/>
      <c r="AA3" s="1074"/>
      <c r="AB3" s="1074"/>
      <c r="AC3" s="1073"/>
      <c r="AD3" s="1073"/>
      <c r="AE3" s="1073"/>
      <c r="AF3" s="1073"/>
      <c r="AG3" s="1073"/>
      <c r="AH3" s="1073"/>
      <c r="AI3" s="1073"/>
      <c r="AJ3" s="1074"/>
      <c r="AK3" s="1073"/>
      <c r="AL3" s="1073"/>
      <c r="AM3" s="1073"/>
    </row>
    <row r="4" spans="1:39" ht="15" customHeight="1" thickBot="1" x14ac:dyDescent="0.35">
      <c r="A4" s="1075" t="s">
        <v>64</v>
      </c>
      <c r="B4" s="1075"/>
      <c r="C4" s="1075" t="s">
        <v>65</v>
      </c>
      <c r="D4" s="1075"/>
      <c r="E4" s="1075"/>
      <c r="F4" s="1075"/>
      <c r="G4" s="65"/>
      <c r="H4" s="548"/>
      <c r="I4" s="66"/>
      <c r="J4" s="1076" t="s">
        <v>67</v>
      </c>
      <c r="K4" s="1076"/>
      <c r="L4" s="1076"/>
      <c r="M4" s="1076"/>
      <c r="N4" s="1077"/>
      <c r="O4" s="1076"/>
      <c r="P4" s="1076"/>
      <c r="Q4" s="66"/>
      <c r="R4" s="1076" t="s">
        <v>68</v>
      </c>
      <c r="S4" s="1076"/>
      <c r="T4" s="1076"/>
      <c r="U4" s="1076"/>
      <c r="V4" s="1076"/>
      <c r="W4" s="1076"/>
      <c r="X4" s="1076"/>
      <c r="Y4" s="1076"/>
      <c r="Z4" s="1076"/>
      <c r="AA4" s="1078"/>
      <c r="AB4" s="1078"/>
      <c r="AC4" s="1076"/>
      <c r="AD4" s="1076" t="s">
        <v>69</v>
      </c>
      <c r="AE4" s="1076"/>
      <c r="AF4" s="1076"/>
      <c r="AG4" s="1076"/>
      <c r="AH4" s="1076"/>
      <c r="AI4" s="1076"/>
      <c r="AJ4" s="1078"/>
      <c r="AK4" s="1076"/>
      <c r="AL4" s="1076" t="s">
        <v>70</v>
      </c>
      <c r="AM4" s="1076"/>
    </row>
    <row r="5" spans="1:39" s="20" customFormat="1" ht="63.75" customHeight="1" thickBot="1" x14ac:dyDescent="0.35">
      <c r="A5" s="105" t="s">
        <v>109</v>
      </c>
      <c r="B5" s="106" t="str">
        <f>Score!$A$1</f>
        <v>Black Rose Rollers / All Stars</v>
      </c>
      <c r="C5" s="107" t="s">
        <v>71</v>
      </c>
      <c r="D5" s="108" t="s">
        <v>72</v>
      </c>
      <c r="E5" s="108" t="s">
        <v>73</v>
      </c>
      <c r="F5" s="67" t="s">
        <v>74</v>
      </c>
      <c r="G5" s="68" t="s">
        <v>75</v>
      </c>
      <c r="H5" s="69" t="s">
        <v>66</v>
      </c>
      <c r="I5" s="70" t="s">
        <v>76</v>
      </c>
      <c r="J5" s="109" t="s">
        <v>156</v>
      </c>
      <c r="K5" s="110" t="s">
        <v>157</v>
      </c>
      <c r="L5" s="110" t="s">
        <v>77</v>
      </c>
      <c r="M5" s="110" t="s">
        <v>397</v>
      </c>
      <c r="N5" s="700" t="s">
        <v>468</v>
      </c>
      <c r="O5" s="110" t="s">
        <v>78</v>
      </c>
      <c r="P5" s="110" t="s">
        <v>79</v>
      </c>
      <c r="Q5" s="111" t="s">
        <v>80</v>
      </c>
      <c r="R5" s="107" t="s">
        <v>81</v>
      </c>
      <c r="S5" s="110" t="s">
        <v>82</v>
      </c>
      <c r="T5" s="69" t="s">
        <v>83</v>
      </c>
      <c r="U5" s="107" t="s">
        <v>84</v>
      </c>
      <c r="V5" s="112" t="s">
        <v>85</v>
      </c>
      <c r="W5" s="113" t="s">
        <v>86</v>
      </c>
      <c r="X5" s="114" t="s">
        <v>87</v>
      </c>
      <c r="Y5" s="115" t="s">
        <v>88</v>
      </c>
      <c r="Z5" s="114" t="s">
        <v>89</v>
      </c>
      <c r="AA5" s="115" t="s">
        <v>427</v>
      </c>
      <c r="AB5" s="114" t="s">
        <v>428</v>
      </c>
      <c r="AC5" s="71" t="s">
        <v>90</v>
      </c>
      <c r="AD5" s="116" t="s">
        <v>180</v>
      </c>
      <c r="AE5" s="116" t="s">
        <v>91</v>
      </c>
      <c r="AF5" s="72" t="s">
        <v>92</v>
      </c>
      <c r="AG5" s="117" t="s">
        <v>93</v>
      </c>
      <c r="AH5" s="117" t="s">
        <v>94</v>
      </c>
      <c r="AI5" s="117" t="s">
        <v>95</v>
      </c>
      <c r="AJ5" s="117" t="s">
        <v>429</v>
      </c>
      <c r="AK5" s="73" t="s">
        <v>96</v>
      </c>
      <c r="AL5" s="1069" t="s">
        <v>311</v>
      </c>
      <c r="AM5" s="1070"/>
    </row>
    <row r="6" spans="1:39" s="3" customFormat="1" ht="19.95" customHeight="1" x14ac:dyDescent="0.3">
      <c r="A6" s="103" t="str">
        <f>IF(ISBLANK(IGRF!$B14),"",IGRF!$B14)</f>
        <v>101</v>
      </c>
      <c r="B6" s="74" t="str">
        <f>IF(ISBLANK(IGRF!$C14),"",IGRF!$C14)</f>
        <v>Jackie Treehorn</v>
      </c>
      <c r="C6" s="75">
        <f>IF(A6="","",SUM(LU!O9,LU!O108))</f>
        <v>0</v>
      </c>
      <c r="D6" s="75">
        <f>IF(A6="","",SUM(LU!D9,LU!D108))</f>
        <v>0</v>
      </c>
      <c r="E6" s="75">
        <f>IF(A6="","",SUM(LU!J9,LU!J108))</f>
        <v>22</v>
      </c>
      <c r="F6" s="407">
        <f>IF(A6="","",(SUM(C6:E6)-(SUMPRODUCT(--(Lineups!C$4:C$41=A6),--(Lineups!A$4:A$41="SP"))+SUMPRODUCT(--(Lineups!G$4:G$41=A6),--(Lineups!A$4:A$41="SP"))+SUMPRODUCT(--(Lineups!C$46:C$83=A6),--(Lineups!A$46:A$83="SP"))+SUMPRODUCT(--(Lineups!G$46:G$83=A6),--(Lineups!A$46:A$83="SP")))))</f>
        <v>22</v>
      </c>
      <c r="G6" s="408">
        <f>IF(OR(A6="",F6=0,LU!D$3+LU!D$102=0),"",F6/(LU!D$3+LU!D$102))</f>
        <v>0.61111111111111116</v>
      </c>
      <c r="H6" s="409" t="str">
        <f>IF(OR(C6=0,A6=""),"",SK!D174)</f>
        <v/>
      </c>
      <c r="I6" s="410" t="str">
        <f ca="1">IF(OR(A6="",SK!E174="",SK!E174=0),"",H6/SK!E174)</f>
        <v/>
      </c>
      <c r="J6" s="417" t="str">
        <f>IF(OR(A6="",C6=0),"",SK!G174)</f>
        <v/>
      </c>
      <c r="K6" s="418" t="str">
        <f>IF(OR(A6="",C6=0),"",SK!H174)</f>
        <v/>
      </c>
      <c r="L6" s="419" t="str">
        <f>IF(OR(A6="",C6=0),"",SK!J174)</f>
        <v/>
      </c>
      <c r="M6" s="419" t="str">
        <f>IF(OR(A6="",C6=0),"",SK!L174)</f>
        <v/>
      </c>
      <c r="N6" s="698" t="str">
        <f>IF(OR(A6="",C6=0),"",SUMPRODUCT(--(Lineups!$A$4:$A$41="SP"),--(Lineups!$C$4:$C$41=A6))+SUMPRODUCT(--(Lineups!$A$46:$A$83="SP"),--(Lineups!$C$46:$C$83=A6)))</f>
        <v/>
      </c>
      <c r="O6" s="420" t="str">
        <f>IF(OR(A6="",C6="",(IF(C6="",0,C6)-IF(N6="",0,N6))=0),"",K6/(C6-N6))</f>
        <v/>
      </c>
      <c r="P6" s="421" t="str">
        <f>IF(OR(A6="",C6=0),"",SK!I174)</f>
        <v/>
      </c>
      <c r="Q6" s="422" t="str">
        <f t="shared" ref="Q6:Q25" si="0">IF(OR(A6="",C6=0,K6=0),"",P6/K6)</f>
        <v/>
      </c>
      <c r="R6" s="423">
        <f ca="1">IF(OR(A6="",F6=0),"",SUM(LU!Q55,LU!Q154))</f>
        <v>84</v>
      </c>
      <c r="S6" s="424">
        <f ca="1">IF(OR(A6="",F6=0),"",SUM(LU!Q78,LU!Q177))</f>
        <v>70</v>
      </c>
      <c r="T6" s="409">
        <f ca="1">IF(OR(A6="",F6=0),"",SUM(LU!Q32,LU!Q131))</f>
        <v>14</v>
      </c>
      <c r="U6" s="424" t="str">
        <f>IF(OR(A6="",C6=0),"",SUM(LU!O32,LU!O131))</f>
        <v/>
      </c>
      <c r="V6" s="425" t="str">
        <f t="shared" ref="V6:V25" si="1">IF(OR(A6="",C6=0),"",U6/C6)</f>
        <v/>
      </c>
      <c r="W6" s="426" t="str">
        <f>IF(OR(A6="",D6=0),"",SUM(LU!D32,LU!D131))</f>
        <v/>
      </c>
      <c r="X6" s="425" t="str">
        <f t="shared" ref="X6:X25" si="2">IF(OR(A6="",D6=0),"",W6/D6)</f>
        <v/>
      </c>
      <c r="Y6" s="426">
        <f ca="1">IF(OR(A6="",E6=0),"",SUM(LU!J32,LU!J131))</f>
        <v>14</v>
      </c>
      <c r="Z6" s="425">
        <f t="shared" ref="Z6:Z25" ca="1" si="3">IF(OR(A6="",E6=0),"",Y6/E6)</f>
        <v>0.63636363636363635</v>
      </c>
      <c r="AA6" s="551">
        <f ca="1">IF(OR(A6="",AND(D6=0, E6=0)),"",SUM(LU!L32,LU!L131))</f>
        <v>14</v>
      </c>
      <c r="AB6" s="552">
        <f ca="1">IF(OR(A6="",AND(D6=0, E6=0)),"",AA6/(D6+E6))</f>
        <v>0.63636363636363635</v>
      </c>
      <c r="AC6" s="422">
        <f ca="1">IF(OR(A6="",F6=0),"",T6/F6)</f>
        <v>0.63636363636363635</v>
      </c>
      <c r="AD6" s="427">
        <f ca="1">IF(OR(A6="",F6=0,R$26="-",LU!$D$5=0),"",R6-R$26)</f>
        <v>28.333333333333336</v>
      </c>
      <c r="AE6" s="428">
        <f ca="1">IF(OR(A6="",F6=0,S$26="-",LU!$D$5=0),"",S6-S$26)</f>
        <v>36</v>
      </c>
      <c r="AF6" s="429">
        <f t="shared" ref="AF6:AF25" ca="1" si="4">IF(OR(A6="",F6=0,AD6=""),"",AD6-AE6)</f>
        <v>-7.6666666666666643</v>
      </c>
      <c r="AG6" s="430" t="str">
        <f t="shared" ref="AG6:AG25" si="5">IF(OR($A6="",C6=0),"",V6-V$26)</f>
        <v/>
      </c>
      <c r="AH6" s="430" t="str">
        <f t="shared" ref="AH6:AH25" si="6">IF(OR($A6="",D6=0),"",X6-X$26)</f>
        <v/>
      </c>
      <c r="AI6" s="431">
        <f t="shared" ref="AI6:AI25" ca="1" si="7">IF(OR($A6="",E6=0),"",Z6-Z$26)</f>
        <v>-0.84028795278795265</v>
      </c>
      <c r="AJ6" s="556">
        <f ca="1">IF(OR($A6="",AND(D6=0, E6=0)),"",AB6-AB$26)</f>
        <v>-0.54270828332613219</v>
      </c>
      <c r="AK6" s="432">
        <f ca="1">IF(OR($A6="",AC6="",AC$26="-",LU!$D$5=0),"",AC6-AC$26)</f>
        <v>-0.82349464545116702</v>
      </c>
      <c r="AL6" s="1067">
        <f>IF(OR(A6="",F6=0),"",SUM(PT!U3,PT!U4))</f>
        <v>5</v>
      </c>
      <c r="AM6" s="1068"/>
    </row>
    <row r="7" spans="1:39" s="3" customFormat="1" ht="19.95" customHeight="1" x14ac:dyDescent="0.3">
      <c r="A7" s="104" t="str">
        <f>IF(ISBLANK(IGRF!$B15),"",IGRF!$B15)</f>
        <v>123</v>
      </c>
      <c r="B7" s="76" t="str">
        <f>IF(ISBLANK(IGRF!$C15),"",IGRF!$C15)</f>
        <v>Bacon 4 Mercy</v>
      </c>
      <c r="C7" s="77">
        <f>IF(A7="","",SUM(LU!O10,LU!O109))</f>
        <v>11</v>
      </c>
      <c r="D7" s="77">
        <f>IF(A7="","",SUM(LU!D10,LU!D109))</f>
        <v>0</v>
      </c>
      <c r="E7" s="78">
        <f>IF(A7="","",SUM(LU!J10,LU!J109))</f>
        <v>1</v>
      </c>
      <c r="F7" s="411">
        <f>IF(A7="","",(SUM(C7:E7)-(SUMPRODUCT(--(Lineups!C$4:C$41=A7),--(Lineups!A$4:A$41="SP"))+SUMPRODUCT(--(Lineups!G$4:G$41=A7),--(Lineups!A$4:A$41="SP"))+SUMPRODUCT(--(Lineups!C$46:C$83=A7),--(Lineups!A$46:A$83="SP"))+SUMPRODUCT(--(Lineups!G$46:G$83=A7),--(Lineups!A$46:A$83="SP")))))</f>
        <v>11</v>
      </c>
      <c r="G7" s="412">
        <f>IF(OR(A7="",F7=0,LU!D$3+LU!D$102=0),"",F7/(LU!D$3+LU!D$102))</f>
        <v>0.30555555555555558</v>
      </c>
      <c r="H7" s="413">
        <f ca="1">IF(OR(C7=0,A7=""),"",SK!D177)</f>
        <v>41</v>
      </c>
      <c r="I7" s="414">
        <f ca="1">IF(OR(A7="",SK!E177="",SK!E177=0),"",H7/SK!E177)</f>
        <v>3.7272727272727271</v>
      </c>
      <c r="J7" s="433">
        <f ca="1">IF(OR(A7="",C7=0),"",SK!G177)</f>
        <v>0</v>
      </c>
      <c r="K7" s="434">
        <f ca="1">IF(OR(A7="",C7=0),"",SK!H177)</f>
        <v>7</v>
      </c>
      <c r="L7" s="435">
        <f ca="1">IF(OR(A7="",C7=0),"",SK!J177)</f>
        <v>5</v>
      </c>
      <c r="M7" s="435">
        <f ca="1">IF(OR(A7="",C7=0),"",SK!L177)</f>
        <v>1</v>
      </c>
      <c r="N7" s="699">
        <f>IF(OR(A7="",C7=0),"",SUMPRODUCT(--(Lineups!$A$4:$A$41="SP"),--(Lineups!$C$4:$C$41=A7))+SUMPRODUCT(--(Lineups!$A$46:$A$83="SP"),--(Lineups!$C$46:$C$83=A7)))</f>
        <v>0</v>
      </c>
      <c r="O7" s="436">
        <f t="shared" ref="O7:O25" ca="1" si="8">IF(OR(A7="",C7="",(IF(C7="",0,C7)-IF(N7="",0,N7))=0),"",K7/(C7-N7))</f>
        <v>0.63636363636363635</v>
      </c>
      <c r="P7" s="437">
        <f ca="1">IF(OR(A7="",C7=0),"",SK!I177)</f>
        <v>38</v>
      </c>
      <c r="Q7" s="438">
        <f t="shared" ca="1" si="0"/>
        <v>5.4285714285714288</v>
      </c>
      <c r="R7" s="439">
        <f ca="1">IF(OR(A7="",F7=0),"",SUM(LU!Q56,LU!Q155))</f>
        <v>41</v>
      </c>
      <c r="S7" s="440">
        <f ca="1">IF(OR(A7="",F7=0),"",SUM(LU!Q79,LU!Q178))</f>
        <v>19</v>
      </c>
      <c r="T7" s="413">
        <f ca="1">IF(OR(A7="",F7=0),"",SUM(LU!Q33,LU!Q132))</f>
        <v>22</v>
      </c>
      <c r="U7" s="440">
        <f ca="1">IF(OR(A7="",C7=0),"",SUM(LU!O33,LU!O132))</f>
        <v>22</v>
      </c>
      <c r="V7" s="441">
        <f t="shared" ca="1" si="1"/>
        <v>2</v>
      </c>
      <c r="W7" s="442" t="str">
        <f>IF(OR(A7="",D7=0),"",SUM(LU!D33,LU!D132))</f>
        <v/>
      </c>
      <c r="X7" s="441" t="str">
        <f t="shared" si="2"/>
        <v/>
      </c>
      <c r="Y7" s="442">
        <f ca="1">IF(OR(A7="",E7=0),"",SUM(LU!J33,LU!J132))</f>
        <v>0</v>
      </c>
      <c r="Z7" s="549">
        <f t="shared" ca="1" si="3"/>
        <v>0</v>
      </c>
      <c r="AA7" s="553">
        <f ca="1">IF(OR(A7="",AND(D7=0, E7=0)),"",SUM(LU!L33,LU!L132))</f>
        <v>0</v>
      </c>
      <c r="AB7" s="554">
        <f ca="1">IF(OR(A7="",AND(D7=0, E7=0)),"",AA7/(D7+E7))</f>
        <v>0</v>
      </c>
      <c r="AC7" s="550">
        <f t="shared" ref="AC7:AC25" ca="1" si="9">IF(OR(A7="",F7="",F7=0),"",T7/F7)</f>
        <v>2</v>
      </c>
      <c r="AD7" s="443">
        <f ca="1">IF(OR(A7="",F7=0,R$26="-",LU!$D$5=0),"",R7-R$26)</f>
        <v>-14.666666666666664</v>
      </c>
      <c r="AE7" s="444">
        <f ca="1">IF(OR(A7="",F7=0,S$26="-",LU!$D$5=0),"",S7-S$26)</f>
        <v>-15</v>
      </c>
      <c r="AF7" s="445">
        <f t="shared" ca="1" si="4"/>
        <v>0.3333333333333357</v>
      </c>
      <c r="AG7" s="446">
        <f t="shared" ca="1" si="5"/>
        <v>0.91895604395604402</v>
      </c>
      <c r="AH7" s="446" t="str">
        <f t="shared" si="6"/>
        <v/>
      </c>
      <c r="AI7" s="447">
        <f t="shared" ca="1" si="7"/>
        <v>-1.476651589151589</v>
      </c>
      <c r="AJ7" s="557">
        <f ca="1">IF(OR($A7="",AND(D7=0, E7=0)),"",AB7-AB$26)</f>
        <v>-1.1790719196897685</v>
      </c>
      <c r="AK7" s="555">
        <f ca="1">IF(OR($A7="",AC7="",AC$26="-",LU!$D$5=0),"",AC7-AC$26)</f>
        <v>0.54014171818519663</v>
      </c>
      <c r="AL7" s="1060">
        <f>IF(OR(A7="",F7=0),"",SUM(PT!U5,PT!U6))</f>
        <v>0</v>
      </c>
      <c r="AM7" s="1061"/>
    </row>
    <row r="8" spans="1:39" s="3" customFormat="1" ht="19.95" customHeight="1" x14ac:dyDescent="0.3">
      <c r="A8" s="104" t="str">
        <f>IF(ISBLANK(IGRF!$B16),"",IGRF!$B16)</f>
        <v>1760</v>
      </c>
      <c r="B8" s="76" t="str">
        <f>IF(ISBLANK(IGRF!$C16),"",IGRF!$C16)</f>
        <v>By O. Hazard</v>
      </c>
      <c r="C8" s="77">
        <f>IF(A8="","",SUM(LU!O11,LU!O110))</f>
        <v>2</v>
      </c>
      <c r="D8" s="77">
        <f>IF(A8="","",SUM(LU!D11,LU!D110))</f>
        <v>14</v>
      </c>
      <c r="E8" s="78">
        <f>IF(A8="","",SUM(LU!J11,LU!J110))</f>
        <v>9</v>
      </c>
      <c r="F8" s="411">
        <f>IF(A8="","",(SUM(C8:E8)-(SUMPRODUCT(--(Lineups!C$4:C$41=A8),--(Lineups!A$4:A$41="SP"))+SUMPRODUCT(--(Lineups!G$4:G$41=A8),--(Lineups!A$4:A$41="SP"))+SUMPRODUCT(--(Lineups!C$46:C$83=A8),--(Lineups!A$46:A$83="SP"))+SUMPRODUCT(--(Lineups!G$46:G$83=A8),--(Lineups!A$46:A$83="SP")))))</f>
        <v>23</v>
      </c>
      <c r="G8" s="412">
        <f>IF(OR(A8="",F8=0,LU!D$3+LU!D$102=0),"",F8/(LU!D$3+LU!D$102))</f>
        <v>0.63888888888888884</v>
      </c>
      <c r="H8" s="413">
        <f ca="1">IF(OR(C8=0,A8=""),"",SK!D180)</f>
        <v>0</v>
      </c>
      <c r="I8" s="414">
        <f ca="1">IF(OR(A8="",SK!E180="",SK!E180=0),"",H8/SK!E180)</f>
        <v>0</v>
      </c>
      <c r="J8" s="433">
        <f ca="1">IF(OR(A8="",C8=0),"",SK!G180)</f>
        <v>0</v>
      </c>
      <c r="K8" s="434">
        <f ca="1">IF(OR(A8="",C8=0),"",SK!H180)</f>
        <v>0</v>
      </c>
      <c r="L8" s="435">
        <f ca="1">IF(OR(A8="",C8=0),"",SK!J180)</f>
        <v>0</v>
      </c>
      <c r="M8" s="435">
        <f ca="1">IF(OR(A8="",C8=0),"",SK!L180)</f>
        <v>0</v>
      </c>
      <c r="N8" s="699">
        <f>IF(OR(A8="",C8=0),"",SUMPRODUCT(--(Lineups!$A$4:$A$41="SP"),--(Lineups!$C$4:$C$41=A8))+SUMPRODUCT(--(Lineups!$A$46:$A$83="SP"),--(Lineups!$C$46:$C$83=A8)))</f>
        <v>2</v>
      </c>
      <c r="O8" s="436" t="str">
        <f t="shared" si="8"/>
        <v/>
      </c>
      <c r="P8" s="437">
        <f ca="1">IF(OR(A8="",C8=0),"",SK!I180)</f>
        <v>0</v>
      </c>
      <c r="Q8" s="438" t="str">
        <f t="shared" ca="1" si="0"/>
        <v/>
      </c>
      <c r="R8" s="439">
        <f ca="1">IF(OR(A8="",F8=0),"",SUM(LU!Q57,LU!Q156))</f>
        <v>84</v>
      </c>
      <c r="S8" s="440">
        <f ca="1">IF(OR(A8="",F8=0),"",SUM(LU!Q80,LU!Q179))</f>
        <v>78</v>
      </c>
      <c r="T8" s="413">
        <f ca="1">IF(OR(A8="",F8=0),"",SUM(LU!Q34,LU!Q133))</f>
        <v>6</v>
      </c>
      <c r="U8" s="440">
        <f ca="1">IF(OR(A8="",C8=0),"",SUM(LU!O34,LU!O133))</f>
        <v>0</v>
      </c>
      <c r="V8" s="441">
        <f t="shared" ca="1" si="1"/>
        <v>0</v>
      </c>
      <c r="W8" s="442">
        <f ca="1">IF(OR(A8="",D8=0),"",SUM(LU!D34,LU!D133))</f>
        <v>-4</v>
      </c>
      <c r="X8" s="441">
        <f t="shared" ca="1" si="2"/>
        <v>-0.2857142857142857</v>
      </c>
      <c r="Y8" s="442">
        <f ca="1">IF(OR(A8="",E8=0),"",SUM(LU!J34,LU!J133))</f>
        <v>10</v>
      </c>
      <c r="Z8" s="441">
        <f t="shared" ca="1" si="3"/>
        <v>1.1111111111111112</v>
      </c>
      <c r="AA8" s="553">
        <f ca="1">IF(OR(A8="",AND(D8=0, E8=0)),"",SUM(LU!L34,LU!L133))</f>
        <v>6</v>
      </c>
      <c r="AB8" s="554">
        <f t="shared" ref="AB8:AB25" ca="1" si="10">IF(OR(A8="",AND(D8=0, E8=0)),"",AA8/(D8+E8))</f>
        <v>0.2608695652173913</v>
      </c>
      <c r="AC8" s="438">
        <f t="shared" ca="1" si="9"/>
        <v>0.2608695652173913</v>
      </c>
      <c r="AD8" s="443">
        <f ca="1">IF(OR(A8="",F8=0,R$26="-",LU!$D$5=0),"",R8-R$26)</f>
        <v>28.333333333333336</v>
      </c>
      <c r="AE8" s="444">
        <f ca="1">IF(OR(A8="",F8=0,S$26="-",LU!$D$5=0),"",S8-S$26)</f>
        <v>44</v>
      </c>
      <c r="AF8" s="445">
        <f t="shared" ca="1" si="4"/>
        <v>-15.666666666666664</v>
      </c>
      <c r="AG8" s="446">
        <f t="shared" ca="1" si="5"/>
        <v>-1.081043956043956</v>
      </c>
      <c r="AH8" s="446">
        <f t="shared" ca="1" si="6"/>
        <v>-2.2657563025210083</v>
      </c>
      <c r="AI8" s="447">
        <f t="shared" ca="1" si="7"/>
        <v>-0.36554047804047785</v>
      </c>
      <c r="AJ8" s="557">
        <f t="shared" ref="AJ8:AJ25" ca="1" si="11">IF(OR($A8="",AND(D8=0, E8=0)),"",AB8-AB$26)</f>
        <v>-0.91820235447237719</v>
      </c>
      <c r="AK8" s="448">
        <f ca="1">IF(OR($A8="",AC8="",AC$26="-",LU!$D$5=0),"",AC8-AC$26)</f>
        <v>-1.198988716597412</v>
      </c>
      <c r="AL8" s="1060">
        <f>IF(OR(A8="",F8=0),"",SUM(PT!U7,PT!U8))</f>
        <v>3</v>
      </c>
      <c r="AM8" s="1061"/>
    </row>
    <row r="9" spans="1:39" s="3" customFormat="1" ht="19.95" customHeight="1" x14ac:dyDescent="0.3">
      <c r="A9" s="104" t="str">
        <f>IF(ISBLANK(IGRF!$B17),"",IGRF!$B17)</f>
        <v>202</v>
      </c>
      <c r="B9" s="76" t="str">
        <f>IF(ISBLANK(IGRF!$C17),"",IGRF!$C17)</f>
        <v>Thai-GRRR</v>
      </c>
      <c r="C9" s="77">
        <f>IF(A9="","",SUM(LU!O12,LU!O111))</f>
        <v>8</v>
      </c>
      <c r="D9" s="77">
        <f>IF(A9="","",SUM(LU!D12,LU!D111))</f>
        <v>0</v>
      </c>
      <c r="E9" s="78">
        <f>IF(A9="","",SUM(LU!J12,LU!J111))</f>
        <v>0</v>
      </c>
      <c r="F9" s="411">
        <f>IF(A9="","",(SUM(C9:E9)-(SUMPRODUCT(--(Lineups!C$4:C$41=A9),--(Lineups!A$4:A$41="SP"))+SUMPRODUCT(--(Lineups!G$4:G$41=A9),--(Lineups!A$4:A$41="SP"))+SUMPRODUCT(--(Lineups!C$46:C$83=A9),--(Lineups!A$46:A$83="SP"))+SUMPRODUCT(--(Lineups!G$46:G$83=A9),--(Lineups!A$46:A$83="SP")))))</f>
        <v>8</v>
      </c>
      <c r="G9" s="412">
        <f>IF(OR(A9="",F9=0,LU!D$3+LU!D$102=0),"",F9/(LU!D$3+LU!D$102))</f>
        <v>0.22222222222222221</v>
      </c>
      <c r="H9" s="413">
        <f ca="1">IF(OR(C9=0,A9=""),"",SK!D183)</f>
        <v>58</v>
      </c>
      <c r="I9" s="414">
        <f ca="1">IF(OR(A9="",SK!E183="",SK!E183=0),"",H9/SK!E183)</f>
        <v>7.25</v>
      </c>
      <c r="J9" s="433">
        <f ca="1">IF(OR(A9="",C9=0),"",SK!G183)</f>
        <v>1</v>
      </c>
      <c r="K9" s="434">
        <f ca="1">IF(OR(A9="",C9=0),"",SK!H183)</f>
        <v>7</v>
      </c>
      <c r="L9" s="435">
        <f ca="1">IF(OR(A9="",C9=0),"",SK!J183)</f>
        <v>2</v>
      </c>
      <c r="M9" s="435">
        <f ca="1">IF(OR(A9="",C9=0),"",SK!L183)</f>
        <v>0</v>
      </c>
      <c r="N9" s="699">
        <f>IF(OR(A9="",C9=0),"",SUMPRODUCT(--(Lineups!$A$4:$A$41="SP"),--(Lineups!$C$4:$C$41=A9))+SUMPRODUCT(--(Lineups!$A$46:$A$83="SP"),--(Lineups!$C$46:$C$83=A9)))</f>
        <v>0</v>
      </c>
      <c r="O9" s="436">
        <f t="shared" ca="1" si="8"/>
        <v>0.875</v>
      </c>
      <c r="P9" s="437">
        <f ca="1">IF(OR(A9="",C9=0),"",SK!I183)</f>
        <v>43</v>
      </c>
      <c r="Q9" s="438">
        <f t="shared" ca="1" si="0"/>
        <v>6.1428571428571432</v>
      </c>
      <c r="R9" s="439">
        <f ca="1">IF(OR(A9="",F9=0),"",SUM(LU!Q58,LU!Q157))</f>
        <v>58</v>
      </c>
      <c r="S9" s="440">
        <f ca="1">IF(OR(A9="",F9=0),"",SUM(LU!Q81,LU!Q180))</f>
        <v>19</v>
      </c>
      <c r="T9" s="413">
        <f ca="1">IF(OR(A9="",F9=0),"",SUM(LU!Q35,LU!Q134))</f>
        <v>39</v>
      </c>
      <c r="U9" s="440">
        <f ca="1">IF(OR(A9="",C9=0),"",SUM(LU!O35,LU!O134))</f>
        <v>39</v>
      </c>
      <c r="V9" s="441">
        <f t="shared" ca="1" si="1"/>
        <v>4.875</v>
      </c>
      <c r="W9" s="442" t="str">
        <f>IF(OR(A9="",D9=0),"",SUM(LU!D35,LU!D134))</f>
        <v/>
      </c>
      <c r="X9" s="441" t="str">
        <f t="shared" si="2"/>
        <v/>
      </c>
      <c r="Y9" s="442" t="str">
        <f>IF(OR(A9="",E9=0),"",SUM(LU!J35,LU!J134))</f>
        <v/>
      </c>
      <c r="Z9" s="441" t="str">
        <f t="shared" si="3"/>
        <v/>
      </c>
      <c r="AA9" s="553" t="str">
        <f>IF(OR(A9="",AND(D9=0, E9=0)),"",SUM(LU!L35,LU!L134))</f>
        <v/>
      </c>
      <c r="AB9" s="554" t="str">
        <f t="shared" si="10"/>
        <v/>
      </c>
      <c r="AC9" s="438">
        <f t="shared" ca="1" si="9"/>
        <v>4.875</v>
      </c>
      <c r="AD9" s="443">
        <f ca="1">IF(OR(A9="",F9=0,R$26="-",LU!$D$5=0),"",R9-R$26)</f>
        <v>2.3333333333333357</v>
      </c>
      <c r="AE9" s="444">
        <f ca="1">IF(OR(A9="",F9=0,S$26="-",LU!$D$5=0),"",S9-S$26)</f>
        <v>-15</v>
      </c>
      <c r="AF9" s="445">
        <f t="shared" ca="1" si="4"/>
        <v>17.333333333333336</v>
      </c>
      <c r="AG9" s="446">
        <f t="shared" ca="1" si="5"/>
        <v>3.7939560439560438</v>
      </c>
      <c r="AH9" s="446" t="str">
        <f t="shared" si="6"/>
        <v/>
      </c>
      <c r="AI9" s="447" t="str">
        <f t="shared" si="7"/>
        <v/>
      </c>
      <c r="AJ9" s="557" t="str">
        <f t="shared" si="11"/>
        <v/>
      </c>
      <c r="AK9" s="448">
        <f ca="1">IF(OR($A9="",AC9="",AC$26="-",LU!$D$5=0),"",AC9-AC$26)</f>
        <v>3.4151417181851969</v>
      </c>
      <c r="AL9" s="1060">
        <f>IF(OR(A9="",F9=0),"",SUM(PT!U9,PT!U10))</f>
        <v>1</v>
      </c>
      <c r="AM9" s="1061"/>
    </row>
    <row r="10" spans="1:39" s="3" customFormat="1" ht="19.95" customHeight="1" x14ac:dyDescent="0.3">
      <c r="A10" s="104" t="str">
        <f>IF(ISBLANK(IGRF!$B18),"",IGRF!$B18)</f>
        <v>22</v>
      </c>
      <c r="B10" s="76" t="str">
        <f>IF(ISBLANK(IGRF!$C18),"",IGRF!$C18)</f>
        <v>Jen Hex</v>
      </c>
      <c r="C10" s="77">
        <f>IF(A10="","",SUM(LU!O13,LU!O112))</f>
        <v>1</v>
      </c>
      <c r="D10" s="77">
        <f>IF(A10="","",SUM(LU!D13,LU!D112))</f>
        <v>0</v>
      </c>
      <c r="E10" s="78">
        <f>IF(A10="","",SUM(LU!J13,LU!J112))</f>
        <v>1</v>
      </c>
      <c r="F10" s="411">
        <f>IF(A10="","",(SUM(C10:E10)-(SUMPRODUCT(--(Lineups!C$4:C$41=A10),--(Lineups!A$4:A$41="SP"))+SUMPRODUCT(--(Lineups!G$4:G$41=A10),--(Lineups!A$4:A$41="SP"))+SUMPRODUCT(--(Lineups!C$46:C$83=A10),--(Lineups!A$46:A$83="SP"))+SUMPRODUCT(--(Lineups!G$46:G$83=A10),--(Lineups!A$46:A$83="SP")))))</f>
        <v>1</v>
      </c>
      <c r="G10" s="412">
        <f>IF(OR(A10="",F10=0,LU!D$3+LU!D$102=0),"",F10/(LU!D$3+LU!D$102))</f>
        <v>2.7777777777777776E-2</v>
      </c>
      <c r="H10" s="413">
        <f ca="1">IF(OR(C10=0,A10=""),"",SK!D186)</f>
        <v>0</v>
      </c>
      <c r="I10" s="414">
        <f ca="1">IF(OR(A10="",SK!E186="",SK!E186=0),"",H10/SK!E186)</f>
        <v>0</v>
      </c>
      <c r="J10" s="433">
        <f ca="1">IF(OR(A10="",C10=0),"",SK!G186)</f>
        <v>0</v>
      </c>
      <c r="K10" s="434">
        <f ca="1">IF(OR(A10="",C10=0),"",SK!H186)</f>
        <v>0</v>
      </c>
      <c r="L10" s="435">
        <f ca="1">IF(OR(A10="",C10=0),"",SK!J186)</f>
        <v>0</v>
      </c>
      <c r="M10" s="435">
        <f ca="1">IF(OR(A10="",C10=0),"",SK!L186)</f>
        <v>1</v>
      </c>
      <c r="N10" s="699">
        <f>IF(OR(A10="",C10=0),"",SUMPRODUCT(--(Lineups!$A$4:$A$41="SP"),--(Lineups!$C$4:$C$41=A10))+SUMPRODUCT(--(Lineups!$A$46:$A$83="SP"),--(Lineups!$C$46:$C$83=A10)))</f>
        <v>0</v>
      </c>
      <c r="O10" s="436">
        <f t="shared" ca="1" si="8"/>
        <v>0</v>
      </c>
      <c r="P10" s="437">
        <f ca="1">IF(OR(A10="",C10=0),"",SK!I186)</f>
        <v>0</v>
      </c>
      <c r="Q10" s="438" t="str">
        <f t="shared" ca="1" si="0"/>
        <v/>
      </c>
      <c r="R10" s="439">
        <f ca="1">IF(OR(A10="",F10=0),"",SUM(LU!Q59,LU!Q158))</f>
        <v>0</v>
      </c>
      <c r="S10" s="440">
        <f ca="1">IF(OR(A10="",F10=0),"",SUM(LU!Q82,LU!Q181))</f>
        <v>4</v>
      </c>
      <c r="T10" s="413">
        <f ca="1">IF(OR(A10="",F10=0),"",SUM(LU!Q36,LU!Q135))</f>
        <v>-4</v>
      </c>
      <c r="U10" s="440">
        <f ca="1">IF(OR(A10="",C10=0),"",SUM(LU!O36,LU!O135))</f>
        <v>-4</v>
      </c>
      <c r="V10" s="441">
        <f t="shared" ca="1" si="1"/>
        <v>-4</v>
      </c>
      <c r="W10" s="442" t="str">
        <f>IF(OR(A10="",D10=0),"",SUM(LU!D36,LU!D135))</f>
        <v/>
      </c>
      <c r="X10" s="441" t="str">
        <f t="shared" si="2"/>
        <v/>
      </c>
      <c r="Y10" s="442">
        <f ca="1">IF(OR(A10="",E10=0),"",SUM(LU!J36,LU!J135))</f>
        <v>0</v>
      </c>
      <c r="Z10" s="441">
        <f t="shared" ca="1" si="3"/>
        <v>0</v>
      </c>
      <c r="AA10" s="553">
        <f ca="1">IF(OR(A10="",AND(D10=0, E10=0)),"",SUM(LU!L36,LU!L135))</f>
        <v>0</v>
      </c>
      <c r="AB10" s="554">
        <f t="shared" ca="1" si="10"/>
        <v>0</v>
      </c>
      <c r="AC10" s="438">
        <f t="shared" ca="1" si="9"/>
        <v>-4</v>
      </c>
      <c r="AD10" s="443">
        <f ca="1">IF(OR(A10="",F10=0,R$26="-",LU!$D$5=0),"",R10-R$26)</f>
        <v>-55.666666666666664</v>
      </c>
      <c r="AE10" s="444">
        <f ca="1">IF(OR(A10="",F10=0,S$26="-",LU!$D$5=0),"",S10-S$26)</f>
        <v>-30</v>
      </c>
      <c r="AF10" s="445">
        <f t="shared" ca="1" si="4"/>
        <v>-25.666666666666664</v>
      </c>
      <c r="AG10" s="446">
        <f t="shared" ca="1" si="5"/>
        <v>-5.0810439560439562</v>
      </c>
      <c r="AH10" s="446" t="str">
        <f t="shared" si="6"/>
        <v/>
      </c>
      <c r="AI10" s="447">
        <f t="shared" ca="1" si="7"/>
        <v>-1.476651589151589</v>
      </c>
      <c r="AJ10" s="557">
        <f t="shared" ca="1" si="11"/>
        <v>-1.1790719196897685</v>
      </c>
      <c r="AK10" s="448">
        <f ca="1">IF(OR($A10="",AC10="",AC$26="-",LU!$D$5=0),"",AC10-AC$26)</f>
        <v>-5.4598582818148031</v>
      </c>
      <c r="AL10" s="1060">
        <f>IF(OR(A10="",F10=0),"",SUM(PT!U11,PT!U12))</f>
        <v>0</v>
      </c>
      <c r="AM10" s="1061"/>
    </row>
    <row r="11" spans="1:39" s="3" customFormat="1" ht="19.95" customHeight="1" x14ac:dyDescent="0.3">
      <c r="A11" s="104" t="str">
        <f>IF(ISBLANK(IGRF!$B19),"",IGRF!$B19)</f>
        <v>221*</v>
      </c>
      <c r="B11" s="76" t="str">
        <f>IF(ISBLANK(IGRF!$C19),"",IGRF!$C19)</f>
        <v>Kili Pepa</v>
      </c>
      <c r="C11" s="77">
        <f>IF(A11="","",SUM(LU!O14,LU!O113))</f>
        <v>0</v>
      </c>
      <c r="D11" s="77">
        <f>IF(A11="","",SUM(LU!D14,LU!D113))</f>
        <v>0</v>
      </c>
      <c r="E11" s="78">
        <f>IF(A11="","",SUM(LU!J14,LU!J113))</f>
        <v>0</v>
      </c>
      <c r="F11" s="411">
        <f>IF(A11="","",(SUM(C11:E11)-(SUMPRODUCT(--(Lineups!C$4:C$41=A11),--(Lineups!A$4:A$41="SP"))+SUMPRODUCT(--(Lineups!G$4:G$41=A11),--(Lineups!A$4:A$41="SP"))+SUMPRODUCT(--(Lineups!C$46:C$83=A11),--(Lineups!A$46:A$83="SP"))+SUMPRODUCT(--(Lineups!G$46:G$83=A11),--(Lineups!A$46:A$83="SP")))))</f>
        <v>0</v>
      </c>
      <c r="G11" s="412" t="str">
        <f>IF(OR(A11="",F11=0,LU!D$3+LU!D$102=0),"",F11/(LU!D$3+LU!D$102))</f>
        <v/>
      </c>
      <c r="H11" s="413" t="str">
        <f>IF(OR(C11=0,A11=""),"",SK!D189)</f>
        <v/>
      </c>
      <c r="I11" s="414" t="str">
        <f ca="1">IF(OR(A11="",SK!E189="",SK!E189=0),"",H11/SK!E189)</f>
        <v/>
      </c>
      <c r="J11" s="433" t="str">
        <f>IF(OR(A11="",C11=0),"",SK!G189)</f>
        <v/>
      </c>
      <c r="K11" s="434" t="str">
        <f>IF(OR(A11="",C11=0),"",SK!H189)</f>
        <v/>
      </c>
      <c r="L11" s="435" t="str">
        <f>IF(OR(A11="",C11=0),"",SK!J189)</f>
        <v/>
      </c>
      <c r="M11" s="435" t="str">
        <f>IF(OR(A11="",C11=0),"",SK!L189)</f>
        <v/>
      </c>
      <c r="N11" s="699" t="str">
        <f>IF(OR(A11="",C11=0),"",SUMPRODUCT(--(Lineups!$A$4:$A$41="SP"),--(Lineups!$C$4:$C$41=A11))+SUMPRODUCT(--(Lineups!$A$46:$A$83="SP"),--(Lineups!$C$46:$C$83=A11)))</f>
        <v/>
      </c>
      <c r="O11" s="436" t="str">
        <f t="shared" si="8"/>
        <v/>
      </c>
      <c r="P11" s="437" t="str">
        <f>IF(OR(A11="",C11=0),"",SK!I189)</f>
        <v/>
      </c>
      <c r="Q11" s="438" t="str">
        <f t="shared" si="0"/>
        <v/>
      </c>
      <c r="R11" s="439" t="str">
        <f>IF(OR(A11="",F11=0),"",SUM(LU!Q60,LU!Q159))</f>
        <v/>
      </c>
      <c r="S11" s="440" t="str">
        <f>IF(OR(A11="",F11=0),"",SUM(LU!Q83,LU!Q182))</f>
        <v/>
      </c>
      <c r="T11" s="413" t="str">
        <f>IF(OR(A11="",F11=0),"",SUM(LU!Q37,LU!Q136))</f>
        <v/>
      </c>
      <c r="U11" s="440" t="str">
        <f>IF(OR(A11="",C11=0),"",SUM(LU!O37,LU!O136))</f>
        <v/>
      </c>
      <c r="V11" s="441" t="str">
        <f t="shared" si="1"/>
        <v/>
      </c>
      <c r="W11" s="442" t="str">
        <f>IF(OR(A11="",D11=0),"",SUM(LU!D37,LU!D136))</f>
        <v/>
      </c>
      <c r="X11" s="441" t="str">
        <f t="shared" si="2"/>
        <v/>
      </c>
      <c r="Y11" s="442" t="str">
        <f>IF(OR(A11="",E11=0),"",SUM(LU!J37,LU!J136))</f>
        <v/>
      </c>
      <c r="Z11" s="441" t="str">
        <f t="shared" si="3"/>
        <v/>
      </c>
      <c r="AA11" s="553" t="str">
        <f>IF(OR(A11="",AND(D11=0, E11=0)),"",SUM(LU!L37,LU!L136))</f>
        <v/>
      </c>
      <c r="AB11" s="554" t="str">
        <f t="shared" si="10"/>
        <v/>
      </c>
      <c r="AC11" s="438" t="str">
        <f t="shared" si="9"/>
        <v/>
      </c>
      <c r="AD11" s="443" t="str">
        <f ca="1">IF(OR(A11="",F11=0,R$26="-",LU!$D$5=0),"",R11-R$26)</f>
        <v/>
      </c>
      <c r="AE11" s="444" t="str">
        <f ca="1">IF(OR(A11="",F11=0,S$26="-",LU!$D$5=0),"",S11-S$26)</f>
        <v/>
      </c>
      <c r="AF11" s="445" t="str">
        <f t="shared" ca="1" si="4"/>
        <v/>
      </c>
      <c r="AG11" s="446" t="str">
        <f t="shared" si="5"/>
        <v/>
      </c>
      <c r="AH11" s="446" t="str">
        <f t="shared" si="6"/>
        <v/>
      </c>
      <c r="AI11" s="447" t="str">
        <f t="shared" si="7"/>
        <v/>
      </c>
      <c r="AJ11" s="557" t="str">
        <f t="shared" si="11"/>
        <v/>
      </c>
      <c r="AK11" s="448" t="str">
        <f ca="1">IF(OR($A11="",AC11="",AC$26="-",LU!$D$5=0),"",AC11-AC$26)</f>
        <v/>
      </c>
      <c r="AL11" s="1060" t="str">
        <f>IF(OR(A11="",F11=0),"",SUM(PT!U13,PT!U14))</f>
        <v/>
      </c>
      <c r="AM11" s="1061"/>
    </row>
    <row r="12" spans="1:39" s="3" customFormat="1" ht="19.5" customHeight="1" x14ac:dyDescent="0.3">
      <c r="A12" s="104" t="str">
        <f>IF(ISBLANK(IGRF!$B20),"",IGRF!$B20)</f>
        <v>229</v>
      </c>
      <c r="B12" s="76" t="str">
        <f>IF(ISBLANK(IGRF!$C20),"",IGRF!$C20)</f>
        <v>Sparky</v>
      </c>
      <c r="C12" s="77">
        <f>IF(A12="","",SUM(LU!O15,LU!O114))</f>
        <v>0</v>
      </c>
      <c r="D12" s="77">
        <f>IF(A12="","",SUM(LU!D15,LU!D114))</f>
        <v>0</v>
      </c>
      <c r="E12" s="78">
        <f>IF(A12="","",SUM(LU!J15,LU!J114))</f>
        <v>8</v>
      </c>
      <c r="F12" s="411">
        <f>IF(A12="","",(SUM(C12:E12)-(SUMPRODUCT(--(Lineups!C$4:C$41=A12),--(Lineups!A$4:A$41="SP"))+SUMPRODUCT(--(Lineups!G$4:G$41=A12),--(Lineups!A$4:A$41="SP"))+SUMPRODUCT(--(Lineups!C$46:C$83=A12),--(Lineups!A$46:A$83="SP"))+SUMPRODUCT(--(Lineups!G$46:G$83=A12),--(Lineups!A$46:A$83="SP")))))</f>
        <v>8</v>
      </c>
      <c r="G12" s="412">
        <f>IF(OR(A12="",F12=0,LU!D$3+LU!D$102=0),"",F12/(LU!D$3+LU!D$102))</f>
        <v>0.22222222222222221</v>
      </c>
      <c r="H12" s="413" t="str">
        <f>IF(OR(C12=0,A12=""),"",SK!D192)</f>
        <v/>
      </c>
      <c r="I12" s="414" t="str">
        <f ca="1">IF(OR(A12="",SK!E192="",SK!E192=0),"",H12/SK!E192)</f>
        <v/>
      </c>
      <c r="J12" s="433" t="str">
        <f>IF(OR(A12="",C12=0),"",SK!G192)</f>
        <v/>
      </c>
      <c r="K12" s="434" t="str">
        <f>IF(OR(A12="",C12=0),"",SK!H192)</f>
        <v/>
      </c>
      <c r="L12" s="435" t="str">
        <f>IF(OR(A12="",C12=0),"",SK!J192)</f>
        <v/>
      </c>
      <c r="M12" s="435" t="str">
        <f>IF(OR(A12="",C12=0),"",SK!L192)</f>
        <v/>
      </c>
      <c r="N12" s="699" t="str">
        <f>IF(OR(A12="",C12=0),"",SUMPRODUCT(--(Lineups!$A$4:$A$41="SP"),--(Lineups!$C$4:$C$41=A12))+SUMPRODUCT(--(Lineups!$A$46:$A$83="SP"),--(Lineups!$C$46:$C$83=A12)))</f>
        <v/>
      </c>
      <c r="O12" s="436" t="str">
        <f t="shared" si="8"/>
        <v/>
      </c>
      <c r="P12" s="437" t="str">
        <f>IF(OR(A12="",C12=0),"",SK!I192)</f>
        <v/>
      </c>
      <c r="Q12" s="438" t="str">
        <f t="shared" si="0"/>
        <v/>
      </c>
      <c r="R12" s="439">
        <f ca="1">IF(OR(A12="",F12=0),"",SUM(LU!Q61,LU!Q160))</f>
        <v>54</v>
      </c>
      <c r="S12" s="440">
        <f ca="1">IF(OR(A12="",F12=0),"",SUM(LU!Q84,LU!Q183))</f>
        <v>12</v>
      </c>
      <c r="T12" s="413">
        <f ca="1">IF(OR(A12="",F12=0),"",SUM(LU!Q38,LU!Q137))</f>
        <v>42</v>
      </c>
      <c r="U12" s="440" t="str">
        <f>IF(OR(A12="",C12=0),"",SUM(LU!O38,LU!O137))</f>
        <v/>
      </c>
      <c r="V12" s="441" t="str">
        <f t="shared" si="1"/>
        <v/>
      </c>
      <c r="W12" s="442" t="str">
        <f>IF(OR(A12="",D12=0),"",SUM(LU!D38,LU!D137))</f>
        <v/>
      </c>
      <c r="X12" s="441" t="str">
        <f t="shared" si="2"/>
        <v/>
      </c>
      <c r="Y12" s="442">
        <f ca="1">IF(OR(A12="",E12=0),"",SUM(LU!J38,LU!J137))</f>
        <v>42</v>
      </c>
      <c r="Z12" s="441">
        <f t="shared" ca="1" si="3"/>
        <v>5.25</v>
      </c>
      <c r="AA12" s="553">
        <f ca="1">IF(OR(A12="",AND(D12=0, E12=0)),"",SUM(LU!L38,LU!L137))</f>
        <v>42</v>
      </c>
      <c r="AB12" s="554">
        <f t="shared" ca="1" si="10"/>
        <v>5.25</v>
      </c>
      <c r="AC12" s="438">
        <f t="shared" ca="1" si="9"/>
        <v>5.25</v>
      </c>
      <c r="AD12" s="443">
        <f ca="1">IF(OR(A12="",F12=0,R$26="-",LU!$D$5=0),"",R12-R$26)</f>
        <v>-1.6666666666666643</v>
      </c>
      <c r="AE12" s="444">
        <f ca="1">IF(OR(A12="",F12=0,S$26="-",LU!$D$5=0),"",S12-S$26)</f>
        <v>-22</v>
      </c>
      <c r="AF12" s="445">
        <f t="shared" ca="1" si="4"/>
        <v>20.333333333333336</v>
      </c>
      <c r="AG12" s="446" t="str">
        <f t="shared" si="5"/>
        <v/>
      </c>
      <c r="AH12" s="446" t="str">
        <f t="shared" si="6"/>
        <v/>
      </c>
      <c r="AI12" s="447">
        <f t="shared" ca="1" si="7"/>
        <v>3.7733484108484108</v>
      </c>
      <c r="AJ12" s="557">
        <f t="shared" ca="1" si="11"/>
        <v>4.0709280803102317</v>
      </c>
      <c r="AK12" s="448">
        <f ca="1">IF(OR($A12="",AC12="",AC$26="-",LU!$D$5=0),"",AC12-AC$26)</f>
        <v>3.7901417181851969</v>
      </c>
      <c r="AL12" s="1060">
        <f>IF(OR(A12="",F12=0),"",SUM(PT!U15,PT!U16))</f>
        <v>2</v>
      </c>
      <c r="AM12" s="1061"/>
    </row>
    <row r="13" spans="1:39" s="3" customFormat="1" ht="19.95" customHeight="1" x14ac:dyDescent="0.3">
      <c r="A13" s="104" t="str">
        <f>IF(ISBLANK(IGRF!$B21),"",IGRF!$B21)</f>
        <v>237</v>
      </c>
      <c r="B13" s="76" t="str">
        <f>IF(ISBLANK(IGRF!$C21),"",IGRF!$C21)</f>
        <v>RedRum</v>
      </c>
      <c r="C13" s="77">
        <f>IF(A13="","",SUM(LU!O16,LU!O115))</f>
        <v>0</v>
      </c>
      <c r="D13" s="77">
        <f>IF(A13="","",SUM(LU!D16,LU!D115))</f>
        <v>0</v>
      </c>
      <c r="E13" s="78">
        <f>IF(A13="","",SUM(LU!J16,LU!J115))</f>
        <v>21</v>
      </c>
      <c r="F13" s="411">
        <f>IF(A13="","",(SUM(C13:E13)-(SUMPRODUCT(--(Lineups!C$4:C$41=A13),--(Lineups!A$4:A$41="SP"))+SUMPRODUCT(--(Lineups!G$4:G$41=A13),--(Lineups!A$4:A$41="SP"))+SUMPRODUCT(--(Lineups!C$46:C$83=A13),--(Lineups!A$46:A$83="SP"))+SUMPRODUCT(--(Lineups!G$46:G$83=A13),--(Lineups!A$46:A$83="SP")))))</f>
        <v>21</v>
      </c>
      <c r="G13" s="412">
        <f>IF(OR(A13="",F13=0,LU!D$3+LU!D$102=0),"",F13/(LU!D$3+LU!D$102))</f>
        <v>0.58333333333333337</v>
      </c>
      <c r="H13" s="413" t="str">
        <f>IF(OR(C13=0,A13=""),"",SK!D195)</f>
        <v/>
      </c>
      <c r="I13" s="414" t="str">
        <f ca="1">IF(OR(A13="",SK!E195="",SK!E195=0),"",H13/SK!E195)</f>
        <v/>
      </c>
      <c r="J13" s="433" t="str">
        <f>IF(OR(A13="",C13=0),"",SK!G195)</f>
        <v/>
      </c>
      <c r="K13" s="434" t="str">
        <f>IF(OR(A13="",C13=0),"",SK!H195)</f>
        <v/>
      </c>
      <c r="L13" s="435" t="str">
        <f>IF(OR(A13="",C13=0),"",SK!J195)</f>
        <v/>
      </c>
      <c r="M13" s="435" t="str">
        <f>IF(OR(A13="",C13=0),"",SK!L195)</f>
        <v/>
      </c>
      <c r="N13" s="699" t="str">
        <f>IF(OR(A13="",C13=0),"",SUMPRODUCT(--(Lineups!$A$4:$A$41="SP"),--(Lineups!$C$4:$C$41=A13))+SUMPRODUCT(--(Lineups!$A$46:$A$83="SP"),--(Lineups!$C$46:$C$83=A13)))</f>
        <v/>
      </c>
      <c r="O13" s="436" t="str">
        <f t="shared" si="8"/>
        <v/>
      </c>
      <c r="P13" s="437" t="str">
        <f>IF(OR(A13="",C13=0),"",SK!I195)</f>
        <v/>
      </c>
      <c r="Q13" s="438" t="str">
        <f t="shared" si="0"/>
        <v/>
      </c>
      <c r="R13" s="439">
        <f ca="1">IF(OR(A13="",F13=0),"",SUM(LU!Q62,LU!Q161))</f>
        <v>140</v>
      </c>
      <c r="S13" s="440">
        <f ca="1">IF(OR(A13="",F13=0),"",SUM(LU!Q85,LU!Q184))</f>
        <v>46</v>
      </c>
      <c r="T13" s="413">
        <f ca="1">IF(OR(A13="",F13=0),"",SUM(LU!Q39,LU!Q138))</f>
        <v>94</v>
      </c>
      <c r="U13" s="440" t="str">
        <f>IF(OR(A13="",C13=0),"",SUM(LU!O39,LU!O138))</f>
        <v/>
      </c>
      <c r="V13" s="441" t="str">
        <f t="shared" si="1"/>
        <v/>
      </c>
      <c r="W13" s="442" t="str">
        <f>IF(OR(A13="",D13=0),"",SUM(LU!D39,LU!D138))</f>
        <v/>
      </c>
      <c r="X13" s="441" t="str">
        <f t="shared" si="2"/>
        <v/>
      </c>
      <c r="Y13" s="442">
        <f ca="1">IF(OR(A13="",E13=0),"",SUM(LU!J39,LU!J138))</f>
        <v>94</v>
      </c>
      <c r="Z13" s="441">
        <f t="shared" ca="1" si="3"/>
        <v>4.4761904761904763</v>
      </c>
      <c r="AA13" s="553">
        <f ca="1">IF(OR(A13="",AND(D13=0, E13=0)),"",SUM(LU!L39,LU!L138))</f>
        <v>94</v>
      </c>
      <c r="AB13" s="554">
        <f t="shared" ca="1" si="10"/>
        <v>4.4761904761904763</v>
      </c>
      <c r="AC13" s="438">
        <f t="shared" ca="1" si="9"/>
        <v>4.4761904761904763</v>
      </c>
      <c r="AD13" s="443">
        <f ca="1">IF(OR(A13="",F13=0,R$26="-",LU!$D$5=0),"",R13-R$26)</f>
        <v>84.333333333333343</v>
      </c>
      <c r="AE13" s="444">
        <f ca="1">IF(OR(A13="",F13=0,S$26="-",LU!$D$5=0),"",S13-S$26)</f>
        <v>12</v>
      </c>
      <c r="AF13" s="445">
        <f t="shared" ca="1" si="4"/>
        <v>72.333333333333343</v>
      </c>
      <c r="AG13" s="446" t="str">
        <f t="shared" si="5"/>
        <v/>
      </c>
      <c r="AH13" s="446" t="str">
        <f t="shared" si="6"/>
        <v/>
      </c>
      <c r="AI13" s="447">
        <f t="shared" ca="1" si="7"/>
        <v>2.999538887038887</v>
      </c>
      <c r="AJ13" s="557">
        <f t="shared" ca="1" si="11"/>
        <v>3.297118556500708</v>
      </c>
      <c r="AK13" s="448">
        <f ca="1">IF(OR($A13="",AC13="",AC$26="-",LU!$D$5=0),"",AC13-AC$26)</f>
        <v>3.0163321943756731</v>
      </c>
      <c r="AL13" s="1060">
        <f>IF(OR(A13="",F13=0),"",SUM(PT!U17,PT!U18))</f>
        <v>0</v>
      </c>
      <c r="AM13" s="1061"/>
    </row>
    <row r="14" spans="1:39" s="3" customFormat="1" ht="19.5" customHeight="1" x14ac:dyDescent="0.3">
      <c r="A14" s="104" t="str">
        <f>IF(ISBLANK(IGRF!$B22),"",IGRF!$B22)</f>
        <v>282*</v>
      </c>
      <c r="B14" s="76" t="str">
        <f>IF(ISBLANK(IGRF!$C22),"",IGRF!$C22)</f>
        <v>Dash Ketchum</v>
      </c>
      <c r="C14" s="77">
        <f>IF(A14="","",SUM(LU!O17,LU!O116))</f>
        <v>0</v>
      </c>
      <c r="D14" s="77">
        <f>IF(A14="","",SUM(LU!D17,LU!D116))</f>
        <v>0</v>
      </c>
      <c r="E14" s="78">
        <f>IF(A14="","",SUM(LU!J17,LU!J116))</f>
        <v>0</v>
      </c>
      <c r="F14" s="411">
        <f>IF(A14="","",(SUM(C14:E14)-(SUMPRODUCT(--(Lineups!C$4:C$41=A14),--(Lineups!A$4:A$41="SP"))+SUMPRODUCT(--(Lineups!G$4:G$41=A14),--(Lineups!A$4:A$41="SP"))+SUMPRODUCT(--(Lineups!C$46:C$83=A14),--(Lineups!A$46:A$83="SP"))+SUMPRODUCT(--(Lineups!G$46:G$83=A14),--(Lineups!A$46:A$83="SP")))))</f>
        <v>0</v>
      </c>
      <c r="G14" s="412" t="str">
        <f>IF(OR(A14="",F14=0,LU!D$3+LU!D$102=0),"",F14/(LU!D$3+LU!D$102))</f>
        <v/>
      </c>
      <c r="H14" s="413" t="str">
        <f>IF(OR(C14=0,A14=""),"",SK!D198)</f>
        <v/>
      </c>
      <c r="I14" s="414" t="str">
        <f ca="1">IF(OR(A14="",SK!E198="",SK!E198=0),"",H14/SK!E198)</f>
        <v/>
      </c>
      <c r="J14" s="433" t="str">
        <f>IF(OR(A14="",C14=0),"",SK!G198)</f>
        <v/>
      </c>
      <c r="K14" s="434" t="str">
        <f>IF(OR(A14="",C14=0),"",SK!H198)</f>
        <v/>
      </c>
      <c r="L14" s="435" t="str">
        <f>IF(OR(A14="",C14=0),"",SK!J198)</f>
        <v/>
      </c>
      <c r="M14" s="435" t="str">
        <f>IF(OR(A14="",C14=0),"",SK!L198)</f>
        <v/>
      </c>
      <c r="N14" s="699" t="str">
        <f>IF(OR(A14="",C14=0),"",SUMPRODUCT(--(Lineups!$A$4:$A$41="SP"),--(Lineups!$C$4:$C$41=A14))+SUMPRODUCT(--(Lineups!$A$46:$A$83="SP"),--(Lineups!$C$46:$C$83=A14)))</f>
        <v/>
      </c>
      <c r="O14" s="436" t="str">
        <f t="shared" si="8"/>
        <v/>
      </c>
      <c r="P14" s="437" t="str">
        <f>IF(OR(A14="",C14=0),"",SK!I198)</f>
        <v/>
      </c>
      <c r="Q14" s="438" t="str">
        <f t="shared" si="0"/>
        <v/>
      </c>
      <c r="R14" s="439" t="str">
        <f>IF(OR(A14="",F14=0),"",SUM(LU!Q63,LU!Q162))</f>
        <v/>
      </c>
      <c r="S14" s="440" t="str">
        <f>IF(OR(A14="",F14=0),"",SUM(LU!Q86,LU!Q185))</f>
        <v/>
      </c>
      <c r="T14" s="413" t="str">
        <f>IF(OR(A14="",F14=0),"",SUM(LU!Q40,LU!Q139))</f>
        <v/>
      </c>
      <c r="U14" s="440" t="str">
        <f>IF(OR(A14="",C14=0),"",SUM(LU!O40,LU!O139))</f>
        <v/>
      </c>
      <c r="V14" s="441" t="str">
        <f t="shared" si="1"/>
        <v/>
      </c>
      <c r="W14" s="442" t="str">
        <f>IF(OR(A14="",D14=0),"",SUM(LU!D40,LU!D139))</f>
        <v/>
      </c>
      <c r="X14" s="441" t="str">
        <f t="shared" si="2"/>
        <v/>
      </c>
      <c r="Y14" s="442" t="str">
        <f>IF(OR(A14="",E14=0),"",SUM(LU!J40,LU!J139))</f>
        <v/>
      </c>
      <c r="Z14" s="441" t="str">
        <f t="shared" si="3"/>
        <v/>
      </c>
      <c r="AA14" s="553" t="str">
        <f>IF(OR(A14="",AND(D14=0, E14=0)),"",SUM(LU!L40,LU!L139))</f>
        <v/>
      </c>
      <c r="AB14" s="554" t="str">
        <f t="shared" si="10"/>
        <v/>
      </c>
      <c r="AC14" s="438" t="str">
        <f t="shared" si="9"/>
        <v/>
      </c>
      <c r="AD14" s="443" t="str">
        <f ca="1">IF(OR(A14="",F14=0,R$26="-",LU!$D$5=0),"",R14-R$26)</f>
        <v/>
      </c>
      <c r="AE14" s="444" t="str">
        <f ca="1">IF(OR(A14="",F14=0,S$26="-",LU!$D$5=0),"",S14-S$26)</f>
        <v/>
      </c>
      <c r="AF14" s="445" t="str">
        <f t="shared" ca="1" si="4"/>
        <v/>
      </c>
      <c r="AG14" s="446" t="str">
        <f t="shared" si="5"/>
        <v/>
      </c>
      <c r="AH14" s="446" t="str">
        <f t="shared" si="6"/>
        <v/>
      </c>
      <c r="AI14" s="447" t="str">
        <f t="shared" si="7"/>
        <v/>
      </c>
      <c r="AJ14" s="557" t="str">
        <f t="shared" si="11"/>
        <v/>
      </c>
      <c r="AK14" s="448" t="str">
        <f ca="1">IF(OR($A14="",AC14="",AC$26="-",LU!$D$5=0),"",AC14-AC$26)</f>
        <v/>
      </c>
      <c r="AL14" s="1060" t="str">
        <f>IF(OR(A14="",F14=0),"",SUM(PT!U19,PT!U20))</f>
        <v/>
      </c>
      <c r="AM14" s="1061"/>
    </row>
    <row r="15" spans="1:39" s="3" customFormat="1" ht="19.95" customHeight="1" x14ac:dyDescent="0.3">
      <c r="A15" s="104" t="str">
        <f>IF(ISBLANK(IGRF!$B23),"",IGRF!$B23)</f>
        <v>337</v>
      </c>
      <c r="B15" s="76" t="str">
        <f>IF(ISBLANK(IGRF!$C23),"",IGRF!$C23)</f>
        <v>Susan Sure Ram Dem</v>
      </c>
      <c r="C15" s="77">
        <f>IF(A15="","",SUM(LU!O18,LU!O117))</f>
        <v>0</v>
      </c>
      <c r="D15" s="77">
        <f>IF(A15="","",SUM(LU!D18,LU!D117))</f>
        <v>0</v>
      </c>
      <c r="E15" s="78">
        <f>IF(A15="","",SUM(LU!J18,LU!J117))</f>
        <v>10</v>
      </c>
      <c r="F15" s="411">
        <f>IF(A15="","",(SUM(C15:E15)-(SUMPRODUCT(--(Lineups!C$4:C$41=A15),--(Lineups!A$4:A$41="SP"))+SUMPRODUCT(--(Lineups!G$4:G$41=A15),--(Lineups!A$4:A$41="SP"))+SUMPRODUCT(--(Lineups!C$46:C$83=A15),--(Lineups!A$46:A$83="SP"))+SUMPRODUCT(--(Lineups!G$46:G$83=A15),--(Lineups!A$46:A$83="SP")))))</f>
        <v>10</v>
      </c>
      <c r="G15" s="412">
        <f>IF(OR(A15="",F15=0,LU!D$3+LU!D$102=0),"",F15/(LU!D$3+LU!D$102))</f>
        <v>0.27777777777777779</v>
      </c>
      <c r="H15" s="413" t="str">
        <f>IF(OR(C15=0,A15=""),"",SK!D201)</f>
        <v/>
      </c>
      <c r="I15" s="414" t="str">
        <f ca="1">IF(OR(A15="",SK!E201="",SK!E201=0),"",H15/SK!E201)</f>
        <v/>
      </c>
      <c r="J15" s="433" t="str">
        <f>IF(OR(A15="",C15=0),"",SK!G201)</f>
        <v/>
      </c>
      <c r="K15" s="434" t="str">
        <f>IF(OR(A15="",C15=0),"",SK!H201)</f>
        <v/>
      </c>
      <c r="L15" s="435" t="str">
        <f>IF(OR(A15="",C15=0),"",SK!J201)</f>
        <v/>
      </c>
      <c r="M15" s="435" t="str">
        <f>IF(OR(A15="",C15=0),"",SK!L201)</f>
        <v/>
      </c>
      <c r="N15" s="699" t="str">
        <f>IF(OR(A15="",C15=0),"",SUMPRODUCT(--(Lineups!$A$4:$A$41="SP"),--(Lineups!$C$4:$C$41=A15))+SUMPRODUCT(--(Lineups!$A$46:$A$83="SP"),--(Lineups!$C$46:$C$83=A15)))</f>
        <v/>
      </c>
      <c r="O15" s="436" t="str">
        <f t="shared" si="8"/>
        <v/>
      </c>
      <c r="P15" s="437" t="str">
        <f>IF(OR(A15="",C15=0),"",SK!I201)</f>
        <v/>
      </c>
      <c r="Q15" s="438" t="str">
        <f t="shared" si="0"/>
        <v/>
      </c>
      <c r="R15" s="439">
        <f ca="1">IF(OR(A15="",F15=0),"",SUM(LU!Q64,LU!Q163))</f>
        <v>22</v>
      </c>
      <c r="S15" s="440">
        <f ca="1">IF(OR(A15="",F15=0),"",SUM(LU!Q87,LU!Q186))</f>
        <v>40</v>
      </c>
      <c r="T15" s="413">
        <f ca="1">IF(OR(A15="",F15=0),"",SUM(LU!Q41,LU!Q140))</f>
        <v>-18</v>
      </c>
      <c r="U15" s="440" t="str">
        <f>IF(OR(A15="",C15=0),"",SUM(LU!O41,LU!O140))</f>
        <v/>
      </c>
      <c r="V15" s="441" t="str">
        <f t="shared" si="1"/>
        <v/>
      </c>
      <c r="W15" s="442" t="str">
        <f>IF(OR(A15="",D15=0),"",SUM(LU!D41,LU!D140))</f>
        <v/>
      </c>
      <c r="X15" s="441" t="str">
        <f t="shared" si="2"/>
        <v/>
      </c>
      <c r="Y15" s="442">
        <f ca="1">IF(OR(A15="",E15=0),"",SUM(LU!J41,LU!J140))</f>
        <v>-18</v>
      </c>
      <c r="Z15" s="441">
        <f t="shared" ca="1" si="3"/>
        <v>-1.8</v>
      </c>
      <c r="AA15" s="553">
        <f ca="1">IF(OR(A15="",AND(D15=0, E15=0)),"",SUM(LU!L41,LU!L140))</f>
        <v>-18</v>
      </c>
      <c r="AB15" s="554">
        <f t="shared" ca="1" si="10"/>
        <v>-1.8</v>
      </c>
      <c r="AC15" s="438">
        <f t="shared" ca="1" si="9"/>
        <v>-1.8</v>
      </c>
      <c r="AD15" s="443">
        <f ca="1">IF(OR(A15="",F15=0,R$26="-",LU!$D$5=0),"",R15-R$26)</f>
        <v>-33.666666666666664</v>
      </c>
      <c r="AE15" s="444">
        <f ca="1">IF(OR(A15="",F15=0,S$26="-",LU!$D$5=0),"",S15-S$26)</f>
        <v>6</v>
      </c>
      <c r="AF15" s="445">
        <f t="shared" ca="1" si="4"/>
        <v>-39.666666666666664</v>
      </c>
      <c r="AG15" s="446" t="str">
        <f t="shared" si="5"/>
        <v/>
      </c>
      <c r="AH15" s="446" t="str">
        <f t="shared" si="6"/>
        <v/>
      </c>
      <c r="AI15" s="447">
        <f t="shared" ca="1" si="7"/>
        <v>-3.2766515891515891</v>
      </c>
      <c r="AJ15" s="557">
        <f t="shared" ca="1" si="11"/>
        <v>-2.9790719196897686</v>
      </c>
      <c r="AK15" s="448">
        <f ca="1">IF(OR($A15="",AC15="",AC$26="-",LU!$D$5=0),"",AC15-AC$26)</f>
        <v>-3.2598582818148034</v>
      </c>
      <c r="AL15" s="1060">
        <f>IF(OR(A15="",F15=0),"",SUM(PT!U21,PT!U22))</f>
        <v>1</v>
      </c>
      <c r="AM15" s="1061"/>
    </row>
    <row r="16" spans="1:39" s="3" customFormat="1" ht="19.95" customHeight="1" x14ac:dyDescent="0.3">
      <c r="A16" s="104" t="str">
        <f>IF(ISBLANK(IGRF!$B24),"",IGRF!$B24)</f>
        <v>352</v>
      </c>
      <c r="B16" s="76" t="str">
        <f>IF(ISBLANK(IGRF!$C24),"",IGRF!$C24)</f>
        <v>Olive Havoc</v>
      </c>
      <c r="C16" s="77">
        <f>IF(A16="","",SUM(LU!O19,LU!O118))</f>
        <v>13</v>
      </c>
      <c r="D16" s="77">
        <f>IF(A16="","",SUM(LU!D19,LU!D118))</f>
        <v>0</v>
      </c>
      <c r="E16" s="78">
        <f>IF(A16="","",SUM(LU!J19,LU!J118))</f>
        <v>3</v>
      </c>
      <c r="F16" s="411">
        <f>IF(A16="","",(SUM(C16:E16)-(SUMPRODUCT(--(Lineups!C$4:C$41=A16),--(Lineups!A$4:A$41="SP"))+SUMPRODUCT(--(Lineups!G$4:G$41=A16),--(Lineups!A$4:A$41="SP"))+SUMPRODUCT(--(Lineups!C$46:C$83=A16),--(Lineups!A$46:A$83="SP"))+SUMPRODUCT(--(Lineups!G$46:G$83=A16),--(Lineups!A$46:A$83="SP")))))</f>
        <v>13</v>
      </c>
      <c r="G16" s="412">
        <f>IF(OR(A16="",F16=0,LU!D$3+LU!D$102=0),"",F16/(LU!D$3+LU!D$102))</f>
        <v>0.3611111111111111</v>
      </c>
      <c r="H16" s="413">
        <f ca="1">IF(OR(C16=0,A16=""),"",SK!D204)</f>
        <v>48</v>
      </c>
      <c r="I16" s="414">
        <f ca="1">IF(OR(A16="",SK!E204="",SK!E204=0),"",H16/SK!E204)</f>
        <v>3.6923076923076925</v>
      </c>
      <c r="J16" s="433">
        <f ca="1">IF(OR(A16="",C16=0),"",SK!G204)</f>
        <v>2</v>
      </c>
      <c r="K16" s="434">
        <f ca="1">IF(OR(A16="",C16=0),"",SK!H204)</f>
        <v>5</v>
      </c>
      <c r="L16" s="435">
        <f ca="1">IF(OR(A16="",C16=0),"",SK!J204)</f>
        <v>3</v>
      </c>
      <c r="M16" s="435">
        <f ca="1">IF(OR(A16="",C16=0),"",SK!L204)</f>
        <v>3</v>
      </c>
      <c r="N16" s="699">
        <f>IF(OR(A16="",C16=0),"",SUMPRODUCT(--(Lineups!$A$4:$A$41="SP"),--(Lineups!$C$4:$C$41=A16))+SUMPRODUCT(--(Lineups!$A$46:$A$83="SP"),--(Lineups!$C$46:$C$83=A16)))</f>
        <v>0</v>
      </c>
      <c r="O16" s="436">
        <f t="shared" ca="1" si="8"/>
        <v>0.38461538461538464</v>
      </c>
      <c r="P16" s="437">
        <f ca="1">IF(OR(A16="",C16=0),"",SK!I204)</f>
        <v>26</v>
      </c>
      <c r="Q16" s="438">
        <f t="shared" ca="1" si="0"/>
        <v>5.2</v>
      </c>
      <c r="R16" s="439">
        <f ca="1">IF(OR(A16="",F16=0),"",SUM(LU!Q65,LU!Q164))</f>
        <v>48</v>
      </c>
      <c r="S16" s="440">
        <f ca="1">IF(OR(A16="",F16=0),"",SUM(LU!Q88,LU!Q187))</f>
        <v>52</v>
      </c>
      <c r="T16" s="413">
        <f ca="1">IF(OR(A16="",F16=0),"",SUM(LU!Q42,LU!Q141))</f>
        <v>-4</v>
      </c>
      <c r="U16" s="440">
        <f ca="1">IF(OR(A16="",C16=0),"",SUM(LU!O42,LU!O141))</f>
        <v>-4</v>
      </c>
      <c r="V16" s="441">
        <f t="shared" ca="1" si="1"/>
        <v>-0.30769230769230771</v>
      </c>
      <c r="W16" s="442" t="str">
        <f>IF(OR(A16="",D16=0),"",SUM(LU!D42,LU!D141))</f>
        <v/>
      </c>
      <c r="X16" s="441" t="str">
        <f t="shared" si="2"/>
        <v/>
      </c>
      <c r="Y16" s="442">
        <f ca="1">IF(OR(A16="",E16=0),"",SUM(LU!J42,LU!J141))</f>
        <v>0</v>
      </c>
      <c r="Z16" s="441">
        <f t="shared" ca="1" si="3"/>
        <v>0</v>
      </c>
      <c r="AA16" s="553">
        <f ca="1">IF(OR(A16="",AND(D16=0, E16=0)),"",SUM(LU!L42,LU!L141))</f>
        <v>0</v>
      </c>
      <c r="AB16" s="554">
        <f t="shared" ca="1" si="10"/>
        <v>0</v>
      </c>
      <c r="AC16" s="438">
        <f t="shared" ca="1" si="9"/>
        <v>-0.30769230769230771</v>
      </c>
      <c r="AD16" s="443">
        <f ca="1">IF(OR(A16="",F16=0,R$26="-",LU!$D$5=0),"",R16-R$26)</f>
        <v>-7.6666666666666643</v>
      </c>
      <c r="AE16" s="444">
        <f ca="1">IF(OR(A16="",F16=0,S$26="-",LU!$D$5=0),"",S16-S$26)</f>
        <v>18</v>
      </c>
      <c r="AF16" s="445">
        <f t="shared" ca="1" si="4"/>
        <v>-25.666666666666664</v>
      </c>
      <c r="AG16" s="446">
        <f t="shared" ca="1" si="5"/>
        <v>-1.3887362637362637</v>
      </c>
      <c r="AH16" s="446" t="str">
        <f t="shared" si="6"/>
        <v/>
      </c>
      <c r="AI16" s="447">
        <f t="shared" ca="1" si="7"/>
        <v>-1.476651589151589</v>
      </c>
      <c r="AJ16" s="557">
        <f t="shared" ca="1" si="11"/>
        <v>-1.1790719196897685</v>
      </c>
      <c r="AK16" s="448">
        <f ca="1">IF(OR($A16="",AC16="",AC$26="-",LU!$D$5=0),"",AC16-AC$26)</f>
        <v>-1.7675505895071111</v>
      </c>
      <c r="AL16" s="1060">
        <f>IF(OR(A16="",F16=0),"",SUM(PT!U23,PT!U24))</f>
        <v>3</v>
      </c>
      <c r="AM16" s="1061"/>
    </row>
    <row r="17" spans="1:39" s="3" customFormat="1" ht="19.5" customHeight="1" x14ac:dyDescent="0.3">
      <c r="A17" s="104" t="str">
        <f>IF(ISBLANK(IGRF!$B25),"",IGRF!$B25)</f>
        <v>36</v>
      </c>
      <c r="B17" s="76" t="str">
        <f>IF(ISBLANK(IGRF!$C25),"",IGRF!$C25)</f>
        <v>Meanie</v>
      </c>
      <c r="C17" s="77">
        <f>IF(A17="","",SUM(LU!O20,LU!O119))</f>
        <v>0</v>
      </c>
      <c r="D17" s="77">
        <f>IF(A17="","",SUM(LU!D20,LU!D119))</f>
        <v>0</v>
      </c>
      <c r="E17" s="78">
        <f>IF(A17="","",SUM(LU!J20,LU!J119))</f>
        <v>5</v>
      </c>
      <c r="F17" s="411">
        <f>IF(A17="","",(SUM(C17:E17)-(SUMPRODUCT(--(Lineups!C$4:C$41=A17),--(Lineups!A$4:A$41="SP"))+SUMPRODUCT(--(Lineups!G$4:G$41=A17),--(Lineups!A$4:A$41="SP"))+SUMPRODUCT(--(Lineups!C$46:C$83=A17),--(Lineups!A$46:A$83="SP"))+SUMPRODUCT(--(Lineups!G$46:G$83=A17),--(Lineups!A$46:A$83="SP")))))</f>
        <v>5</v>
      </c>
      <c r="G17" s="412">
        <f>IF(OR(A17="",F17=0,LU!D$3+LU!D$102=0),"",F17/(LU!D$3+LU!D$102))</f>
        <v>0.1388888888888889</v>
      </c>
      <c r="H17" s="413" t="str">
        <f>IF(OR(C17=0,A17=""),"",SK!D207)</f>
        <v/>
      </c>
      <c r="I17" s="414" t="str">
        <f ca="1">IF(OR(A17="",SK!E207="",SK!E207=0),"",H17/SK!E207)</f>
        <v/>
      </c>
      <c r="J17" s="433" t="str">
        <f>IF(OR(A17="",C17=0),"",SK!G207)</f>
        <v/>
      </c>
      <c r="K17" s="434" t="str">
        <f>IF(OR(A17="",C17=0),"",SK!H207)</f>
        <v/>
      </c>
      <c r="L17" s="435" t="str">
        <f>IF(OR(A17="",C17=0),"",SK!J207)</f>
        <v/>
      </c>
      <c r="M17" s="435" t="str">
        <f>IF(OR(A17="",C17=0),"",SK!L207)</f>
        <v/>
      </c>
      <c r="N17" s="699" t="str">
        <f>IF(OR(A17="",C17=0),"",SUMPRODUCT(--(Lineups!$A$4:$A$41="SP"),--(Lineups!$C$4:$C$41=A17))+SUMPRODUCT(--(Lineups!$A$46:$A$83="SP"),--(Lineups!$C$46:$C$83=A17)))</f>
        <v/>
      </c>
      <c r="O17" s="436" t="str">
        <f t="shared" si="8"/>
        <v/>
      </c>
      <c r="P17" s="437" t="str">
        <f>IF(OR(A17="",C17=0),"",SK!I207)</f>
        <v/>
      </c>
      <c r="Q17" s="438" t="str">
        <f t="shared" si="0"/>
        <v/>
      </c>
      <c r="R17" s="439">
        <f ca="1">IF(OR(A17="",F17=0),"",SUM(LU!Q66,LU!Q165))</f>
        <v>7</v>
      </c>
      <c r="S17" s="440">
        <f ca="1">IF(OR(A17="",F17=0),"",SUM(LU!Q89,LU!Q188))</f>
        <v>16</v>
      </c>
      <c r="T17" s="413">
        <f ca="1">IF(OR(A17="",F17=0),"",SUM(LU!Q43,LU!Q142))</f>
        <v>-9</v>
      </c>
      <c r="U17" s="440" t="str">
        <f>IF(OR(A17="",C17=0),"",SUM(LU!O43,LU!O142))</f>
        <v/>
      </c>
      <c r="V17" s="441" t="str">
        <f t="shared" si="1"/>
        <v/>
      </c>
      <c r="W17" s="442" t="str">
        <f>IF(OR(A17="",D17=0),"",SUM(LU!D43,LU!D142))</f>
        <v/>
      </c>
      <c r="X17" s="441" t="str">
        <f t="shared" si="2"/>
        <v/>
      </c>
      <c r="Y17" s="442">
        <f ca="1">IF(OR(A17="",E17=0),"",SUM(LU!J43,LU!J142))</f>
        <v>-9</v>
      </c>
      <c r="Z17" s="441">
        <f t="shared" ca="1" si="3"/>
        <v>-1.8</v>
      </c>
      <c r="AA17" s="553">
        <f ca="1">IF(OR(A17="",AND(D17=0, E17=0)),"",SUM(LU!L43,LU!L142))</f>
        <v>-9</v>
      </c>
      <c r="AB17" s="554">
        <f t="shared" ca="1" si="10"/>
        <v>-1.8</v>
      </c>
      <c r="AC17" s="438">
        <f t="shared" ca="1" si="9"/>
        <v>-1.8</v>
      </c>
      <c r="AD17" s="443">
        <f ca="1">IF(OR(A17="",F17=0,R$26="-",LU!$D$5=0),"",R17-R$26)</f>
        <v>-48.666666666666664</v>
      </c>
      <c r="AE17" s="444">
        <f ca="1">IF(OR(A17="",F17=0,S$26="-",LU!$D$5=0),"",S17-S$26)</f>
        <v>-18</v>
      </c>
      <c r="AF17" s="445">
        <f t="shared" ca="1" si="4"/>
        <v>-30.666666666666664</v>
      </c>
      <c r="AG17" s="446" t="str">
        <f t="shared" si="5"/>
        <v/>
      </c>
      <c r="AH17" s="446" t="str">
        <f t="shared" si="6"/>
        <v/>
      </c>
      <c r="AI17" s="447">
        <f t="shared" ca="1" si="7"/>
        <v>-3.2766515891515891</v>
      </c>
      <c r="AJ17" s="557">
        <f t="shared" ca="1" si="11"/>
        <v>-2.9790719196897686</v>
      </c>
      <c r="AK17" s="448">
        <f ca="1">IF(OR($A17="",AC17="",AC$26="-",LU!$D$5=0),"",AC17-AC$26)</f>
        <v>-3.2598582818148034</v>
      </c>
      <c r="AL17" s="1060">
        <f>IF(OR(A17="",F17=0),"",SUM(PT!U25,PT!U26))</f>
        <v>2</v>
      </c>
      <c r="AM17" s="1061"/>
    </row>
    <row r="18" spans="1:39" s="3" customFormat="1" ht="19.95" customHeight="1" x14ac:dyDescent="0.3">
      <c r="A18" s="104" t="str">
        <f>IF(ISBLANK(IGRF!$B26),"",IGRF!$B26)</f>
        <v>64</v>
      </c>
      <c r="B18" s="76" t="str">
        <f>IF(ISBLANK(IGRF!$C26),"",IGRF!$C26)</f>
        <v>Cruzella</v>
      </c>
      <c r="C18" s="77">
        <f>IF(A18="","",SUM(LU!O21,LU!O120))</f>
        <v>2</v>
      </c>
      <c r="D18" s="77">
        <f>IF(A18="","",SUM(LU!D21,LU!D120))</f>
        <v>0</v>
      </c>
      <c r="E18" s="78">
        <f>IF(A18="","",SUM(LU!J21,LU!J120))</f>
        <v>0</v>
      </c>
      <c r="F18" s="411">
        <f>IF(A18="","",(SUM(C18:E18)-(SUMPRODUCT(--(Lineups!C$4:C$41=A18),--(Lineups!A$4:A$41="SP"))+SUMPRODUCT(--(Lineups!G$4:G$41=A18),--(Lineups!A$4:A$41="SP"))+SUMPRODUCT(--(Lineups!C$46:C$83=A18),--(Lineups!A$46:A$83="SP"))+SUMPRODUCT(--(Lineups!G$46:G$83=A18),--(Lineups!A$46:A$83="SP")))))</f>
        <v>2</v>
      </c>
      <c r="G18" s="412">
        <f>IF(OR(A18="",F18=0,LU!D$3+LU!D$102=0),"",F18/(LU!D$3+LU!D$102))</f>
        <v>5.5555555555555552E-2</v>
      </c>
      <c r="H18" s="413">
        <f ca="1">IF(OR(C18=0,A18=""),"",SK!D210)</f>
        <v>8</v>
      </c>
      <c r="I18" s="414">
        <f ca="1">IF(OR(A18="",SK!E210="",SK!E210=0),"",H18/SK!E210)</f>
        <v>4</v>
      </c>
      <c r="J18" s="433">
        <f ca="1">IF(OR(A18="",C18=0),"",SK!G210)</f>
        <v>0</v>
      </c>
      <c r="K18" s="434">
        <f ca="1">IF(OR(A18="",C18=0),"",SK!H210)</f>
        <v>2</v>
      </c>
      <c r="L18" s="435">
        <f ca="1">IF(OR(A18="",C18=0),"",SK!J210)</f>
        <v>2</v>
      </c>
      <c r="M18" s="435">
        <f ca="1">IF(OR(A18="",C18=0),"",SK!L210)</f>
        <v>0</v>
      </c>
      <c r="N18" s="699">
        <f>IF(OR(A18="",C18=0),"",SUMPRODUCT(--(Lineups!$A$4:$A$41="SP"),--(Lineups!$C$4:$C$41=A18))+SUMPRODUCT(--(Lineups!$A$46:$A$83="SP"),--(Lineups!$C$46:$C$83=A18)))</f>
        <v>0</v>
      </c>
      <c r="O18" s="436">
        <f t="shared" ca="1" si="8"/>
        <v>1</v>
      </c>
      <c r="P18" s="437">
        <f ca="1">IF(OR(A18="",C18=0),"",SK!I210)</f>
        <v>8</v>
      </c>
      <c r="Q18" s="438">
        <f t="shared" ca="1" si="0"/>
        <v>4</v>
      </c>
      <c r="R18" s="439">
        <f ca="1">IF(OR(A18="",F18=0),"",SUM(LU!Q67,LU!Q166))</f>
        <v>8</v>
      </c>
      <c r="S18" s="440">
        <f ca="1">IF(OR(A18="",F18=0),"",SUM(LU!Q90,LU!Q189))</f>
        <v>0</v>
      </c>
      <c r="T18" s="413">
        <f ca="1">IF(OR(A18="",F18=0),"",SUM(LU!Q44,LU!Q143))</f>
        <v>8</v>
      </c>
      <c r="U18" s="440">
        <f ca="1">IF(OR(A18="",C18=0),"",SUM(LU!O44,LU!O143))</f>
        <v>8</v>
      </c>
      <c r="V18" s="441">
        <f t="shared" ca="1" si="1"/>
        <v>4</v>
      </c>
      <c r="W18" s="442" t="str">
        <f>IF(OR(A18="",D18=0),"",SUM(LU!D44,LU!D143))</f>
        <v/>
      </c>
      <c r="X18" s="441" t="str">
        <f t="shared" si="2"/>
        <v/>
      </c>
      <c r="Y18" s="442" t="str">
        <f>IF(OR(A18="",E18=0),"",SUM(LU!J44,LU!J143))</f>
        <v/>
      </c>
      <c r="Z18" s="441" t="str">
        <f t="shared" si="3"/>
        <v/>
      </c>
      <c r="AA18" s="553" t="str">
        <f>IF(OR(A18="",AND(D18=0, E18=0)),"",SUM(LU!L44,LU!L143))</f>
        <v/>
      </c>
      <c r="AB18" s="554" t="str">
        <f t="shared" si="10"/>
        <v/>
      </c>
      <c r="AC18" s="438">
        <f t="shared" ca="1" si="9"/>
        <v>4</v>
      </c>
      <c r="AD18" s="443">
        <f ca="1">IF(OR(A18="",F18=0,R$26="-",LU!$D$5=0),"",R18-R$26)</f>
        <v>-47.666666666666664</v>
      </c>
      <c r="AE18" s="444">
        <f ca="1">IF(OR(A18="",F18=0,S$26="-",LU!$D$5=0),"",S18-S$26)</f>
        <v>-34</v>
      </c>
      <c r="AF18" s="445">
        <f t="shared" ca="1" si="4"/>
        <v>-13.666666666666664</v>
      </c>
      <c r="AG18" s="446">
        <f t="shared" ca="1" si="5"/>
        <v>2.9189560439560438</v>
      </c>
      <c r="AH18" s="446" t="str">
        <f t="shared" si="6"/>
        <v/>
      </c>
      <c r="AI18" s="447" t="str">
        <f t="shared" si="7"/>
        <v/>
      </c>
      <c r="AJ18" s="557" t="str">
        <f t="shared" si="11"/>
        <v/>
      </c>
      <c r="AK18" s="448">
        <f ca="1">IF(OR($A18="",AC18="",AC$26="-",LU!$D$5=0),"",AC18-AC$26)</f>
        <v>2.5401417181851969</v>
      </c>
      <c r="AL18" s="1060">
        <f>IF(OR(A18="",F18=0),"",SUM(PT!U27,PT!U28))</f>
        <v>0</v>
      </c>
      <c r="AM18" s="1061"/>
    </row>
    <row r="19" spans="1:39" s="3" customFormat="1" ht="19.95" customHeight="1" x14ac:dyDescent="0.3">
      <c r="A19" s="104" t="str">
        <f>IF(ISBLANK(IGRF!$B27),"",IGRF!$B27)</f>
        <v>825</v>
      </c>
      <c r="B19" s="76" t="str">
        <f>IF(ISBLANK(IGRF!$C27),"",IGRF!$C27)</f>
        <v>Rot-N 2 the Cor-E</v>
      </c>
      <c r="C19" s="77">
        <f>IF(A19="","",SUM(LU!O22,LU!O121))</f>
        <v>0</v>
      </c>
      <c r="D19" s="77">
        <f>IF(A19="","",SUM(LU!D22,LU!D121))</f>
        <v>4</v>
      </c>
      <c r="E19" s="78">
        <f>IF(A19="","",SUM(LU!J22,LU!J121))</f>
        <v>0</v>
      </c>
      <c r="F19" s="411">
        <f>IF(A19="","",(SUM(C19:E19)-(SUMPRODUCT(--(Lineups!C$4:C$41=A19),--(Lineups!A$4:A$41="SP"))+SUMPRODUCT(--(Lineups!G$4:G$41=A19),--(Lineups!A$4:A$41="SP"))+SUMPRODUCT(--(Lineups!C$46:C$83=A19),--(Lineups!A$46:A$83="SP"))+SUMPRODUCT(--(Lineups!G$46:G$83=A19),--(Lineups!A$46:A$83="SP")))))</f>
        <v>4</v>
      </c>
      <c r="G19" s="412">
        <f>IF(OR(A19="",F19=0,LU!D$3+LU!D$102=0),"",F19/(LU!D$3+LU!D$102))</f>
        <v>0.1111111111111111</v>
      </c>
      <c r="H19" s="413" t="str">
        <f>IF(OR(C19=0,A19=""),"",SK!D213)</f>
        <v/>
      </c>
      <c r="I19" s="414" t="str">
        <f ca="1">IF(OR(A19="",SK!E213="",SK!E213=0),"",H19/SK!E213)</f>
        <v/>
      </c>
      <c r="J19" s="433" t="str">
        <f>IF(OR(A19="",C19=0),"",SK!G213)</f>
        <v/>
      </c>
      <c r="K19" s="434" t="str">
        <f>IF(OR(A19="",C19=0),"",SK!H213)</f>
        <v/>
      </c>
      <c r="L19" s="435" t="str">
        <f>IF(OR(A19="",C19=0),"",SK!J213)</f>
        <v/>
      </c>
      <c r="M19" s="435" t="str">
        <f>IF(OR(A19="",C19=0),"",SK!L213)</f>
        <v/>
      </c>
      <c r="N19" s="699" t="str">
        <f>IF(OR(A19="",C19=0),"",SUMPRODUCT(--(Lineups!$A$4:$A$41="SP"),--(Lineups!$C$4:$C$41=A19))+SUMPRODUCT(--(Lineups!$A$46:$A$83="SP"),--(Lineups!$C$46:$C$83=A19)))</f>
        <v/>
      </c>
      <c r="O19" s="436" t="str">
        <f t="shared" si="8"/>
        <v/>
      </c>
      <c r="P19" s="437" t="str">
        <f>IF(OR(A19="",C19=0),"",SK!I213)</f>
        <v/>
      </c>
      <c r="Q19" s="438" t="str">
        <f t="shared" si="0"/>
        <v/>
      </c>
      <c r="R19" s="439">
        <f ca="1">IF(OR(A19="",F19=0),"",SUM(LU!Q68,LU!Q167))</f>
        <v>12</v>
      </c>
      <c r="S19" s="440">
        <f ca="1">IF(OR(A19="",F19=0),"",SUM(LU!Q91,LU!Q190))</f>
        <v>10</v>
      </c>
      <c r="T19" s="413">
        <f ca="1">IF(OR(A19="",F19=0),"",SUM(LU!Q45,LU!Q144))</f>
        <v>2</v>
      </c>
      <c r="U19" s="440" t="str">
        <f>IF(OR(A19="",C19=0),"",SUM(LU!O45,LU!O144))</f>
        <v/>
      </c>
      <c r="V19" s="441" t="str">
        <f t="shared" si="1"/>
        <v/>
      </c>
      <c r="W19" s="442">
        <f ca="1">IF(OR(A19="",D19=0),"",SUM(LU!D45,LU!D144))</f>
        <v>2</v>
      </c>
      <c r="X19" s="441">
        <f t="shared" ca="1" si="2"/>
        <v>0.5</v>
      </c>
      <c r="Y19" s="442" t="str">
        <f>IF(OR(A19="",E19=0),"",SUM(LU!J45,LU!J144))</f>
        <v/>
      </c>
      <c r="Z19" s="441" t="str">
        <f t="shared" si="3"/>
        <v/>
      </c>
      <c r="AA19" s="553">
        <f ca="1">IF(OR(A19="",AND(D19=0, E19=0)),"",SUM(LU!L45,LU!L144))</f>
        <v>2</v>
      </c>
      <c r="AB19" s="554">
        <f t="shared" ca="1" si="10"/>
        <v>0.5</v>
      </c>
      <c r="AC19" s="438">
        <f t="shared" ca="1" si="9"/>
        <v>0.5</v>
      </c>
      <c r="AD19" s="443">
        <f ca="1">IF(OR(A19="",F19=0,R$26="-",LU!$D$5=0),"",R19-R$26)</f>
        <v>-43.666666666666664</v>
      </c>
      <c r="AE19" s="444">
        <f ca="1">IF(OR(A19="",F19=0,S$26="-",LU!$D$5=0),"",S19-S$26)</f>
        <v>-24</v>
      </c>
      <c r="AF19" s="445">
        <f t="shared" ca="1" si="4"/>
        <v>-19.666666666666664</v>
      </c>
      <c r="AG19" s="446" t="str">
        <f t="shared" si="5"/>
        <v/>
      </c>
      <c r="AH19" s="446">
        <f t="shared" ca="1" si="6"/>
        <v>-1.4800420168067228</v>
      </c>
      <c r="AI19" s="447" t="str">
        <f t="shared" si="7"/>
        <v/>
      </c>
      <c r="AJ19" s="557">
        <f t="shared" ca="1" si="11"/>
        <v>-0.67907191968976854</v>
      </c>
      <c r="AK19" s="448">
        <f ca="1">IF(OR($A19="",AC19="",AC$26="-",LU!$D$5=0),"",AC19-AC$26)</f>
        <v>-0.95985828181480337</v>
      </c>
      <c r="AL19" s="1060">
        <f>IF(OR(A19="",F19=0),"",SUM(PT!U29,PT!U30))</f>
        <v>1</v>
      </c>
      <c r="AM19" s="1061"/>
    </row>
    <row r="20" spans="1:39" s="3" customFormat="1" ht="19.95" customHeight="1" x14ac:dyDescent="0.3">
      <c r="A20" s="104" t="str">
        <f>IF(ISBLANK(IGRF!$B28),"",IGRF!$B28)</f>
        <v>83</v>
      </c>
      <c r="B20" s="76" t="str">
        <f>IF(ISBLANK(IGRF!$C28),"",IGRF!$C28)</f>
        <v>Grit n Barite</v>
      </c>
      <c r="C20" s="77">
        <f>IF(A20="","",SUM(LU!O23,LU!O122))</f>
        <v>0</v>
      </c>
      <c r="D20" s="77">
        <f>IF(A20="","",SUM(LU!D23,LU!D122))</f>
        <v>1</v>
      </c>
      <c r="E20" s="78">
        <f>IF(A20="","",SUM(LU!J23,LU!J122))</f>
        <v>13</v>
      </c>
      <c r="F20" s="411">
        <f>IF(A20="","",(SUM(C20:E20)-(SUMPRODUCT(--(Lineups!C$4:C$41=A20),--(Lineups!A$4:A$41="SP"))+SUMPRODUCT(--(Lineups!G$4:G$41=A20),--(Lineups!A$4:A$41="SP"))+SUMPRODUCT(--(Lineups!C$46:C$83=A20),--(Lineups!A$46:A$83="SP"))+SUMPRODUCT(--(Lineups!G$46:G$83=A20),--(Lineups!A$46:A$83="SP")))))</f>
        <v>14</v>
      </c>
      <c r="G20" s="412">
        <f>IF(OR(A20="",F20=0,LU!D$3+LU!D$102=0),"",F20/(LU!D$3+LU!D$102))</f>
        <v>0.3888888888888889</v>
      </c>
      <c r="H20" s="413" t="str">
        <f>IF(OR(C20=0,A20=""),"",SK!D216)</f>
        <v/>
      </c>
      <c r="I20" s="414" t="str">
        <f ca="1">IF(OR(A20="",SK!E216="",SK!E216=0),"",H20/SK!E216)</f>
        <v/>
      </c>
      <c r="J20" s="433" t="str">
        <f>IF(OR(A20="",C20=0),"",SK!G216)</f>
        <v/>
      </c>
      <c r="K20" s="434" t="str">
        <f>IF(OR(A20="",C20=0),"",SK!H216)</f>
        <v/>
      </c>
      <c r="L20" s="435" t="str">
        <f>IF(OR(A20="",C20=0),"",SK!J216)</f>
        <v/>
      </c>
      <c r="M20" s="435" t="str">
        <f>IF(OR(A20="",C20=0),"",SK!L216)</f>
        <v/>
      </c>
      <c r="N20" s="699" t="str">
        <f>IF(OR(A20="",C20=0),"",SUMPRODUCT(--(Lineups!$A$4:$A$41="SP"),--(Lineups!$C$4:$C$41=A20))+SUMPRODUCT(--(Lineups!$A$46:$A$83="SP"),--(Lineups!$C$46:$C$83=A20)))</f>
        <v/>
      </c>
      <c r="O20" s="436" t="str">
        <f t="shared" si="8"/>
        <v/>
      </c>
      <c r="P20" s="437" t="str">
        <f>IF(OR(A20="",C20=0),"",SK!I216)</f>
        <v/>
      </c>
      <c r="Q20" s="438" t="str">
        <f t="shared" si="0"/>
        <v/>
      </c>
      <c r="R20" s="439">
        <f ca="1">IF(OR(A20="",F20=0),"",SUM(LU!Q69,LU!Q168))</f>
        <v>92</v>
      </c>
      <c r="S20" s="440">
        <f ca="1">IF(OR(A20="",F20=0),"",SUM(LU!Q92,LU!Q191))</f>
        <v>38</v>
      </c>
      <c r="T20" s="413">
        <f ca="1">IF(OR(A20="",F20=0),"",SUM(LU!Q46,LU!Q145))</f>
        <v>54</v>
      </c>
      <c r="U20" s="440" t="str">
        <f>IF(OR(A20="",C20=0),"",SUM(LU!O46,LU!O145))</f>
        <v/>
      </c>
      <c r="V20" s="441" t="str">
        <f t="shared" si="1"/>
        <v/>
      </c>
      <c r="W20" s="442">
        <f ca="1">IF(OR(A20="",D20=0),"",SUM(LU!D46,LU!D145))</f>
        <v>4</v>
      </c>
      <c r="X20" s="441">
        <f t="shared" ca="1" si="2"/>
        <v>4</v>
      </c>
      <c r="Y20" s="442">
        <f ca="1">IF(OR(A20="",E20=0),"",SUM(LU!J46,LU!J145))</f>
        <v>50</v>
      </c>
      <c r="Z20" s="441">
        <f t="shared" ca="1" si="3"/>
        <v>3.8461538461538463</v>
      </c>
      <c r="AA20" s="553">
        <f ca="1">IF(OR(A20="",AND(D20=0, E20=0)),"",SUM(LU!L46,LU!L145))</f>
        <v>54</v>
      </c>
      <c r="AB20" s="554">
        <f t="shared" ca="1" si="10"/>
        <v>3.8571428571428572</v>
      </c>
      <c r="AC20" s="438">
        <f t="shared" ca="1" si="9"/>
        <v>3.8571428571428572</v>
      </c>
      <c r="AD20" s="443">
        <f ca="1">IF(OR(A20="",F20=0,R$26="-",LU!$D$5=0),"",R20-R$26)</f>
        <v>36.333333333333336</v>
      </c>
      <c r="AE20" s="444">
        <f ca="1">IF(OR(A20="",F20=0,S$26="-",LU!$D$5=0),"",S20-S$26)</f>
        <v>4</v>
      </c>
      <c r="AF20" s="445">
        <f t="shared" ca="1" si="4"/>
        <v>32.333333333333336</v>
      </c>
      <c r="AG20" s="446" t="str">
        <f t="shared" si="5"/>
        <v/>
      </c>
      <c r="AH20" s="446">
        <f t="shared" ca="1" si="6"/>
        <v>2.0199579831932772</v>
      </c>
      <c r="AI20" s="447">
        <f t="shared" ca="1" si="7"/>
        <v>2.3695022570022575</v>
      </c>
      <c r="AJ20" s="557">
        <f t="shared" ca="1" si="11"/>
        <v>2.6780709374530884</v>
      </c>
      <c r="AK20" s="448">
        <f ca="1">IF(OR($A20="",AC20="",AC$26="-",LU!$D$5=0),"",AC20-AC$26)</f>
        <v>2.3972845753280536</v>
      </c>
      <c r="AL20" s="1060">
        <f>IF(OR(A20="",F20=0),"",SUM(PT!U31,PT!U32))</f>
        <v>3</v>
      </c>
      <c r="AM20" s="1061"/>
    </row>
    <row r="21" spans="1:39" s="3" customFormat="1" ht="19.5" customHeight="1" x14ac:dyDescent="0.3">
      <c r="A21" s="104" t="str">
        <f>IF(ISBLANK(IGRF!$B29),"",IGRF!$B29)</f>
        <v>84</v>
      </c>
      <c r="B21" s="76" t="str">
        <f>IF(ISBLANK(IGRF!$C29),"",IGRF!$C29)</f>
        <v>Phoenix</v>
      </c>
      <c r="C21" s="77">
        <f>IF(A21="","",SUM(LU!O24,LU!O123))</f>
        <v>4</v>
      </c>
      <c r="D21" s="77">
        <f>IF(A21="","",SUM(LU!D24,LU!D123))</f>
        <v>17</v>
      </c>
      <c r="E21" s="78">
        <f>IF(A21="","",SUM(LU!J24,LU!J123))</f>
        <v>2</v>
      </c>
      <c r="F21" s="411">
        <f>IF(A21="","",(SUM(C21:E21)-(SUMPRODUCT(--(Lineups!C$4:C$41=A21),--(Lineups!A$4:A$41="SP"))+SUMPRODUCT(--(Lineups!G$4:G$41=A21),--(Lineups!A$4:A$41="SP"))+SUMPRODUCT(--(Lineups!C$46:C$83=A21),--(Lineups!A$46:A$83="SP"))+SUMPRODUCT(--(Lineups!G$46:G$83=A21),--(Lineups!A$46:A$83="SP")))))</f>
        <v>20</v>
      </c>
      <c r="G21" s="412">
        <f>IF(OR(A21="",F21=0,LU!D$3+LU!D$102=0),"",F21/(LU!D$3+LU!D$102))</f>
        <v>0.55555555555555558</v>
      </c>
      <c r="H21" s="413">
        <f ca="1">IF(OR(C21=0,A21=""),"",SK!D219)</f>
        <v>12</v>
      </c>
      <c r="I21" s="414">
        <f ca="1">IF(OR(A21="",SK!E219="",SK!E219=0),"",H21/SK!E219)</f>
        <v>3</v>
      </c>
      <c r="J21" s="433">
        <f ca="1">IF(OR(A21="",C21=0),"",SK!G219)</f>
        <v>0</v>
      </c>
      <c r="K21" s="434">
        <f ca="1">IF(OR(A21="",C21=0),"",SK!H219)</f>
        <v>0</v>
      </c>
      <c r="L21" s="435">
        <f ca="1">IF(OR(A21="",C21=0),"",SK!J219)</f>
        <v>0</v>
      </c>
      <c r="M21" s="435">
        <f ca="1">IF(OR(A21="",C21=0),"",SK!L219)</f>
        <v>2</v>
      </c>
      <c r="N21" s="699">
        <f>IF(OR(A21="",C21=0),"",SUMPRODUCT(--(Lineups!$A$4:$A$41="SP"),--(Lineups!$C$4:$C$41=A21))+SUMPRODUCT(--(Lineups!$A$46:$A$83="SP"),--(Lineups!$C$46:$C$83=A21)))</f>
        <v>3</v>
      </c>
      <c r="O21" s="436">
        <f t="shared" ca="1" si="8"/>
        <v>0</v>
      </c>
      <c r="P21" s="437">
        <f ca="1">IF(OR(A21="",C21=0),"",SK!I219)</f>
        <v>0</v>
      </c>
      <c r="Q21" s="438" t="str">
        <f t="shared" ca="1" si="0"/>
        <v/>
      </c>
      <c r="R21" s="439">
        <f ca="1">IF(OR(A21="",F21=0),"",SUM(LU!Q70,LU!Q169))</f>
        <v>125</v>
      </c>
      <c r="S21" s="440">
        <f ca="1">IF(OR(A21="",F21=0),"",SUM(LU!Q93,LU!Q192))</f>
        <v>46</v>
      </c>
      <c r="T21" s="413">
        <f ca="1">IF(OR(A21="",F21=0),"",SUM(LU!Q47,LU!Q146))</f>
        <v>79</v>
      </c>
      <c r="U21" s="440">
        <f ca="1">IF(OR(A21="",C21=0),"",SUM(LU!O47,LU!O146))</f>
        <v>4</v>
      </c>
      <c r="V21" s="441">
        <f t="shared" ca="1" si="1"/>
        <v>1</v>
      </c>
      <c r="W21" s="442">
        <f ca="1">IF(OR(A21="",D21=0),"",SUM(LU!D47,LU!D146))</f>
        <v>63</v>
      </c>
      <c r="X21" s="441">
        <f t="shared" ca="1" si="2"/>
        <v>3.7058823529411766</v>
      </c>
      <c r="Y21" s="442">
        <f ca="1">IF(OR(A21="",E21=0),"",SUM(LU!J47,LU!J146))</f>
        <v>12</v>
      </c>
      <c r="Z21" s="441">
        <f t="shared" ca="1" si="3"/>
        <v>6</v>
      </c>
      <c r="AA21" s="553">
        <f ca="1">IF(OR(A21="",AND(D21=0, E21=0)),"",SUM(LU!L47,LU!L146))</f>
        <v>75</v>
      </c>
      <c r="AB21" s="554">
        <f t="shared" ca="1" si="10"/>
        <v>3.9473684210526314</v>
      </c>
      <c r="AC21" s="438">
        <f t="shared" ca="1" si="9"/>
        <v>3.95</v>
      </c>
      <c r="AD21" s="443">
        <f ca="1">IF(OR(A21="",F21=0,R$26="-",LU!$D$5=0),"",R21-R$26)</f>
        <v>69.333333333333343</v>
      </c>
      <c r="AE21" s="444">
        <f ca="1">IF(OR(A21="",F21=0,S$26="-",LU!$D$5=0),"",S21-S$26)</f>
        <v>12</v>
      </c>
      <c r="AF21" s="445">
        <f t="shared" ca="1" si="4"/>
        <v>57.333333333333343</v>
      </c>
      <c r="AG21" s="446">
        <f t="shared" ca="1" si="5"/>
        <v>-8.1043956043955978E-2</v>
      </c>
      <c r="AH21" s="446">
        <f t="shared" ca="1" si="6"/>
        <v>1.7258403361344539</v>
      </c>
      <c r="AI21" s="447">
        <f t="shared" ca="1" si="7"/>
        <v>4.5233484108484108</v>
      </c>
      <c r="AJ21" s="557">
        <f t="shared" ca="1" si="11"/>
        <v>2.7682965013628626</v>
      </c>
      <c r="AK21" s="448">
        <f ca="1">IF(OR($A21="",AC21="",AC$26="-",LU!$D$5=0),"",AC21-AC$26)</f>
        <v>2.490141718185197</v>
      </c>
      <c r="AL21" s="1060">
        <f>IF(OR(A21="",F21=0),"",SUM(PT!U33,PT!U34))</f>
        <v>5</v>
      </c>
      <c r="AM21" s="1061"/>
    </row>
    <row r="22" spans="1:39" s="3" customFormat="1" ht="19.5" customHeight="1" x14ac:dyDescent="0.3">
      <c r="A22" s="104" t="str">
        <f>IF(ISBLANK(IGRF!$B30),"",IGRF!$B30)</f>
        <v>86</v>
      </c>
      <c r="B22" s="76" t="str">
        <f>IF(ISBLANK(IGRF!$C30),"",IGRF!$C30)</f>
        <v>P.T.S.D.</v>
      </c>
      <c r="C22" s="77">
        <f>IF(A22="","",SUM(LU!O25,LU!O124))</f>
        <v>0</v>
      </c>
      <c r="D22" s="77">
        <f>IF(A22="","",SUM(LU!D25,LU!D124))</f>
        <v>0</v>
      </c>
      <c r="E22" s="78">
        <f>IF(A22="","",SUM(LU!J25,LU!J124))</f>
        <v>18</v>
      </c>
      <c r="F22" s="411">
        <f>IF(A22="","",(SUM(C22:E22)-(SUMPRODUCT(--(Lineups!C$4:C$41=A22),--(Lineups!A$4:A$41="SP"))+SUMPRODUCT(--(Lineups!G$4:G$41=A22),--(Lineups!A$4:A$41="SP"))+SUMPRODUCT(--(Lineups!C$46:C$83=A22),--(Lineups!A$46:A$83="SP"))+SUMPRODUCT(--(Lineups!G$46:G$83=A22),--(Lineups!A$46:A$83="SP")))))</f>
        <v>18</v>
      </c>
      <c r="G22" s="412">
        <f>IF(OR(A22="",F22=0,LU!D$3+LU!D$102=0),"",F22/(LU!D$3+LU!D$102))</f>
        <v>0.5</v>
      </c>
      <c r="H22" s="413" t="str">
        <f>IF(OR(C22=0,A22=""),"",SK!D222)</f>
        <v/>
      </c>
      <c r="I22" s="414" t="str">
        <f ca="1">IF(OR(A22="",SK!E222="",SK!E222=0),"",H22/SK!E222)</f>
        <v/>
      </c>
      <c r="J22" s="433" t="str">
        <f>IF(OR(A22="",C22=0),"",SK!G222)</f>
        <v/>
      </c>
      <c r="K22" s="434" t="str">
        <f>IF(OR(A22="",C22=0),"",SK!H222)</f>
        <v/>
      </c>
      <c r="L22" s="435" t="str">
        <f>IF(OR(A22="",C22=0),"",SK!J222)</f>
        <v/>
      </c>
      <c r="M22" s="435" t="str">
        <f>IF(OR(A22="",C22=0),"",SK!L222)</f>
        <v/>
      </c>
      <c r="N22" s="699" t="str">
        <f>IF(OR(A22="",C22=0),"",SUMPRODUCT(--(Lineups!$A$4:$A$41="SP"),--(Lineups!$C$4:$C$41=A22))+SUMPRODUCT(--(Lineups!$A$46:$A$83="SP"),--(Lineups!$C$46:$C$83=A22)))</f>
        <v/>
      </c>
      <c r="O22" s="436" t="str">
        <f t="shared" si="8"/>
        <v/>
      </c>
      <c r="P22" s="437" t="str">
        <f>IF(OR(A22="",C22=0),"",SK!I222)</f>
        <v/>
      </c>
      <c r="Q22" s="438" t="str">
        <f t="shared" si="0"/>
        <v/>
      </c>
      <c r="R22" s="439">
        <f ca="1">IF(OR(A22="",F22=0),"",SUM(LU!Q71,LU!Q170))</f>
        <v>60</v>
      </c>
      <c r="S22" s="440">
        <f ca="1">IF(OR(A22="",F22=0),"",SUM(LU!Q94,LU!Q193))</f>
        <v>60</v>
      </c>
      <c r="T22" s="413">
        <f ca="1">IF(OR(A22="",F22=0),"",SUM(LU!Q48,LU!Q147))</f>
        <v>0</v>
      </c>
      <c r="U22" s="440" t="str">
        <f>IF(OR(A22="",C22=0),"",SUM(LU!O48,LU!O147))</f>
        <v/>
      </c>
      <c r="V22" s="441" t="str">
        <f t="shared" si="1"/>
        <v/>
      </c>
      <c r="W22" s="442" t="str">
        <f>IF(OR(A22="",D22=0),"",SUM(LU!D48,LU!D147))</f>
        <v/>
      </c>
      <c r="X22" s="441" t="str">
        <f t="shared" si="2"/>
        <v/>
      </c>
      <c r="Y22" s="442">
        <f ca="1">IF(OR(A22="",E22=0),"",SUM(LU!J48,LU!J147))</f>
        <v>0</v>
      </c>
      <c r="Z22" s="441">
        <f t="shared" ca="1" si="3"/>
        <v>0</v>
      </c>
      <c r="AA22" s="553">
        <f ca="1">IF(OR(A22="",AND(D22=0, E22=0)),"",SUM(LU!L48,LU!L147))</f>
        <v>0</v>
      </c>
      <c r="AB22" s="554">
        <f t="shared" ca="1" si="10"/>
        <v>0</v>
      </c>
      <c r="AC22" s="438">
        <f t="shared" ca="1" si="9"/>
        <v>0</v>
      </c>
      <c r="AD22" s="443">
        <f ca="1">IF(OR(A22="",F22=0,R$26="-",LU!$D$5=0),"",R22-R$26)</f>
        <v>4.3333333333333357</v>
      </c>
      <c r="AE22" s="444">
        <f ca="1">IF(OR(A22="",F22=0,S$26="-",LU!$D$5=0),"",S22-S$26)</f>
        <v>26</v>
      </c>
      <c r="AF22" s="445">
        <f t="shared" ca="1" si="4"/>
        <v>-21.666666666666664</v>
      </c>
      <c r="AG22" s="446" t="str">
        <f t="shared" si="5"/>
        <v/>
      </c>
      <c r="AH22" s="446" t="str">
        <f t="shared" si="6"/>
        <v/>
      </c>
      <c r="AI22" s="447">
        <f t="shared" ca="1" si="7"/>
        <v>-1.476651589151589</v>
      </c>
      <c r="AJ22" s="557">
        <f t="shared" ca="1" si="11"/>
        <v>-1.1790719196897685</v>
      </c>
      <c r="AK22" s="448">
        <f ca="1">IF(OR($A22="",AC22="",AC$26="-",LU!$D$5=0),"",AC22-AC$26)</f>
        <v>-1.4598582818148034</v>
      </c>
      <c r="AL22" s="1060">
        <f>IF(OR(A22="",F22=0),"",SUM(PT!U35,PT!U36))</f>
        <v>2</v>
      </c>
      <c r="AM22" s="1061"/>
    </row>
    <row r="23" spans="1:39" s="3" customFormat="1" ht="19.5" customHeight="1" x14ac:dyDescent="0.3">
      <c r="A23" s="104" t="str">
        <f>IF(ISBLANK(IGRF!$B31),"",IGRF!$B31)</f>
        <v/>
      </c>
      <c r="B23" s="76" t="str">
        <f>IF(ISBLANK(IGRF!$C31),"",IGRF!$C31)</f>
        <v/>
      </c>
      <c r="C23" s="77" t="str">
        <f>IF(A23="","",SUM(LU!O26,LU!O125))</f>
        <v/>
      </c>
      <c r="D23" s="77" t="str">
        <f>IF(A23="","",SUM(LU!D26,LU!D125))</f>
        <v/>
      </c>
      <c r="E23" s="78" t="str">
        <f>IF(A23="","",SUM(LU!J26,LU!J125))</f>
        <v/>
      </c>
      <c r="F23" s="411" t="str">
        <f>IF(A23="","",(SUM(C23:E23)-(SUMPRODUCT(--(Lineups!C$4:C$41=A23),--(Lineups!A$4:A$41="SP"))+SUMPRODUCT(--(Lineups!G$4:G$41=A23),--(Lineups!A$4:A$41="SP"))+SUMPRODUCT(--(Lineups!C$46:C$83=A23),--(Lineups!A$46:A$83="SP"))+SUMPRODUCT(--(Lineups!G$46:G$83=A23),--(Lineups!A$46:A$83="SP")))))</f>
        <v/>
      </c>
      <c r="G23" s="412" t="str">
        <f>IF(OR(A23="",F23=0,LU!D$3+LU!D$102=0),"",F23/(LU!D$3+LU!D$102))</f>
        <v/>
      </c>
      <c r="H23" s="413" t="str">
        <f>IF(OR(C23=0,A23=""),"",SK!D225)</f>
        <v/>
      </c>
      <c r="I23" s="414" t="str">
        <f>IF(OR(A23="",SK!E225="",SK!E225=0),"",H23/SK!E225)</f>
        <v/>
      </c>
      <c r="J23" s="433" t="str">
        <f>IF(OR(A23="",C23=0),"",SK!G225)</f>
        <v/>
      </c>
      <c r="K23" s="434" t="str">
        <f>IF(OR(A23="",C23=0),"",SK!H225)</f>
        <v/>
      </c>
      <c r="L23" s="435" t="str">
        <f>IF(OR(A23="",C23=0),"",SK!J225)</f>
        <v/>
      </c>
      <c r="M23" s="435" t="str">
        <f>IF(OR(A23="",C23=0),"",SK!L225)</f>
        <v/>
      </c>
      <c r="N23" s="699" t="str">
        <f>IF(OR(A23="",C23=0),"",SUMPRODUCT(--(Lineups!$A$4:$A$41="SP"),--(Lineups!$C$4:$C$41=A23))+SUMPRODUCT(--(Lineups!$A$46:$A$83="SP"),--(Lineups!$C$46:$C$83=A23)))</f>
        <v/>
      </c>
      <c r="O23" s="436" t="str">
        <f t="shared" si="8"/>
        <v/>
      </c>
      <c r="P23" s="437" t="str">
        <f>IF(OR(A23="",C23=0),"",SK!I225)</f>
        <v/>
      </c>
      <c r="Q23" s="438" t="str">
        <f t="shared" si="0"/>
        <v/>
      </c>
      <c r="R23" s="439" t="str">
        <f>IF(OR(A23="",F23=0),"",SUM(LU!Q72,LU!Q171))</f>
        <v/>
      </c>
      <c r="S23" s="440" t="str">
        <f>IF(OR(A23="",F23=0),"",SUM(LU!Q95,LU!Q194))</f>
        <v/>
      </c>
      <c r="T23" s="413" t="str">
        <f>IF(OR(A23="",F23=0),"",SUM(LU!Q49,LU!Q148))</f>
        <v/>
      </c>
      <c r="U23" s="440" t="str">
        <f>IF(OR(A23="",C23=0),"",SUM(LU!O49,LU!O148))</f>
        <v/>
      </c>
      <c r="V23" s="441" t="str">
        <f t="shared" si="1"/>
        <v/>
      </c>
      <c r="W23" s="442" t="str">
        <f>IF(OR(A23="",D23=0),"",SUM(LU!D49,LU!D148))</f>
        <v/>
      </c>
      <c r="X23" s="441" t="str">
        <f t="shared" si="2"/>
        <v/>
      </c>
      <c r="Y23" s="442" t="str">
        <f>IF(OR(A23="",E23=0),"",SUM(LU!J49,LU!J148))</f>
        <v/>
      </c>
      <c r="Z23" s="441" t="str">
        <f t="shared" si="3"/>
        <v/>
      </c>
      <c r="AA23" s="553" t="str">
        <f>IF(OR(A23="",AND(D23=0, E23=0)),"",SUM(LU!L49,LU!L148))</f>
        <v/>
      </c>
      <c r="AB23" s="554" t="str">
        <f t="shared" si="10"/>
        <v/>
      </c>
      <c r="AC23" s="438" t="str">
        <f t="shared" si="9"/>
        <v/>
      </c>
      <c r="AD23" s="443" t="str">
        <f ca="1">IF(OR(A23="",F23=0,R$26="-",LU!$D$5=0),"",R23-R$26)</f>
        <v/>
      </c>
      <c r="AE23" s="444" t="str">
        <f ca="1">IF(OR(A23="",F23=0,S$26="-",LU!$D$5=0),"",S23-S$26)</f>
        <v/>
      </c>
      <c r="AF23" s="445" t="str">
        <f t="shared" ca="1" si="4"/>
        <v/>
      </c>
      <c r="AG23" s="446" t="str">
        <f t="shared" si="5"/>
        <v/>
      </c>
      <c r="AH23" s="446" t="str">
        <f t="shared" si="6"/>
        <v/>
      </c>
      <c r="AI23" s="447" t="str">
        <f t="shared" si="7"/>
        <v/>
      </c>
      <c r="AJ23" s="557" t="str">
        <f t="shared" si="11"/>
        <v/>
      </c>
      <c r="AK23" s="448" t="str">
        <f ca="1">IF(OR($A23="",AC23="",AC$26="-",LU!$D$5=0),"",AC23-AC$26)</f>
        <v/>
      </c>
      <c r="AL23" s="1060" t="str">
        <f>IF(OR(A23="",F23=0),"",SUM(PT!U37,PT!U38))</f>
        <v/>
      </c>
      <c r="AM23" s="1061"/>
    </row>
    <row r="24" spans="1:39" s="3" customFormat="1" ht="19.95" customHeight="1" x14ac:dyDescent="0.3">
      <c r="A24" s="104" t="str">
        <f>IF(ISBLANK(IGRF!$B32),"",IGRF!$B32)</f>
        <v/>
      </c>
      <c r="B24" s="76" t="str">
        <f>IF(ISBLANK(IGRF!$C32),"",IGRF!$C32)</f>
        <v/>
      </c>
      <c r="C24" s="77" t="str">
        <f>IF(A24="","",SUM(LU!O27,LU!O126))</f>
        <v/>
      </c>
      <c r="D24" s="77" t="str">
        <f>IF(A24="","",SUM(LU!D27,LU!D126))</f>
        <v/>
      </c>
      <c r="E24" s="78" t="str">
        <f>IF(A24="","",SUM(LU!J27,LU!J126))</f>
        <v/>
      </c>
      <c r="F24" s="411" t="str">
        <f>IF(A24="","",(SUM(C24:E24)-(SUMPRODUCT(--(Lineups!C$4:C$41=A24),--(Lineups!A$4:A$41="SP"))+SUMPRODUCT(--(Lineups!G$4:G$41=A24),--(Lineups!A$4:A$41="SP"))+SUMPRODUCT(--(Lineups!C$46:C$83=A24),--(Lineups!A$46:A$83="SP"))+SUMPRODUCT(--(Lineups!G$46:G$83=A24),--(Lineups!A$46:A$83="SP")))))</f>
        <v/>
      </c>
      <c r="G24" s="412" t="str">
        <f>IF(OR(A24="",F24=0,LU!D$3+LU!D$102=0),"",F24/(LU!D$3+LU!D$102))</f>
        <v/>
      </c>
      <c r="H24" s="413" t="str">
        <f>IF(OR(C24=0,A24=""),"",SK!D228)</f>
        <v/>
      </c>
      <c r="I24" s="414" t="str">
        <f>IF(OR(A24="",SK!E228="",SK!E228=0),"",H24/SK!E228)</f>
        <v/>
      </c>
      <c r="J24" s="433" t="str">
        <f>IF(OR(A24="",C24=0),"",SK!G228)</f>
        <v/>
      </c>
      <c r="K24" s="434" t="str">
        <f>IF(OR(A24="",C24=0),"",SK!H228)</f>
        <v/>
      </c>
      <c r="L24" s="435" t="str">
        <f>IF(OR(A24="",C24=0),"",SK!J228)</f>
        <v/>
      </c>
      <c r="M24" s="435" t="str">
        <f>IF(OR(A24="",C24=0),"",SK!L228)</f>
        <v/>
      </c>
      <c r="N24" s="699" t="str">
        <f>IF(OR(A24="",C24=0),"",SUMPRODUCT(--(Lineups!$A$4:$A$41="SP"),--(Lineups!$C$4:$C$41=A24))+SUMPRODUCT(--(Lineups!$A$46:$A$83="SP"),--(Lineups!$C$46:$C$83=A24)))</f>
        <v/>
      </c>
      <c r="O24" s="436" t="str">
        <f t="shared" si="8"/>
        <v/>
      </c>
      <c r="P24" s="437" t="str">
        <f>IF(OR(A24="",C24=0),"",SK!I228)</f>
        <v/>
      </c>
      <c r="Q24" s="438" t="str">
        <f t="shared" si="0"/>
        <v/>
      </c>
      <c r="R24" s="439" t="str">
        <f>IF(OR(A24="",F24=0),"",SUM(LU!Q73,LU!Q172))</f>
        <v/>
      </c>
      <c r="S24" s="440" t="str">
        <f>IF(OR(A24="",F24=0),"",SUM(LU!Q96,LU!Q195))</f>
        <v/>
      </c>
      <c r="T24" s="413" t="str">
        <f>IF(OR(A24="",F24=0),"",SUM(LU!Q50,LU!Q149))</f>
        <v/>
      </c>
      <c r="U24" s="440" t="str">
        <f>IF(OR(A24="",C24=0),"",SUM(LU!O50,LU!O149))</f>
        <v/>
      </c>
      <c r="V24" s="441" t="str">
        <f t="shared" si="1"/>
        <v/>
      </c>
      <c r="W24" s="442" t="str">
        <f>IF(OR(A24="",D24=0),"",SUM(LU!D50,LU!D149))</f>
        <v/>
      </c>
      <c r="X24" s="441" t="str">
        <f t="shared" si="2"/>
        <v/>
      </c>
      <c r="Y24" s="442" t="str">
        <f>IF(OR(A24="",E24=0),"",SUM(LU!J50,LU!J149))</f>
        <v/>
      </c>
      <c r="Z24" s="441" t="str">
        <f t="shared" si="3"/>
        <v/>
      </c>
      <c r="AA24" s="553" t="str">
        <f>IF(OR(A24="",AND(D24=0, E24=0)),"",SUM(LU!L50,LU!L149))</f>
        <v/>
      </c>
      <c r="AB24" s="554" t="str">
        <f t="shared" si="10"/>
        <v/>
      </c>
      <c r="AC24" s="438" t="str">
        <f t="shared" si="9"/>
        <v/>
      </c>
      <c r="AD24" s="443" t="str">
        <f ca="1">IF(OR(A24="",F24=0,R$26="-",LU!$D$5=0),"",R24-R$26)</f>
        <v/>
      </c>
      <c r="AE24" s="444" t="str">
        <f ca="1">IF(OR(A24="",F24=0,S$26="-",LU!$D$5=0),"",S24-S$26)</f>
        <v/>
      </c>
      <c r="AF24" s="445" t="str">
        <f t="shared" ca="1" si="4"/>
        <v/>
      </c>
      <c r="AG24" s="446" t="str">
        <f t="shared" si="5"/>
        <v/>
      </c>
      <c r="AH24" s="446" t="str">
        <f t="shared" si="6"/>
        <v/>
      </c>
      <c r="AI24" s="447" t="str">
        <f t="shared" si="7"/>
        <v/>
      </c>
      <c r="AJ24" s="557" t="str">
        <f t="shared" si="11"/>
        <v/>
      </c>
      <c r="AK24" s="448" t="str">
        <f ca="1">IF(OR($A24="",AC24="",AC$26="-",LU!$D$5=0),"",AC24-AC$26)</f>
        <v/>
      </c>
      <c r="AL24" s="1060" t="str">
        <f>IF(OR(A24="",F24=0),"",SUM(PT!U39,PT!U40))</f>
        <v/>
      </c>
      <c r="AM24" s="1061"/>
    </row>
    <row r="25" spans="1:39" s="3" customFormat="1" ht="19.5" customHeight="1" thickBot="1" x14ac:dyDescent="0.35">
      <c r="A25" s="104" t="str">
        <f>IF(ISBLANK(IGRF!$B33),"",IGRF!$B33)</f>
        <v/>
      </c>
      <c r="B25" s="76" t="str">
        <f>IF(ISBLANK(IGRF!$C33),"",IGRF!$C33)</f>
        <v/>
      </c>
      <c r="C25" s="77" t="str">
        <f>IF(A25="","",SUM(LU!O28,LU!O127))</f>
        <v/>
      </c>
      <c r="D25" s="77" t="str">
        <f>IF(A25="","",SUM(LU!D28,LU!D127))</f>
        <v/>
      </c>
      <c r="E25" s="77" t="str">
        <f>IF(A25="","",SUM(LU!J28,LU!J127))</f>
        <v/>
      </c>
      <c r="F25" s="415" t="str">
        <f>IF(A25="","",(SUM(C25:E25)-(SUMPRODUCT(--(Lineups!C$4:C$41=A25),--(Lineups!A$4:A$41="SP"))+SUMPRODUCT(--(Lineups!G$4:G$41=A25),--(Lineups!A$4:A$41="SP"))+SUMPRODUCT(--(Lineups!C$46:C$83=A25),--(Lineups!A$46:A$83="SP"))+SUMPRODUCT(--(Lineups!G$46:G$83=A25),--(Lineups!A$46:A$83="SP")))))</f>
        <v/>
      </c>
      <c r="G25" s="416" t="str">
        <f>IF(OR(A25="",F25=0,LU!D$3+LU!D$102=0),"",F25/(LU!D$3+LU!D$102))</f>
        <v/>
      </c>
      <c r="H25" s="413" t="str">
        <f>IF(OR(C25=0,A25=""),"",SK!D231)</f>
        <v/>
      </c>
      <c r="I25" s="414" t="str">
        <f>IF(OR(A25="",SK!E231="",SK!E231=0),"",H25/SK!E231)</f>
        <v/>
      </c>
      <c r="J25" s="433" t="str">
        <f>IF(OR(A25="",C25=0),"",SK!G231)</f>
        <v/>
      </c>
      <c r="K25" s="434" t="str">
        <f>IF(OR(A25="",C25=0),"",SK!H231)</f>
        <v/>
      </c>
      <c r="L25" s="435" t="str">
        <f>IF(OR(A25="",C25=0),"",SK!J231)</f>
        <v/>
      </c>
      <c r="M25" s="435" t="str">
        <f>IF(OR(A25="",C25=0),"",SK!L231)</f>
        <v/>
      </c>
      <c r="N25" s="699" t="str">
        <f>IF(OR(A25="",C25=0),"",SUMPRODUCT(--(Lineups!$A$4:$A$41="SP"),--(Lineups!$C$4:$C$41=A25))+SUMPRODUCT(--(Lineups!$A$46:$A$83="SP"),--(Lineups!$C$46:$C$83=A25)))</f>
        <v/>
      </c>
      <c r="O25" s="436" t="str">
        <f t="shared" si="8"/>
        <v/>
      </c>
      <c r="P25" s="449" t="str">
        <f>IF(OR(A25="",C25=0),"",SK!I231)</f>
        <v/>
      </c>
      <c r="Q25" s="450" t="str">
        <f t="shared" si="0"/>
        <v/>
      </c>
      <c r="R25" s="439" t="str">
        <f>IF(OR(A25="",F25=0),"",SUM(LU!Q74,LU!Q173))</f>
        <v/>
      </c>
      <c r="S25" s="440" t="str">
        <f>IF(OR(A25="",F25=0),"",SUM(LU!Q97,LU!Q196))</f>
        <v/>
      </c>
      <c r="T25" s="413" t="str">
        <f>IF(OR(A25="",F25=0),"",SUM(LU!Q51,LU!Q150))</f>
        <v/>
      </c>
      <c r="U25" s="440" t="str">
        <f>IF(OR(A25="",C25=0),"",SUM(LU!O51,LU!O150))</f>
        <v/>
      </c>
      <c r="V25" s="441" t="str">
        <f t="shared" si="1"/>
        <v/>
      </c>
      <c r="W25" s="442" t="str">
        <f>IF(OR(A25="",D25=0),"",SUM(LU!D51,LU!D150))</f>
        <v/>
      </c>
      <c r="X25" s="441" t="str">
        <f t="shared" si="2"/>
        <v/>
      </c>
      <c r="Y25" s="442" t="str">
        <f>IF(OR(A25="",E25=0),"",SUM(LU!J51,LU!J150))</f>
        <v/>
      </c>
      <c r="Z25" s="441" t="str">
        <f t="shared" si="3"/>
        <v/>
      </c>
      <c r="AA25" s="553" t="str">
        <f>IF(OR(A25="",AND(D25=0, E25=0)),"",SUM(LU!L51,LU!L150))</f>
        <v/>
      </c>
      <c r="AB25" s="554" t="str">
        <f t="shared" si="10"/>
        <v/>
      </c>
      <c r="AC25" s="451" t="str">
        <f t="shared" si="9"/>
        <v/>
      </c>
      <c r="AD25" s="443" t="str">
        <f ca="1">IF(OR(A25="",F25=0,R$26="-",LU!$D$5=0),"",R25-R$26)</f>
        <v/>
      </c>
      <c r="AE25" s="444" t="str">
        <f ca="1">IF(OR(A25="",F25=0,S$26="-",LU!$D$5=0),"",S25-S$26)</f>
        <v/>
      </c>
      <c r="AF25" s="445" t="str">
        <f t="shared" ca="1" si="4"/>
        <v/>
      </c>
      <c r="AG25" s="446" t="str">
        <f t="shared" si="5"/>
        <v/>
      </c>
      <c r="AH25" s="446" t="str">
        <f t="shared" si="6"/>
        <v/>
      </c>
      <c r="AI25" s="447" t="str">
        <f t="shared" si="7"/>
        <v/>
      </c>
      <c r="AJ25" s="557" t="str">
        <f t="shared" si="11"/>
        <v/>
      </c>
      <c r="AK25" s="448" t="str">
        <f ca="1">IF(OR($A25="",AC25="",AC$26="-",LU!$D$5=0),"",AC25-AC$26)</f>
        <v/>
      </c>
      <c r="AL25" s="1062" t="str">
        <f>IF(OR(A25="",F25=0),"",SUM(PT!U41,PT!U42))</f>
        <v/>
      </c>
      <c r="AM25" s="1063"/>
    </row>
    <row r="26" spans="1:39" s="6" customFormat="1" ht="21.75" customHeight="1" thickBot="1" x14ac:dyDescent="0.3">
      <c r="A26" s="1064" t="s">
        <v>97</v>
      </c>
      <c r="B26" s="1064"/>
      <c r="C26" s="118">
        <f>SUM(C6:C25)</f>
        <v>41</v>
      </c>
      <c r="D26" s="118">
        <f>SUM(D6:D25)</f>
        <v>36</v>
      </c>
      <c r="E26" s="118">
        <f>SUM(E6:E25)</f>
        <v>113</v>
      </c>
      <c r="F26" s="118">
        <f>SUM(F6:F25)</f>
        <v>180</v>
      </c>
      <c r="G26" s="119">
        <f>IF(COUNT(G6:G25)=0,"-",AVERAGE(G6:G25))</f>
        <v>0.33333333333333331</v>
      </c>
      <c r="H26" s="118">
        <f ca="1">SUM(H6:H25)</f>
        <v>167</v>
      </c>
      <c r="I26" s="120">
        <f ca="1">IF(LU!D3+LU!D102=0,"-",H26/(LU!D3+LU!D102))</f>
        <v>4.6388888888888893</v>
      </c>
      <c r="J26" s="121">
        <f ca="1">SUM(J6:J25)</f>
        <v>3</v>
      </c>
      <c r="K26" s="118">
        <f ca="1">SUM(K6:K25)</f>
        <v>21</v>
      </c>
      <c r="L26" s="118">
        <f ca="1">SUM(L6:L25)</f>
        <v>12</v>
      </c>
      <c r="M26" s="118">
        <f ca="1">SUM(M6:M25)</f>
        <v>7</v>
      </c>
      <c r="N26" s="118">
        <f>SUM(N6:N25)</f>
        <v>5</v>
      </c>
      <c r="O26" s="122">
        <f ca="1">IF(C26=0,"-",K26/(C26-N26))</f>
        <v>0.58333333333333337</v>
      </c>
      <c r="P26" s="118">
        <f ca="1">SUM(P6:P25)</f>
        <v>115</v>
      </c>
      <c r="Q26" s="123">
        <f t="shared" ref="Q26:AC26" ca="1" si="12">IF(COUNT(Q6:Q25)=0,"-",AVERAGE(Q6:Q25))</f>
        <v>5.1928571428571431</v>
      </c>
      <c r="R26" s="124">
        <f t="shared" ca="1" si="12"/>
        <v>55.666666666666664</v>
      </c>
      <c r="S26" s="125">
        <f t="shared" ca="1" si="12"/>
        <v>34</v>
      </c>
      <c r="T26" s="126">
        <f t="shared" ca="1" si="12"/>
        <v>21.666666666666668</v>
      </c>
      <c r="U26" s="126">
        <f t="shared" ca="1" si="12"/>
        <v>9.2857142857142865</v>
      </c>
      <c r="V26" s="126">
        <f t="shared" ca="1" si="12"/>
        <v>1.081043956043956</v>
      </c>
      <c r="W26" s="126">
        <f t="shared" ca="1" si="12"/>
        <v>16.25</v>
      </c>
      <c r="X26" s="126">
        <f t="shared" ca="1" si="12"/>
        <v>1.9800420168067228</v>
      </c>
      <c r="Y26" s="126">
        <f t="shared" ca="1" si="12"/>
        <v>16.25</v>
      </c>
      <c r="Z26" s="126">
        <f t="shared" ca="1" si="12"/>
        <v>1.476651589151589</v>
      </c>
      <c r="AA26" s="126">
        <f t="shared" ca="1" si="12"/>
        <v>20</v>
      </c>
      <c r="AB26" s="126">
        <f t="shared" ca="1" si="12"/>
        <v>1.1790719196897685</v>
      </c>
      <c r="AC26" s="126">
        <f t="shared" ca="1" si="12"/>
        <v>1.4598582818148034</v>
      </c>
      <c r="AD26" s="127" t="s">
        <v>98</v>
      </c>
      <c r="AE26" s="128" t="s">
        <v>98</v>
      </c>
      <c r="AF26" s="128" t="s">
        <v>98</v>
      </c>
      <c r="AG26" s="127" t="s">
        <v>98</v>
      </c>
      <c r="AH26" s="128" t="s">
        <v>98</v>
      </c>
      <c r="AI26" s="128" t="s">
        <v>98</v>
      </c>
      <c r="AJ26" s="128" t="s">
        <v>98</v>
      </c>
      <c r="AK26" s="129" t="s">
        <v>98</v>
      </c>
      <c r="AL26" s="1065">
        <f>SUM(AL6:AM25)</f>
        <v>28</v>
      </c>
      <c r="AM26" s="1066"/>
    </row>
    <row r="27" spans="1:39" ht="63.75" customHeight="1" thickBot="1" x14ac:dyDescent="0.35">
      <c r="A27" s="105" t="s">
        <v>109</v>
      </c>
      <c r="B27" s="106" t="str">
        <f>Score!$T$1</f>
        <v>Steel City Roller Derby / Steel Hurtin'</v>
      </c>
      <c r="C27" s="107" t="s">
        <v>71</v>
      </c>
      <c r="D27" s="108" t="s">
        <v>72</v>
      </c>
      <c r="E27" s="108" t="s">
        <v>73</v>
      </c>
      <c r="F27" s="67" t="s">
        <v>74</v>
      </c>
      <c r="G27" s="68" t="s">
        <v>75</v>
      </c>
      <c r="H27" s="69" t="s">
        <v>66</v>
      </c>
      <c r="I27" s="70" t="s">
        <v>76</v>
      </c>
      <c r="J27" s="109" t="s">
        <v>156</v>
      </c>
      <c r="K27" s="110" t="s">
        <v>157</v>
      </c>
      <c r="L27" s="110" t="s">
        <v>77</v>
      </c>
      <c r="M27" s="110" t="s">
        <v>397</v>
      </c>
      <c r="N27" s="700" t="s">
        <v>468</v>
      </c>
      <c r="O27" s="110" t="s">
        <v>78</v>
      </c>
      <c r="P27" s="110" t="s">
        <v>79</v>
      </c>
      <c r="Q27" s="111" t="s">
        <v>80</v>
      </c>
      <c r="R27" s="107" t="s">
        <v>81</v>
      </c>
      <c r="S27" s="110" t="s">
        <v>82</v>
      </c>
      <c r="T27" s="69" t="s">
        <v>83</v>
      </c>
      <c r="U27" s="107" t="s">
        <v>84</v>
      </c>
      <c r="V27" s="112" t="s">
        <v>85</v>
      </c>
      <c r="W27" s="113" t="s">
        <v>86</v>
      </c>
      <c r="X27" s="114" t="s">
        <v>87</v>
      </c>
      <c r="Y27" s="115" t="s">
        <v>88</v>
      </c>
      <c r="Z27" s="114" t="s">
        <v>89</v>
      </c>
      <c r="AA27" s="115" t="s">
        <v>427</v>
      </c>
      <c r="AB27" s="114" t="s">
        <v>428</v>
      </c>
      <c r="AC27" s="71" t="s">
        <v>90</v>
      </c>
      <c r="AD27" s="116" t="s">
        <v>180</v>
      </c>
      <c r="AE27" s="116" t="s">
        <v>91</v>
      </c>
      <c r="AF27" s="72" t="s">
        <v>92</v>
      </c>
      <c r="AG27" s="117" t="s">
        <v>93</v>
      </c>
      <c r="AH27" s="117" t="s">
        <v>94</v>
      </c>
      <c r="AI27" s="117" t="s">
        <v>95</v>
      </c>
      <c r="AJ27" s="117" t="s">
        <v>429</v>
      </c>
      <c r="AK27" s="73" t="s">
        <v>96</v>
      </c>
      <c r="AL27" s="1069" t="s">
        <v>311</v>
      </c>
      <c r="AM27" s="1070"/>
    </row>
    <row r="28" spans="1:39" s="3" customFormat="1" ht="19.95" customHeight="1" x14ac:dyDescent="0.3">
      <c r="A28" s="103" t="str">
        <f>IF(ISBLANK(IGRF!$I14),"",IGRF!$I14)</f>
        <v>12</v>
      </c>
      <c r="B28" s="74" t="str">
        <f>IF(ISBLANK(IGRF!$J14),"",IGRF!$J14)</f>
        <v>Zorra</v>
      </c>
      <c r="C28" s="75">
        <f>IF(A28="","",SUM(LU!AH9,LU!AH108))</f>
        <v>14</v>
      </c>
      <c r="D28" s="75">
        <f>IF(A28="","",SUM(LU!W9,LU!W108))</f>
        <v>1</v>
      </c>
      <c r="E28" s="75">
        <f>IF(A28="","",SUM(LU!AC9,LU!AC108))</f>
        <v>1</v>
      </c>
      <c r="F28" s="415">
        <f>IF(A28="","",(SUM(C28:E28)-(SUMPRODUCT(--(Lineups!AC$4:AC$41=A28),--(Lineups!AA$4:AA$41="SP"))+SUMPRODUCT(--(Lineups!AG$4:AG$41=A28),--(Lineups!AA$4:AA$41="SP"))+SUMPRODUCT(--(Lineups!AC$46:AC$83=A28),--(Lineups!AA$46:AA$83="SP"))+SUMPRODUCT(--(Lineups!AG$46:AG$83=A28),--(Lineups!AA$46:AA$83="SP")))))</f>
        <v>15</v>
      </c>
      <c r="G28" s="408">
        <f>IF(OR(A28="",F28=0,LU!D$3+LU!D$102=0),"",F28/(LU!D$3+LU!D$102))</f>
        <v>0.41666666666666669</v>
      </c>
      <c r="H28" s="409">
        <f ca="1">IF(OR(C28=0,A28=""),"",SK!T174)</f>
        <v>53</v>
      </c>
      <c r="I28" s="410">
        <f ca="1">IF(OR(A28="",SK!U174="",SK!U174=0),"",H28/SK!U174)</f>
        <v>3.7857142857142856</v>
      </c>
      <c r="J28" s="417">
        <f ca="1">IF(OR(C28=0,A28=""),"",SK!W174)</f>
        <v>3</v>
      </c>
      <c r="K28" s="418">
        <f ca="1">IF(OR(C28=0,A28=""),"",SK!X174)</f>
        <v>9</v>
      </c>
      <c r="L28" s="419">
        <f ca="1">IF(OR(C28=0,A28=""),"",SK!Z174)</f>
        <v>7</v>
      </c>
      <c r="M28" s="419">
        <f ca="1">IF(OR(C28=0,A28=""),"",SK!AB174)</f>
        <v>1</v>
      </c>
      <c r="N28" s="698">
        <f>IF(OR(A28="",C28=0),"",SUMPRODUCT(--(Lineups!$AA$4:$AA$41="SP"),--(Lineups!$AC$4:$AC$41=A28))+SUMPRODUCT(--(Lineups!$AA$46:$AA$83="SP"),--(Lineups!$AC$46:$AC$83=A28)))</f>
        <v>0</v>
      </c>
      <c r="O28" s="420">
        <f ca="1">IF(OR(A28="",C28="",(IF(C28="",0,C28)-IF(N28="",0,N28))=0),"",K28/(C28-N28))</f>
        <v>0.6428571428571429</v>
      </c>
      <c r="P28" s="421">
        <f ca="1">IF(OR(A28="",C28=0),"",SK!Y174)</f>
        <v>23</v>
      </c>
      <c r="Q28" s="422">
        <f t="shared" ref="Q28:Q47" ca="1" si="13">IF(OR(A28="",C28=0,K28=0),"",P28/K28)</f>
        <v>2.5555555555555554</v>
      </c>
      <c r="R28" s="423">
        <f ca="1">IF(OR(A28="",F28=0),"",SUM(LU!AJ55,LU!AJ154))</f>
        <v>57</v>
      </c>
      <c r="S28" s="424">
        <f ca="1">IF(OR(A28="",F28=0),"",SUM(LU!AJ78,LU!AJ177))</f>
        <v>65</v>
      </c>
      <c r="T28" s="409">
        <f ca="1">IF(OR(A28="",F28=0),"",SUM(LU!AJ32,LU!AJ131))</f>
        <v>-8</v>
      </c>
      <c r="U28" s="424">
        <f ca="1">IF(OR(A28="",C28=0),"",SUM(LU!AH32,LU!AH131))</f>
        <v>8</v>
      </c>
      <c r="V28" s="425">
        <f t="shared" ref="V28:V47" ca="1" si="14">IF(OR(A28="",C28=0),"",U28/C28)</f>
        <v>0.5714285714285714</v>
      </c>
      <c r="W28" s="426">
        <f ca="1">IF(OR(A28="",D28=0),"",SUM(LU!W32,LU!W131))</f>
        <v>-16</v>
      </c>
      <c r="X28" s="425">
        <f t="shared" ref="X28:X47" ca="1" si="15">IF(OR(A28="",D28=0),"",W28/D28)</f>
        <v>-16</v>
      </c>
      <c r="Y28" s="426">
        <f ca="1">IF(OR(A28="",E28=0),"",SUM(LU!AC32,LU!AC131))</f>
        <v>0</v>
      </c>
      <c r="Z28" s="425">
        <f t="shared" ref="Z28:Z47" ca="1" si="16">IF(OR(A28="",E28=0),"",Y28/E28)</f>
        <v>0</v>
      </c>
      <c r="AA28" s="551">
        <f ca="1">IF(OR(A28="",AND(D28=0, E28=0)),"",SUM(LU!AE32,LU!AE131))</f>
        <v>-16</v>
      </c>
      <c r="AB28" s="552">
        <f ca="1">IF(OR(A28="",AND(D28=0, E28=0)),"",AA28/(D28+E28))</f>
        <v>-8</v>
      </c>
      <c r="AC28" s="422">
        <f t="shared" ref="AC28:AC47" ca="1" si="17">IF(OR(A28="",F28="",F28=0),"",T28/F28)</f>
        <v>-0.53333333333333333</v>
      </c>
      <c r="AD28" s="427">
        <f ca="1">IF(OR(A28="",F28=0,R$48="-",LU!$W$5=0),"",R28-R$48)</f>
        <v>23</v>
      </c>
      <c r="AE28" s="428">
        <f ca="1">IF(OR(A28="",F28=0,S$48="-",LU!$W$5=0),"",S28-S$48)</f>
        <v>9.3333333333333357</v>
      </c>
      <c r="AF28" s="429">
        <f t="shared" ref="AF28:AF47" ca="1" si="18">IF(OR(A28="",F28=0,AD28=""),"",AD28-AE28)</f>
        <v>13.666666666666664</v>
      </c>
      <c r="AG28" s="430">
        <f t="shared" ref="AG28:AG47" ca="1" si="19">IF(OR($A28="",C28=0),"",V28-V$48)</f>
        <v>0.68571428571428572</v>
      </c>
      <c r="AH28" s="430">
        <f t="shared" ref="AH28:AH47" ca="1" si="20">IF(OR($A28="",D28=0),"",X28-X$48)</f>
        <v>-12.073076923076924</v>
      </c>
      <c r="AI28" s="431">
        <f t="shared" ref="AI28:AI47" ca="1" si="21">IF(OR($A28="",E28=0),"",Z28-Z$48)</f>
        <v>2.1065669515669518</v>
      </c>
      <c r="AJ28" s="556">
        <f ca="1">IF(OR($A28="",AND(D28=0, E28=0)),"",AB28-AB$48)</f>
        <v>-5.3799437696806116</v>
      </c>
      <c r="AK28" s="432">
        <f ca="1">IF(OR($A28="",AC28="",AC$48="-",LU!$W$5=0),"",AC28-AC$48)</f>
        <v>2.3537599340230919</v>
      </c>
      <c r="AL28" s="1067">
        <f>IF(OR(A28="",F28=0),"",SUM(PT!U56,PT!U57))</f>
        <v>3</v>
      </c>
      <c r="AM28" s="1068"/>
    </row>
    <row r="29" spans="1:39" s="3" customFormat="1" ht="19.95" customHeight="1" x14ac:dyDescent="0.3">
      <c r="A29" s="104" t="str">
        <f>IF(ISBLANK(IGRF!$I15),"",IGRF!$I15)</f>
        <v>16</v>
      </c>
      <c r="B29" s="76" t="str">
        <f>IF(ISBLANK(IGRF!$J15),"",IGRF!$J15)</f>
        <v>Dodge n Burn</v>
      </c>
      <c r="C29" s="77">
        <f>IF(A29="","",SUM(LU!AH10,LU!AH109))</f>
        <v>0</v>
      </c>
      <c r="D29" s="77">
        <f>IF(A29="","",SUM(LU!W10,LU!W109))</f>
        <v>0</v>
      </c>
      <c r="E29" s="78">
        <f>IF(A29="","",SUM(LU!AC10,LU!AC109))</f>
        <v>2</v>
      </c>
      <c r="F29" s="411">
        <f>IF(A29="","",(SUM(C29:E29)-(SUMPRODUCT(--(Lineups!AC$4:AC$41=A29),--(Lineups!AA$4:AA$41="SP"))+SUMPRODUCT(--(Lineups!AG$4:AG$41=A29),--(Lineups!AA$4:AA$41="SP"))+SUMPRODUCT(--(Lineups!AC$46:AC$83=A29),--(Lineups!AA$46:AA$83="SP"))+SUMPRODUCT(--(Lineups!AG$46:AG$83=A29),--(Lineups!AA$46:AA$83="SP")))))</f>
        <v>2</v>
      </c>
      <c r="G29" s="412">
        <f>IF(OR(A29="",F29=0,LU!D$3+LU!D$102=0),"",F29/(LU!D$3+LU!D$102))</f>
        <v>5.5555555555555552E-2</v>
      </c>
      <c r="H29" s="413" t="str">
        <f>IF(OR(C29=0,A29=""),"",SK!T177)</f>
        <v/>
      </c>
      <c r="I29" s="414" t="str">
        <f ca="1">IF(OR(A29="",SK!U177="",SK!U177=0),"",H29/SK!U177)</f>
        <v/>
      </c>
      <c r="J29" s="433" t="str">
        <f>IF(OR(C29=0,A29=""),"",SK!W177)</f>
        <v/>
      </c>
      <c r="K29" s="434" t="str">
        <f>IF(OR(C29=0,A29=""),"",SK!X177)</f>
        <v/>
      </c>
      <c r="L29" s="435" t="str">
        <f>IF(OR(C29=0,A29=""),"",SK!Z177)</f>
        <v/>
      </c>
      <c r="M29" s="435" t="str">
        <f>IF(OR(C29=0,A29=""),"",SK!AB177)</f>
        <v/>
      </c>
      <c r="N29" s="699" t="str">
        <f>IF(OR(A29="",C29=0),"",SUMPRODUCT(--(Lineups!$AA$4:$AA$41="SP"),--(Lineups!$AC$4:$AC$41=A29))+SUMPRODUCT(--(Lineups!$AA$46:$AA$83="SP"),--(Lineups!$AC$46:$AC$83=A29)))</f>
        <v/>
      </c>
      <c r="O29" s="436" t="str">
        <f t="shared" ref="O29:O47" si="22">IF(OR(A29="",C29="",(IF(C29="",0,C29)-IF(N29="",0,N29))=0),"",K29/(C29-N29))</f>
        <v/>
      </c>
      <c r="P29" s="437" t="str">
        <f>IF(OR(A29="",C29=0),"",SK!Y177)</f>
        <v/>
      </c>
      <c r="Q29" s="438" t="str">
        <f t="shared" si="13"/>
        <v/>
      </c>
      <c r="R29" s="439">
        <f ca="1">IF(OR(A29="",F29=0),"",SUM(LU!AJ56,LU!AJ155))</f>
        <v>0</v>
      </c>
      <c r="S29" s="440">
        <f ca="1">IF(OR(A29="",F29=0),"",SUM(LU!AJ79,LU!AJ178))</f>
        <v>14</v>
      </c>
      <c r="T29" s="413">
        <f ca="1">IF(OR(A29="",F29=0),"",SUM(LU!AJ33,LU!AJ132))</f>
        <v>-14</v>
      </c>
      <c r="U29" s="440" t="str">
        <f>IF(OR(A29="",C29=0),"",SUM(LU!AH33,LU!AH132))</f>
        <v/>
      </c>
      <c r="V29" s="441" t="str">
        <f t="shared" si="14"/>
        <v/>
      </c>
      <c r="W29" s="442" t="str">
        <f>IF(OR(A29="",D29=0),"",SUM(LU!W33,LU!W132))</f>
        <v/>
      </c>
      <c r="X29" s="441" t="str">
        <f t="shared" si="15"/>
        <v/>
      </c>
      <c r="Y29" s="442">
        <f ca="1">IF(OR(A29="",E29=0),"",SUM(LU!AC33,LU!AC132))</f>
        <v>-14</v>
      </c>
      <c r="Z29" s="441">
        <f t="shared" ca="1" si="16"/>
        <v>-7</v>
      </c>
      <c r="AA29" s="553">
        <f ca="1">IF(OR(A29="",AND(D29=0, E29=0)),"",SUM(LU!AE33,LU!AE132))</f>
        <v>-14</v>
      </c>
      <c r="AB29" s="554">
        <f ca="1">IF(OR(A29="",AND(D29=0, E29=0)),"",AA29/(D29+E29))</f>
        <v>-7</v>
      </c>
      <c r="AC29" s="438">
        <f t="shared" ca="1" si="17"/>
        <v>-7</v>
      </c>
      <c r="AD29" s="443">
        <f ca="1">IF(OR(A29="",F29=0,R$48="-",LU!$W$5=0),"",R29-R$48)</f>
        <v>-34</v>
      </c>
      <c r="AE29" s="444">
        <f ca="1">IF(OR(A29="",F29=0,S$48="-",LU!$W$5=0),"",S29-S$48)</f>
        <v>-41.666666666666664</v>
      </c>
      <c r="AF29" s="445">
        <f t="shared" ca="1" si="18"/>
        <v>7.6666666666666643</v>
      </c>
      <c r="AG29" s="446" t="str">
        <f t="shared" si="19"/>
        <v/>
      </c>
      <c r="AH29" s="446" t="str">
        <f t="shared" si="20"/>
        <v/>
      </c>
      <c r="AI29" s="447">
        <f t="shared" ca="1" si="21"/>
        <v>-4.8934330484330477</v>
      </c>
      <c r="AJ29" s="557">
        <f ca="1">IF(OR($A29="",AND(D29=0, E29=0)),"",AB29-AB$48)</f>
        <v>-4.3799437696806116</v>
      </c>
      <c r="AK29" s="448">
        <f ca="1">IF(OR($A29="",AC29="",AC$48="-",LU!$W$5=0),"",AC29-AC$48)</f>
        <v>-4.1129067326435749</v>
      </c>
      <c r="AL29" s="1060">
        <f>IF(OR(A29="",F29=0),"",SUM(PT!U58,PT!U59))</f>
        <v>0</v>
      </c>
      <c r="AM29" s="1061"/>
    </row>
    <row r="30" spans="1:39" s="3" customFormat="1" ht="19.95" customHeight="1" x14ac:dyDescent="0.3">
      <c r="A30" s="104" t="str">
        <f>IF(ISBLANK(IGRF!$I16),"",IGRF!$I16)</f>
        <v>17</v>
      </c>
      <c r="B30" s="76" t="str">
        <f>IF(ISBLANK(IGRF!$J16),"",IGRF!$J16)</f>
        <v>Yinzey Lohan</v>
      </c>
      <c r="C30" s="77">
        <f>IF(A30="","",SUM(LU!AH11,LU!AH110))</f>
        <v>0</v>
      </c>
      <c r="D30" s="77">
        <f>IF(A30="","",SUM(LU!W11,LU!W110))</f>
        <v>0</v>
      </c>
      <c r="E30" s="78">
        <f>IF(A30="","",SUM(LU!AC11,LU!AC110))</f>
        <v>13</v>
      </c>
      <c r="F30" s="411">
        <f>IF(A30="","",(SUM(C30:E30)-(SUMPRODUCT(--(Lineups!AC$4:AC$41=A30),--(Lineups!AA$4:AA$41="SP"))+SUMPRODUCT(--(Lineups!AG$4:AG$41=A30),--(Lineups!AA$4:AA$41="SP"))+SUMPRODUCT(--(Lineups!AC$46:AC$83=A30),--(Lineups!AA$46:AA$83="SP"))+SUMPRODUCT(--(Lineups!AG$46:AG$83=A30),--(Lineups!AA$46:AA$83="SP")))))</f>
        <v>13</v>
      </c>
      <c r="G30" s="412">
        <f>IF(OR(A30="",F30=0,LU!D$3+LU!D$102=0),"",F30/(LU!D$3+LU!D$102))</f>
        <v>0.3611111111111111</v>
      </c>
      <c r="H30" s="413" t="str">
        <f>IF(OR(C30=0,A30=""),"",SK!T180)</f>
        <v/>
      </c>
      <c r="I30" s="414" t="str">
        <f ca="1">IF(OR(A30="",SK!U180="",SK!U180=0),"",H30/SK!U180)</f>
        <v/>
      </c>
      <c r="J30" s="433" t="str">
        <f>IF(OR(C30=0,A30=""),"",SK!W180)</f>
        <v/>
      </c>
      <c r="K30" s="434" t="str">
        <f>IF(OR(C30=0,A30=""),"",SK!X180)</f>
        <v/>
      </c>
      <c r="L30" s="435" t="str">
        <f>IF(OR(C30=0,A30=""),"",SK!Z180)</f>
        <v/>
      </c>
      <c r="M30" s="435" t="str">
        <f>IF(OR(C30=0,A30=""),"",SK!AB180)</f>
        <v/>
      </c>
      <c r="N30" s="699" t="str">
        <f>IF(OR(A30="",C30=0),"",SUMPRODUCT(--(Lineups!$AA$4:$AA$41="SP"),--(Lineups!$AC$4:$AC$41=A30))+SUMPRODUCT(--(Lineups!$AA$46:$AA$83="SP"),--(Lineups!$AC$46:$AC$83=A30)))</f>
        <v/>
      </c>
      <c r="O30" s="436" t="str">
        <f t="shared" si="22"/>
        <v/>
      </c>
      <c r="P30" s="437" t="str">
        <f>IF(OR(A30="",C30=0),"",SK!Y180)</f>
        <v/>
      </c>
      <c r="Q30" s="438" t="str">
        <f t="shared" si="13"/>
        <v/>
      </c>
      <c r="R30" s="439">
        <f ca="1">IF(OR(A30="",F30=0),"",SUM(LU!AJ57,LU!AJ156))</f>
        <v>26</v>
      </c>
      <c r="S30" s="440">
        <f ca="1">IF(OR(A30="",F30=0),"",SUM(LU!AJ80,LU!AJ179))</f>
        <v>44</v>
      </c>
      <c r="T30" s="413">
        <f ca="1">IF(OR(A30="",F30=0),"",SUM(LU!AJ34,LU!AJ133))</f>
        <v>-18</v>
      </c>
      <c r="U30" s="440" t="str">
        <f>IF(OR(A30="",C30=0),"",SUM(LU!AH34,LU!AH133))</f>
        <v/>
      </c>
      <c r="V30" s="441" t="str">
        <f t="shared" si="14"/>
        <v/>
      </c>
      <c r="W30" s="442" t="str">
        <f>IF(OR(A30="",D30=0),"",SUM(LU!W34,LU!W133))</f>
        <v/>
      </c>
      <c r="X30" s="441" t="str">
        <f t="shared" si="15"/>
        <v/>
      </c>
      <c r="Y30" s="442">
        <f ca="1">IF(OR(A30="",E30=0),"",SUM(LU!AC34,LU!AC133))</f>
        <v>-18</v>
      </c>
      <c r="Z30" s="441">
        <f t="shared" ca="1" si="16"/>
        <v>-1.3846153846153846</v>
      </c>
      <c r="AA30" s="553">
        <f ca="1">IF(OR(A30="",AND(D30=0, E30=0)),"",SUM(LU!AE34,LU!AE133))</f>
        <v>-18</v>
      </c>
      <c r="AB30" s="554">
        <f t="shared" ref="AB30:AB47" ca="1" si="23">IF(OR(A30="",AND(D30=0, E30=0)),"",AA30/(D30+E30))</f>
        <v>-1.3846153846153846</v>
      </c>
      <c r="AC30" s="438">
        <f t="shared" ca="1" si="17"/>
        <v>-1.3846153846153846</v>
      </c>
      <c r="AD30" s="443">
        <f ca="1">IF(OR(A30="",F30=0,R$48="-",LU!$W$5=0),"",R30-R$48)</f>
        <v>-8</v>
      </c>
      <c r="AE30" s="444">
        <f ca="1">IF(OR(A30="",F30=0,S$48="-",LU!$W$5=0),"",S30-S$48)</f>
        <v>-11.666666666666664</v>
      </c>
      <c r="AF30" s="445">
        <f t="shared" ca="1" si="18"/>
        <v>3.6666666666666643</v>
      </c>
      <c r="AG30" s="446" t="str">
        <f t="shared" si="19"/>
        <v/>
      </c>
      <c r="AH30" s="446" t="str">
        <f t="shared" si="20"/>
        <v/>
      </c>
      <c r="AI30" s="447">
        <f t="shared" ca="1" si="21"/>
        <v>0.72195156695156726</v>
      </c>
      <c r="AJ30" s="557">
        <f t="shared" ref="AJ30:AJ47" ca="1" si="24">IF(OR($A30="",AND(D30=0, E30=0)),"",AB30-AB$48)</f>
        <v>1.2354408457040034</v>
      </c>
      <c r="AK30" s="448">
        <f ca="1">IF(OR($A30="",AC30="",AC$48="-",LU!$W$5=0),"",AC30-AC$48)</f>
        <v>1.5024778827410405</v>
      </c>
      <c r="AL30" s="1060">
        <f>IF(OR(A30="",F30=0),"",SUM(PT!U60,PT!U61))</f>
        <v>1</v>
      </c>
      <c r="AM30" s="1061"/>
    </row>
    <row r="31" spans="1:39" s="3" customFormat="1" ht="19.95" customHeight="1" x14ac:dyDescent="0.3">
      <c r="A31" s="104" t="str">
        <f>IF(ISBLANK(IGRF!$I17),"",IGRF!$I17)</f>
        <v>2</v>
      </c>
      <c r="B31" s="76" t="str">
        <f>IF(ISBLANK(IGRF!$J17),"",IGRF!$J17)</f>
        <v>Stark Raven</v>
      </c>
      <c r="C31" s="77">
        <f>IF(A31="","",SUM(LU!AH12,LU!AH111))</f>
        <v>0</v>
      </c>
      <c r="D31" s="77">
        <f>IF(A31="","",SUM(LU!W12,LU!W111))</f>
        <v>0</v>
      </c>
      <c r="E31" s="78">
        <f>IF(A31="","",SUM(LU!AC12,LU!AC111))</f>
        <v>18</v>
      </c>
      <c r="F31" s="411">
        <f>IF(A31="","",(SUM(C31:E31)-(SUMPRODUCT(--(Lineups!AC$4:AC$41=A31),--(Lineups!AA$4:AA$41="SP"))+SUMPRODUCT(--(Lineups!AG$4:AG$41=A31),--(Lineups!AA$4:AA$41="SP"))+SUMPRODUCT(--(Lineups!AC$46:AC$83=A31),--(Lineups!AA$46:AA$83="SP"))+SUMPRODUCT(--(Lineups!AG$46:AG$83=A31),--(Lineups!AA$46:AA$83="SP")))))</f>
        <v>18</v>
      </c>
      <c r="G31" s="412">
        <f>IF(OR(A31="",F31=0,LU!D$3+LU!D$102=0),"",F31/(LU!D$3+LU!D$102))</f>
        <v>0.5</v>
      </c>
      <c r="H31" s="413" t="str">
        <f>IF(OR(C31=0,A31=""),"",SK!T183)</f>
        <v/>
      </c>
      <c r="I31" s="414" t="str">
        <f ca="1">IF(OR(A31="",SK!U183="",SK!U183=0),"",H31/SK!U183)</f>
        <v/>
      </c>
      <c r="J31" s="433" t="str">
        <f>IF(OR(C31=0,A31=""),"",SK!W183)</f>
        <v/>
      </c>
      <c r="K31" s="434" t="str">
        <f>IF(OR(C31=0,A31=""),"",SK!X183)</f>
        <v/>
      </c>
      <c r="L31" s="435" t="str">
        <f>IF(OR(C31=0,A31=""),"",SK!Z183)</f>
        <v/>
      </c>
      <c r="M31" s="435" t="str">
        <f>IF(OR(C31=0,A31=""),"",SK!AB183)</f>
        <v/>
      </c>
      <c r="N31" s="699" t="str">
        <f>IF(OR(A31="",C31=0),"",SUMPRODUCT(--(Lineups!$AA$4:$AA$41="SP"),--(Lineups!$AC$4:$AC$41=A31))+SUMPRODUCT(--(Lineups!$AA$46:$AA$83="SP"),--(Lineups!$AC$46:$AC$83=A31)))</f>
        <v/>
      </c>
      <c r="O31" s="436" t="str">
        <f t="shared" si="22"/>
        <v/>
      </c>
      <c r="P31" s="437" t="str">
        <f>IF(OR(A31="",C31=0),"",SK!Y183)</f>
        <v/>
      </c>
      <c r="Q31" s="438" t="str">
        <f t="shared" si="13"/>
        <v/>
      </c>
      <c r="R31" s="439">
        <f ca="1">IF(OR(A31="",F31=0),"",SUM(LU!AJ58,LU!AJ157))</f>
        <v>54</v>
      </c>
      <c r="S31" s="440">
        <f ca="1">IF(OR(A31="",F31=0),"",SUM(LU!AJ81,LU!AJ180))</f>
        <v>70</v>
      </c>
      <c r="T31" s="413">
        <f ca="1">IF(OR(A31="",F31=0),"",SUM(LU!AJ35,LU!AJ134))</f>
        <v>-16</v>
      </c>
      <c r="U31" s="440" t="str">
        <f>IF(OR(A31="",C31=0),"",SUM(LU!AH35,LU!AH134))</f>
        <v/>
      </c>
      <c r="V31" s="441" t="str">
        <f t="shared" si="14"/>
        <v/>
      </c>
      <c r="W31" s="442" t="str">
        <f>IF(OR(A31="",D31=0),"",SUM(LU!W35,LU!W134))</f>
        <v/>
      </c>
      <c r="X31" s="441" t="str">
        <f t="shared" si="15"/>
        <v/>
      </c>
      <c r="Y31" s="442">
        <f ca="1">IF(OR(A31="",E31=0),"",SUM(LU!AC35,LU!AC134))</f>
        <v>-16</v>
      </c>
      <c r="Z31" s="441">
        <f t="shared" ca="1" si="16"/>
        <v>-0.88888888888888884</v>
      </c>
      <c r="AA31" s="553">
        <f ca="1">IF(OR(A31="",AND(D31=0, E31=0)),"",SUM(LU!AE35,LU!AE134))</f>
        <v>-16</v>
      </c>
      <c r="AB31" s="554">
        <f t="shared" ca="1" si="23"/>
        <v>-0.88888888888888884</v>
      </c>
      <c r="AC31" s="438">
        <f t="shared" ca="1" si="17"/>
        <v>-0.88888888888888884</v>
      </c>
      <c r="AD31" s="443">
        <f ca="1">IF(OR(A31="",F31=0,R$48="-",LU!$W$5=0),"",R31-R$48)</f>
        <v>20</v>
      </c>
      <c r="AE31" s="444">
        <f ca="1">IF(OR(A31="",F31=0,S$48="-",LU!$W$5=0),"",S31-S$48)</f>
        <v>14.333333333333336</v>
      </c>
      <c r="AF31" s="445">
        <f t="shared" ca="1" si="18"/>
        <v>5.6666666666666643</v>
      </c>
      <c r="AG31" s="446" t="str">
        <f t="shared" si="19"/>
        <v/>
      </c>
      <c r="AH31" s="446" t="str">
        <f t="shared" si="20"/>
        <v/>
      </c>
      <c r="AI31" s="447">
        <f t="shared" ca="1" si="21"/>
        <v>1.217678062678063</v>
      </c>
      <c r="AJ31" s="557">
        <f t="shared" ca="1" si="24"/>
        <v>1.7311673414304991</v>
      </c>
      <c r="AK31" s="448">
        <f ca="1">IF(OR($A31="",AC31="",AC$48="-",LU!$W$5=0),"",AC31-AC$48)</f>
        <v>1.9982043784675363</v>
      </c>
      <c r="AL31" s="1060">
        <f>IF(OR(A31="",F31=0),"",SUM(PT!U62,PT!U63))</f>
        <v>1</v>
      </c>
      <c r="AM31" s="1061"/>
    </row>
    <row r="32" spans="1:39" s="3" customFormat="1" ht="19.95" customHeight="1" x14ac:dyDescent="0.3">
      <c r="A32" s="104" t="str">
        <f>IF(ISBLANK(IGRF!$I18),"",IGRF!$I18)</f>
        <v>219</v>
      </c>
      <c r="B32" s="76" t="str">
        <f>IF(ISBLANK(IGRF!$J18),"",IGRF!$J18)</f>
        <v>Dakota Slamming</v>
      </c>
      <c r="C32" s="77">
        <f>IF(A32="","",SUM(LU!AH13,LU!AH112))</f>
        <v>5</v>
      </c>
      <c r="D32" s="77">
        <f>IF(A32="","",SUM(LU!W13,LU!W112))</f>
        <v>13</v>
      </c>
      <c r="E32" s="78">
        <f>IF(A32="","",SUM(LU!AC13,LU!AC112))</f>
        <v>5</v>
      </c>
      <c r="F32" s="411">
        <f>IF(A32="","",(SUM(C32:E32)-(SUMPRODUCT(--(Lineups!AC$4:AC$41=A32),--(Lineups!AA$4:AA$41="SP"))+SUMPRODUCT(--(Lineups!AG$4:AG$41=A32),--(Lineups!AA$4:AA$41="SP"))+SUMPRODUCT(--(Lineups!AC$46:AC$83=A32),--(Lineups!AA$46:AA$83="SP"))+SUMPRODUCT(--(Lineups!AG$46:AG$83=A32),--(Lineups!AA$46:AA$83="SP")))))</f>
        <v>18</v>
      </c>
      <c r="G32" s="412">
        <f>IF(OR(A32="",F32=0,LU!D$3+LU!D$102=0),"",F32/(LU!D$3+LU!D$102))</f>
        <v>0.5</v>
      </c>
      <c r="H32" s="413">
        <f ca="1">IF(OR(C32=0,A32=""),"",SK!T186)</f>
        <v>7</v>
      </c>
      <c r="I32" s="414">
        <f ca="1">IF(OR(A32="",SK!U186="",SK!U186=0),"",H32/SK!U186)</f>
        <v>1.4</v>
      </c>
      <c r="J32" s="433">
        <f ca="1">IF(OR(C32=0,A32=""),"",SK!W186)</f>
        <v>0</v>
      </c>
      <c r="K32" s="434">
        <f ca="1">IF(OR(C32=0,A32=""),"",SK!X186)</f>
        <v>0</v>
      </c>
      <c r="L32" s="435">
        <f ca="1">IF(OR(C32=0,A32=""),"",SK!Z186)</f>
        <v>0</v>
      </c>
      <c r="M32" s="435">
        <f ca="1">IF(OR(C32=0,A32=""),"",SK!AB186)</f>
        <v>2</v>
      </c>
      <c r="N32" s="699">
        <f>IF(OR(A32="",C32=0),"",SUMPRODUCT(--(Lineups!$AA$4:$AA$41="SP"),--(Lineups!$AC$4:$AC$41=A32))+SUMPRODUCT(--(Lineups!$AA$46:$AA$83="SP"),--(Lineups!$AC$46:$AC$83=A32)))</f>
        <v>5</v>
      </c>
      <c r="O32" s="436" t="str">
        <f t="shared" si="22"/>
        <v/>
      </c>
      <c r="P32" s="437">
        <f ca="1">IF(OR(A32="",C32=0),"",SK!Y186)</f>
        <v>0</v>
      </c>
      <c r="Q32" s="438" t="str">
        <f t="shared" ca="1" si="13"/>
        <v/>
      </c>
      <c r="R32" s="439">
        <f ca="1">IF(OR(A32="",F32=0),"",SUM(LU!AJ59,LU!AJ158))</f>
        <v>48</v>
      </c>
      <c r="S32" s="440">
        <f ca="1">IF(OR(A32="",F32=0),"",SUM(LU!AJ82,LU!AJ181))</f>
        <v>97</v>
      </c>
      <c r="T32" s="413">
        <f ca="1">IF(OR(A32="",F32=0),"",SUM(LU!AJ36,LU!AJ135))</f>
        <v>-49</v>
      </c>
      <c r="U32" s="440">
        <f ca="1">IF(OR(A32="",C32=0),"",SUM(LU!AH36,LU!AH135))</f>
        <v>7</v>
      </c>
      <c r="V32" s="441">
        <f t="shared" ca="1" si="14"/>
        <v>1.4</v>
      </c>
      <c r="W32" s="442">
        <f ca="1">IF(OR(A32="",D32=0),"",SUM(LU!W36,LU!W135))</f>
        <v>-32</v>
      </c>
      <c r="X32" s="441">
        <f t="shared" ca="1" si="15"/>
        <v>-2.4615384615384617</v>
      </c>
      <c r="Y32" s="442">
        <f ca="1">IF(OR(A32="",E32=0),"",SUM(LU!AC36,LU!AC135))</f>
        <v>-24</v>
      </c>
      <c r="Z32" s="441">
        <f t="shared" ca="1" si="16"/>
        <v>-4.8</v>
      </c>
      <c r="AA32" s="553">
        <f ca="1">IF(OR(A32="",AND(D32=0, E32=0)),"",SUM(LU!AE36,LU!AE135))</f>
        <v>-56</v>
      </c>
      <c r="AB32" s="554">
        <f t="shared" ca="1" si="23"/>
        <v>-3.1111111111111112</v>
      </c>
      <c r="AC32" s="438">
        <f t="shared" ca="1" si="17"/>
        <v>-2.7222222222222223</v>
      </c>
      <c r="AD32" s="443">
        <f ca="1">IF(OR(A32="",F32=0,R$48="-",LU!$W$5=0),"",R32-R$48)</f>
        <v>14</v>
      </c>
      <c r="AE32" s="444">
        <f ca="1">IF(OR(A32="",F32=0,S$48="-",LU!$W$5=0),"",S32-S$48)</f>
        <v>41.333333333333336</v>
      </c>
      <c r="AF32" s="445">
        <f t="shared" ca="1" si="18"/>
        <v>-27.333333333333336</v>
      </c>
      <c r="AG32" s="446">
        <f t="shared" ca="1" si="19"/>
        <v>1.5142857142857142</v>
      </c>
      <c r="AH32" s="446">
        <f t="shared" ca="1" si="20"/>
        <v>1.4653846153846151</v>
      </c>
      <c r="AI32" s="447">
        <f t="shared" ca="1" si="21"/>
        <v>-2.693433048433048</v>
      </c>
      <c r="AJ32" s="557">
        <f t="shared" ca="1" si="24"/>
        <v>-0.49105488079172321</v>
      </c>
      <c r="AK32" s="448">
        <f ca="1">IF(OR($A32="",AC32="",AC$48="-",LU!$W$5=0),"",AC32-AC$48)</f>
        <v>0.16487104513420281</v>
      </c>
      <c r="AL32" s="1060">
        <f>IF(OR(A32="",F32=0),"",SUM(PT!U64,PT!U65))</f>
        <v>1</v>
      </c>
      <c r="AM32" s="1061"/>
    </row>
    <row r="33" spans="1:39" s="3" customFormat="1" ht="19.95" customHeight="1" x14ac:dyDescent="0.3">
      <c r="A33" s="104" t="str">
        <f>IF(ISBLANK(IGRF!$I19),"",IGRF!$I19)</f>
        <v>22</v>
      </c>
      <c r="B33" s="76" t="str">
        <f>IF(ISBLANK(IGRF!$J19),"",IGRF!$J19)</f>
        <v>Dammit Jammit</v>
      </c>
      <c r="C33" s="77">
        <f>IF(A33="","",SUM(LU!AH14,LU!AH113))</f>
        <v>1</v>
      </c>
      <c r="D33" s="77">
        <f>IF(A33="","",SUM(LU!W14,LU!W113))</f>
        <v>3</v>
      </c>
      <c r="E33" s="78">
        <f>IF(A33="","",SUM(LU!AC14,LU!AC113))</f>
        <v>13</v>
      </c>
      <c r="F33" s="411">
        <f>IF(A33="","",(SUM(C33:E33)-(SUMPRODUCT(--(Lineups!AC$4:AC$41=A33),--(Lineups!AA$4:AA$41="SP"))+SUMPRODUCT(--(Lineups!AG$4:AG$41=A33),--(Lineups!AA$4:AA$41="SP"))+SUMPRODUCT(--(Lineups!AC$46:AC$83=A33),--(Lineups!AA$46:AA$83="SP"))+SUMPRODUCT(--(Lineups!AG$46:AG$83=A33),--(Lineups!AA$46:AA$83="SP")))))</f>
        <v>16</v>
      </c>
      <c r="G33" s="412">
        <f>IF(OR(A33="",F33=0,LU!D$3+LU!D$102=0),"",F33/(LU!D$3+LU!D$102))</f>
        <v>0.44444444444444442</v>
      </c>
      <c r="H33" s="413">
        <f ca="1">IF(OR(C33=0,A33=""),"",SK!T189)</f>
        <v>0</v>
      </c>
      <c r="I33" s="414">
        <f ca="1">IF(OR(A33="",SK!U189="",SK!U189=0),"",H33/SK!U189)</f>
        <v>0</v>
      </c>
      <c r="J33" s="433">
        <f ca="1">IF(OR(C33=0,A33=""),"",SK!W189)</f>
        <v>0</v>
      </c>
      <c r="K33" s="434">
        <f ca="1">IF(OR(C33=0,A33=""),"",SK!X189)</f>
        <v>0</v>
      </c>
      <c r="L33" s="435">
        <f ca="1">IF(OR(C33=0,A33=""),"",SK!Z189)</f>
        <v>0</v>
      </c>
      <c r="M33" s="435">
        <f ca="1">IF(OR(C33=0,A33=""),"",SK!AB189)</f>
        <v>1</v>
      </c>
      <c r="N33" s="699">
        <f>IF(OR(A33="",C33=0),"",SUMPRODUCT(--(Lineups!$AA$4:$AA$41="SP"),--(Lineups!$AC$4:$AC$41=A33))+SUMPRODUCT(--(Lineups!$AA$46:$AA$83="SP"),--(Lineups!$AC$46:$AC$83=A33)))</f>
        <v>1</v>
      </c>
      <c r="O33" s="436" t="str">
        <f t="shared" si="22"/>
        <v/>
      </c>
      <c r="P33" s="437">
        <f ca="1">IF(OR(A33="",C33=0),"",SK!Y189)</f>
        <v>0</v>
      </c>
      <c r="Q33" s="438" t="str">
        <f t="shared" ca="1" si="13"/>
        <v/>
      </c>
      <c r="R33" s="439">
        <f ca="1">IF(OR(A33="",F33=0),"",SUM(LU!AJ60,LU!AJ159))</f>
        <v>58</v>
      </c>
      <c r="S33" s="440">
        <f ca="1">IF(OR(A33="",F33=0),"",SUM(LU!AJ83,LU!AJ182))</f>
        <v>56</v>
      </c>
      <c r="T33" s="413">
        <f ca="1">IF(OR(A33="",F33=0),"",SUM(LU!AJ37,LU!AJ136))</f>
        <v>2</v>
      </c>
      <c r="U33" s="440">
        <f ca="1">IF(OR(A33="",C33=0),"",SUM(LU!AH37,LU!AH136))</f>
        <v>0</v>
      </c>
      <c r="V33" s="441">
        <f t="shared" ca="1" si="14"/>
        <v>0</v>
      </c>
      <c r="W33" s="442">
        <f ca="1">IF(OR(A33="",D33=0),"",SUM(LU!W37,LU!W136))</f>
        <v>-11</v>
      </c>
      <c r="X33" s="441">
        <f t="shared" ca="1" si="15"/>
        <v>-3.6666666666666665</v>
      </c>
      <c r="Y33" s="442">
        <f ca="1">IF(OR(A33="",E33=0),"",SUM(LU!AC37,LU!AC136))</f>
        <v>13</v>
      </c>
      <c r="Z33" s="441">
        <f t="shared" ca="1" si="16"/>
        <v>1</v>
      </c>
      <c r="AA33" s="553">
        <f ca="1">IF(OR(A33="",AND(D33=0, E33=0)),"",SUM(LU!AE37,LU!AE136))</f>
        <v>2</v>
      </c>
      <c r="AB33" s="554">
        <f t="shared" ca="1" si="23"/>
        <v>0.125</v>
      </c>
      <c r="AC33" s="438">
        <f t="shared" ca="1" si="17"/>
        <v>0.125</v>
      </c>
      <c r="AD33" s="443">
        <f ca="1">IF(OR(A33="",F33=0,R$48="-",LU!$W$5=0),"",R33-R$48)</f>
        <v>24</v>
      </c>
      <c r="AE33" s="444">
        <f ca="1">IF(OR(A33="",F33=0,S$48="-",LU!$W$5=0),"",S33-S$48)</f>
        <v>0.3333333333333357</v>
      </c>
      <c r="AF33" s="445">
        <f t="shared" ca="1" si="18"/>
        <v>23.666666666666664</v>
      </c>
      <c r="AG33" s="446">
        <f t="shared" ca="1" si="19"/>
        <v>0.11428571428571427</v>
      </c>
      <c r="AH33" s="446">
        <f t="shared" ca="1" si="20"/>
        <v>0.26025641025641022</v>
      </c>
      <c r="AI33" s="447">
        <f t="shared" ca="1" si="21"/>
        <v>3.1065669515669518</v>
      </c>
      <c r="AJ33" s="557">
        <f t="shared" ca="1" si="24"/>
        <v>2.7450562303193879</v>
      </c>
      <c r="AK33" s="448">
        <f ca="1">IF(OR($A33="",AC33="",AC$48="-",LU!$W$5=0),"",AC33-AC$48)</f>
        <v>3.0120932673564251</v>
      </c>
      <c r="AL33" s="1060">
        <f>IF(OR(A33="",F33=0),"",SUM(PT!U66,PT!U67))</f>
        <v>2</v>
      </c>
      <c r="AM33" s="1061"/>
    </row>
    <row r="34" spans="1:39" s="3" customFormat="1" ht="19.95" customHeight="1" x14ac:dyDescent="0.3">
      <c r="A34" s="104" t="str">
        <f>IF(ISBLANK(IGRF!$I20),"",IGRF!$I20)</f>
        <v>223</v>
      </c>
      <c r="B34" s="76" t="str">
        <f>IF(ISBLANK(IGRF!$J20),"",IGRF!$J20)</f>
        <v>Frida Killah</v>
      </c>
      <c r="C34" s="77">
        <f>IF(A34="","",SUM(LU!AH15,LU!AH114))</f>
        <v>3</v>
      </c>
      <c r="D34" s="77">
        <f>IF(A34="","",SUM(LU!W15,LU!W114))</f>
        <v>0</v>
      </c>
      <c r="E34" s="78">
        <f>IF(A34="","",SUM(LU!AC15,LU!AC114))</f>
        <v>1</v>
      </c>
      <c r="F34" s="411">
        <f>IF(A34="","",(SUM(C34:E34)-(SUMPRODUCT(--(Lineups!AC$4:AC$41=A34),--(Lineups!AA$4:AA$41="SP"))+SUMPRODUCT(--(Lineups!AG$4:AG$41=A34),--(Lineups!AA$4:AA$41="SP"))+SUMPRODUCT(--(Lineups!AC$46:AC$83=A34),--(Lineups!AA$46:AA$83="SP"))+SUMPRODUCT(--(Lineups!AG$46:AG$83=A34),--(Lineups!AA$46:AA$83="SP")))))</f>
        <v>3</v>
      </c>
      <c r="G34" s="412">
        <f>IF(OR(A34="",F34=0,LU!D$3+LU!D$102=0),"",F34/(LU!D$3+LU!D$102))</f>
        <v>8.3333333333333329E-2</v>
      </c>
      <c r="H34" s="413">
        <f ca="1">IF(OR(C34=0,A34=""),"",SK!T192)</f>
        <v>10</v>
      </c>
      <c r="I34" s="414">
        <f ca="1">IF(OR(A34="",SK!U192="",SK!U192=0),"",H34/SK!U192)</f>
        <v>3.3333333333333335</v>
      </c>
      <c r="J34" s="433">
        <f ca="1">IF(OR(C34=0,A34=""),"",SK!W192)</f>
        <v>0</v>
      </c>
      <c r="K34" s="434">
        <f ca="1">IF(OR(C34=0,A34=""),"",SK!X192)</f>
        <v>2</v>
      </c>
      <c r="L34" s="435">
        <f ca="1">IF(OR(C34=0,A34=""),"",SK!Z192)</f>
        <v>2</v>
      </c>
      <c r="M34" s="435">
        <f ca="1">IF(OR(C34=0,A34=""),"",SK!AB192)</f>
        <v>1</v>
      </c>
      <c r="N34" s="699">
        <f>IF(OR(A34="",C34=0),"",SUMPRODUCT(--(Lineups!$AA$4:$AA$41="SP"),--(Lineups!$AC$4:$AC$41=A34))+SUMPRODUCT(--(Lineups!$AA$46:$AA$83="SP"),--(Lineups!$AC$46:$AC$83=A34)))</f>
        <v>0</v>
      </c>
      <c r="O34" s="436">
        <f t="shared" ca="1" si="22"/>
        <v>0.66666666666666663</v>
      </c>
      <c r="P34" s="437">
        <f ca="1">IF(OR(A34="",C34=0),"",SK!Y192)</f>
        <v>10</v>
      </c>
      <c r="Q34" s="438">
        <f t="shared" ca="1" si="13"/>
        <v>5</v>
      </c>
      <c r="R34" s="439">
        <f ca="1">IF(OR(A34="",F34=0),"",SUM(LU!AJ61,LU!AJ160))</f>
        <v>14</v>
      </c>
      <c r="S34" s="440">
        <f ca="1">IF(OR(A34="",F34=0),"",SUM(LU!AJ84,LU!AJ183))</f>
        <v>8</v>
      </c>
      <c r="T34" s="413">
        <f ca="1">IF(OR(A34="",F34=0),"",SUM(LU!AJ38,LU!AJ137))</f>
        <v>6</v>
      </c>
      <c r="U34" s="440">
        <f ca="1">IF(OR(A34="",C34=0),"",SUM(LU!AH38,LU!AH137))</f>
        <v>2</v>
      </c>
      <c r="V34" s="441">
        <f t="shared" ca="1" si="14"/>
        <v>0.66666666666666663</v>
      </c>
      <c r="W34" s="442" t="str">
        <f>IF(OR(A34="",D34=0),"",SUM(LU!W38,LU!W137))</f>
        <v/>
      </c>
      <c r="X34" s="441" t="str">
        <f t="shared" si="15"/>
        <v/>
      </c>
      <c r="Y34" s="442">
        <f ca="1">IF(OR(A34="",E34=0),"",SUM(LU!AC38,LU!AC137))</f>
        <v>4</v>
      </c>
      <c r="Z34" s="441">
        <f t="shared" ca="1" si="16"/>
        <v>4</v>
      </c>
      <c r="AA34" s="553">
        <f ca="1">IF(OR(A34="",AND(D34=0, E34=0)),"",SUM(LU!AE38,LU!AE137))</f>
        <v>4</v>
      </c>
      <c r="AB34" s="554">
        <f t="shared" ca="1" si="23"/>
        <v>4</v>
      </c>
      <c r="AC34" s="438">
        <f t="shared" ca="1" si="17"/>
        <v>2</v>
      </c>
      <c r="AD34" s="443">
        <f ca="1">IF(OR(A34="",F34=0,R$48="-",LU!$W$5=0),"",R34-R$48)</f>
        <v>-20</v>
      </c>
      <c r="AE34" s="444">
        <f ca="1">IF(OR(A34="",F34=0,S$48="-",LU!$W$5=0),"",S34-S$48)</f>
        <v>-47.666666666666664</v>
      </c>
      <c r="AF34" s="445">
        <f t="shared" ca="1" si="18"/>
        <v>27.666666666666664</v>
      </c>
      <c r="AG34" s="446">
        <f t="shared" ca="1" si="19"/>
        <v>0.78095238095238084</v>
      </c>
      <c r="AH34" s="446" t="str">
        <f t="shared" si="20"/>
        <v/>
      </c>
      <c r="AI34" s="447">
        <f t="shared" ca="1" si="21"/>
        <v>6.1065669515669523</v>
      </c>
      <c r="AJ34" s="557">
        <f t="shared" ca="1" si="24"/>
        <v>6.6200562303193884</v>
      </c>
      <c r="AK34" s="448">
        <f ca="1">IF(OR($A34="",AC34="",AC$48="-",LU!$W$5=0),"",AC34-AC$48)</f>
        <v>4.8870932673564251</v>
      </c>
      <c r="AL34" s="1060">
        <f>IF(OR(A34="",F34=0),"",SUM(PT!U68,PT!U69))</f>
        <v>0</v>
      </c>
      <c r="AM34" s="1061"/>
    </row>
    <row r="35" spans="1:39" s="3" customFormat="1" ht="19.95" customHeight="1" x14ac:dyDescent="0.3">
      <c r="A35" s="104" t="str">
        <f>IF(ISBLANK(IGRF!$I21),"",IGRF!$I21)</f>
        <v>23</v>
      </c>
      <c r="B35" s="76" t="str">
        <f>IF(ISBLANK(IGRF!$J21),"",IGRF!$J21)</f>
        <v>Towanda Woman</v>
      </c>
      <c r="C35" s="77">
        <f>IF(A35="","",SUM(LU!AH16,LU!AH115))</f>
        <v>10</v>
      </c>
      <c r="D35" s="77">
        <f>IF(A35="","",SUM(LU!W16,LU!W115))</f>
        <v>0</v>
      </c>
      <c r="E35" s="78">
        <f>IF(A35="","",SUM(LU!AC16,LU!AC115))</f>
        <v>4</v>
      </c>
      <c r="F35" s="411">
        <f>IF(A35="","",(SUM(C35:E35)-(SUMPRODUCT(--(Lineups!AC$4:AC$41=A35),--(Lineups!AA$4:AA$41="SP"))+SUMPRODUCT(--(Lineups!AG$4:AG$41=A35),--(Lineups!AA$4:AA$41="SP"))+SUMPRODUCT(--(Lineups!AC$46:AC$83=A35),--(Lineups!AA$46:AA$83="SP"))+SUMPRODUCT(--(Lineups!AG$46:AG$83=A35),--(Lineups!AA$46:AA$83="SP")))))</f>
        <v>10</v>
      </c>
      <c r="G35" s="412">
        <f>IF(OR(A35="",F35=0,LU!D$3+LU!D$102=0),"",F35/(LU!D$3+LU!D$102))</f>
        <v>0.27777777777777779</v>
      </c>
      <c r="H35" s="413">
        <f ca="1">IF(OR(C35=0,A35=""),"",SK!T195)</f>
        <v>16</v>
      </c>
      <c r="I35" s="414">
        <f ca="1">IF(OR(A35="",SK!U195="",SK!U195=0),"",H35/SK!U195)</f>
        <v>1.6</v>
      </c>
      <c r="J35" s="433">
        <f ca="1">IF(OR(C35=0,A35=""),"",SK!W195)</f>
        <v>0</v>
      </c>
      <c r="K35" s="434">
        <f ca="1">IF(OR(C35=0,A35=""),"",SK!X195)</f>
        <v>3</v>
      </c>
      <c r="L35" s="435">
        <f ca="1">IF(OR(C35=0,A35=""),"",SK!Z195)</f>
        <v>3</v>
      </c>
      <c r="M35" s="435">
        <f ca="1">IF(OR(C35=0,A35=""),"",SK!AB195)</f>
        <v>6</v>
      </c>
      <c r="N35" s="699">
        <f>IF(OR(A35="",C35=0),"",SUMPRODUCT(--(Lineups!$AA$4:$AA$41="SP"),--(Lineups!$AC$4:$AC$41=A35))+SUMPRODUCT(--(Lineups!$AA$46:$AA$83="SP"),--(Lineups!$AC$46:$AC$83=A35)))</f>
        <v>0</v>
      </c>
      <c r="O35" s="436">
        <f t="shared" ca="1" si="22"/>
        <v>0.3</v>
      </c>
      <c r="P35" s="437">
        <f ca="1">IF(OR(A35="",C35=0),"",SK!Y195)</f>
        <v>13</v>
      </c>
      <c r="Q35" s="438">
        <f t="shared" ca="1" si="13"/>
        <v>4.333333333333333</v>
      </c>
      <c r="R35" s="439">
        <f ca="1">IF(OR(A35="",F35=0),"",SUM(LU!AJ62,LU!AJ161))</f>
        <v>23</v>
      </c>
      <c r="S35" s="440">
        <f ca="1">IF(OR(A35="",F35=0),"",SUM(LU!AJ85,LU!AJ184))</f>
        <v>46</v>
      </c>
      <c r="T35" s="413">
        <f ca="1">IF(OR(A35="",F35=0),"",SUM(LU!AJ39,LU!AJ138))</f>
        <v>-23</v>
      </c>
      <c r="U35" s="440">
        <f ca="1">IF(OR(A35="",C35=0),"",SUM(LU!AH39,LU!AH138))</f>
        <v>-30</v>
      </c>
      <c r="V35" s="441">
        <f t="shared" ca="1" si="14"/>
        <v>-3</v>
      </c>
      <c r="W35" s="442" t="str">
        <f>IF(OR(A35="",D35=0),"",SUM(LU!W39,LU!W138))</f>
        <v/>
      </c>
      <c r="X35" s="441" t="str">
        <f t="shared" si="15"/>
        <v/>
      </c>
      <c r="Y35" s="442">
        <f ca="1">IF(OR(A35="",E35=0),"",SUM(LU!AC39,LU!AC138))</f>
        <v>7</v>
      </c>
      <c r="Z35" s="441">
        <f t="shared" ca="1" si="16"/>
        <v>1.75</v>
      </c>
      <c r="AA35" s="553">
        <f ca="1">IF(OR(A35="",AND(D35=0, E35=0)),"",SUM(LU!AE39,LU!AE138))</f>
        <v>7</v>
      </c>
      <c r="AB35" s="554">
        <f t="shared" ca="1" si="23"/>
        <v>1.75</v>
      </c>
      <c r="AC35" s="438">
        <f t="shared" ca="1" si="17"/>
        <v>-2.2999999999999998</v>
      </c>
      <c r="AD35" s="443">
        <f ca="1">IF(OR(A35="",F35=0,R$48="-",LU!$W$5=0),"",R35-R$48)</f>
        <v>-11</v>
      </c>
      <c r="AE35" s="444">
        <f ca="1">IF(OR(A35="",F35=0,S$48="-",LU!$W$5=0),"",S35-S$48)</f>
        <v>-9.6666666666666643</v>
      </c>
      <c r="AF35" s="445">
        <f t="shared" ca="1" si="18"/>
        <v>-1.3333333333333357</v>
      </c>
      <c r="AG35" s="446">
        <f t="shared" ca="1" si="19"/>
        <v>-2.8857142857142857</v>
      </c>
      <c r="AH35" s="446" t="str">
        <f t="shared" si="20"/>
        <v/>
      </c>
      <c r="AI35" s="447">
        <f t="shared" ca="1" si="21"/>
        <v>3.8565669515669518</v>
      </c>
      <c r="AJ35" s="557">
        <f t="shared" ca="1" si="24"/>
        <v>4.3700562303193884</v>
      </c>
      <c r="AK35" s="448">
        <f ca="1">IF(OR($A35="",AC35="",AC$48="-",LU!$W$5=0),"",AC35-AC$48)</f>
        <v>0.58709326735642531</v>
      </c>
      <c r="AL35" s="1060">
        <f>IF(OR(A35="",F35=0),"",SUM(PT!U70,PT!U71))</f>
        <v>0</v>
      </c>
      <c r="AM35" s="1061"/>
    </row>
    <row r="36" spans="1:39" s="3" customFormat="1" ht="19.95" customHeight="1" x14ac:dyDescent="0.3">
      <c r="A36" s="104" t="str">
        <f>IF(ISBLANK(IGRF!$I22),"",IGRF!$I22)</f>
        <v>25</v>
      </c>
      <c r="B36" s="76" t="str">
        <f>IF(ISBLANK(IGRF!$J22),"",IGRF!$J22)</f>
        <v>Ally McKill</v>
      </c>
      <c r="C36" s="77">
        <f>IF(A36="","",SUM(LU!AH17,LU!AH116))</f>
        <v>1</v>
      </c>
      <c r="D36" s="77">
        <f>IF(A36="","",SUM(LU!W17,LU!W116))</f>
        <v>3</v>
      </c>
      <c r="E36" s="78">
        <f>IF(A36="","",SUM(LU!AC17,LU!AC116))</f>
        <v>16</v>
      </c>
      <c r="F36" s="411">
        <f>IF(A36="","",(SUM(C36:E36)-(SUMPRODUCT(--(Lineups!AC$4:AC$41=A36),--(Lineups!AA$4:AA$41="SP"))+SUMPRODUCT(--(Lineups!AG$4:AG$41=A36),--(Lineups!AA$4:AA$41="SP"))+SUMPRODUCT(--(Lineups!AC$46:AC$83=A36),--(Lineups!AA$46:AA$83="SP"))+SUMPRODUCT(--(Lineups!AG$46:AG$83=A36),--(Lineups!AA$46:AA$83="SP")))))</f>
        <v>19</v>
      </c>
      <c r="G36" s="412">
        <f>IF(OR(A36="",F36=0,LU!D$3+LU!D$102=0),"",F36/(LU!D$3+LU!D$102))</f>
        <v>0.52777777777777779</v>
      </c>
      <c r="H36" s="413">
        <f ca="1">IF(OR(C36=0,A36=""),"",SK!T198)</f>
        <v>0</v>
      </c>
      <c r="I36" s="414">
        <f ca="1">IF(OR(A36="",SK!U198="",SK!U198=0),"",H36/SK!U198)</f>
        <v>0</v>
      </c>
      <c r="J36" s="433">
        <f ca="1">IF(OR(C36=0,A36=""),"",SK!W198)</f>
        <v>0</v>
      </c>
      <c r="K36" s="434">
        <f ca="1">IF(OR(C36=0,A36=""),"",SK!X198)</f>
        <v>0</v>
      </c>
      <c r="L36" s="435">
        <f ca="1">IF(OR(C36=0,A36=""),"",SK!Z198)</f>
        <v>0</v>
      </c>
      <c r="M36" s="435">
        <f ca="1">IF(OR(C36=0,A36=""),"",SK!AB198)</f>
        <v>0</v>
      </c>
      <c r="N36" s="699">
        <f>IF(OR(A36="",C36=0),"",SUMPRODUCT(--(Lineups!$AA$4:$AA$41="SP"),--(Lineups!$AC$4:$AC$41=A36))+SUMPRODUCT(--(Lineups!$AA$46:$AA$83="SP"),--(Lineups!$AC$46:$AC$83=A36)))</f>
        <v>1</v>
      </c>
      <c r="O36" s="436" t="str">
        <f t="shared" si="22"/>
        <v/>
      </c>
      <c r="P36" s="437">
        <f ca="1">IF(OR(A36="",C36=0),"",SK!Y198)</f>
        <v>0</v>
      </c>
      <c r="Q36" s="438" t="str">
        <f t="shared" ca="1" si="13"/>
        <v/>
      </c>
      <c r="R36" s="439">
        <f ca="1">IF(OR(A36="",F36=0),"",SUM(LU!AJ63,LU!AJ162))</f>
        <v>48</v>
      </c>
      <c r="S36" s="440">
        <f ca="1">IF(OR(A36="",F36=0),"",SUM(LU!AJ86,LU!AJ185))</f>
        <v>108</v>
      </c>
      <c r="T36" s="413">
        <f ca="1">IF(OR(A36="",F36=0),"",SUM(LU!AJ40,LU!AJ139))</f>
        <v>-60</v>
      </c>
      <c r="U36" s="440">
        <f ca="1">IF(OR(A36="",C36=0),"",SUM(LU!AH40,LU!AH139))</f>
        <v>0</v>
      </c>
      <c r="V36" s="441">
        <f t="shared" ca="1" si="14"/>
        <v>0</v>
      </c>
      <c r="W36" s="442">
        <f ca="1">IF(OR(A36="",D36=0),"",SUM(LU!W40,LU!W139))</f>
        <v>0</v>
      </c>
      <c r="X36" s="441">
        <f t="shared" ca="1" si="15"/>
        <v>0</v>
      </c>
      <c r="Y36" s="442">
        <f ca="1">IF(OR(A36="",E36=0),"",SUM(LU!AC40,LU!AC139))</f>
        <v>-60</v>
      </c>
      <c r="Z36" s="441">
        <f t="shared" ca="1" si="16"/>
        <v>-3.75</v>
      </c>
      <c r="AA36" s="553">
        <f ca="1">IF(OR(A36="",AND(D36=0, E36=0)),"",SUM(LU!AE40,LU!AE139))</f>
        <v>-60</v>
      </c>
      <c r="AB36" s="554">
        <f t="shared" ca="1" si="23"/>
        <v>-3.1578947368421053</v>
      </c>
      <c r="AC36" s="438">
        <f t="shared" ca="1" si="17"/>
        <v>-3.1578947368421053</v>
      </c>
      <c r="AD36" s="443">
        <f ca="1">IF(OR(A36="",F36=0,R$48="-",LU!$W$5=0),"",R36-R$48)</f>
        <v>14</v>
      </c>
      <c r="AE36" s="444">
        <f ca="1">IF(OR(A36="",F36=0,S$48="-",LU!$W$5=0),"",S36-S$48)</f>
        <v>52.333333333333336</v>
      </c>
      <c r="AF36" s="445">
        <f t="shared" ca="1" si="18"/>
        <v>-38.333333333333336</v>
      </c>
      <c r="AG36" s="446">
        <f t="shared" ca="1" si="19"/>
        <v>0.11428571428571427</v>
      </c>
      <c r="AH36" s="446">
        <f t="shared" ca="1" si="20"/>
        <v>3.9269230769230767</v>
      </c>
      <c r="AI36" s="447">
        <f t="shared" ca="1" si="21"/>
        <v>-1.6434330484330482</v>
      </c>
      <c r="AJ36" s="557">
        <f t="shared" ca="1" si="24"/>
        <v>-0.53783850652271736</v>
      </c>
      <c r="AK36" s="448">
        <f ca="1">IF(OR($A36="",AC36="",AC$48="-",LU!$W$5=0),"",AC36-AC$48)</f>
        <v>-0.27080146948568018</v>
      </c>
      <c r="AL36" s="1060">
        <f>IF(OR(A36="",F36=0),"",SUM(PT!U72,PT!U73))</f>
        <v>2</v>
      </c>
      <c r="AM36" s="1061"/>
    </row>
    <row r="37" spans="1:39" s="3" customFormat="1" ht="19.95" customHeight="1" x14ac:dyDescent="0.3">
      <c r="A37" s="104" t="str">
        <f>IF(ISBLANK(IGRF!$I23),"",IGRF!$I23)</f>
        <v>26</v>
      </c>
      <c r="B37" s="76" t="str">
        <f>IF(ISBLANK(IGRF!$J23),"",IGRF!$J23)</f>
        <v>Strange</v>
      </c>
      <c r="C37" s="77">
        <f>IF(A37="","",SUM(LU!AH18,LU!AH117))</f>
        <v>0</v>
      </c>
      <c r="D37" s="77">
        <f>IF(A37="","",SUM(LU!W18,LU!W117))</f>
        <v>0</v>
      </c>
      <c r="E37" s="78">
        <f>IF(A37="","",SUM(LU!AC18,LU!AC117))</f>
        <v>18</v>
      </c>
      <c r="F37" s="411">
        <f>IF(A37="","",(SUM(C37:E37)-(SUMPRODUCT(--(Lineups!AC$4:AC$41=A37),--(Lineups!AA$4:AA$41="SP"))+SUMPRODUCT(--(Lineups!AG$4:AG$41=A37),--(Lineups!AA$4:AA$41="SP"))+SUMPRODUCT(--(Lineups!AC$46:AC$83=A37),--(Lineups!AA$46:AA$83="SP"))+SUMPRODUCT(--(Lineups!AG$46:AG$83=A37),--(Lineups!AA$46:AA$83="SP")))))</f>
        <v>18</v>
      </c>
      <c r="G37" s="412">
        <f>IF(OR(A37="",F37=0,LU!D$3+LU!D$102=0),"",F37/(LU!D$3+LU!D$102))</f>
        <v>0.5</v>
      </c>
      <c r="H37" s="413" t="str">
        <f>IF(OR(C37=0,A37=""),"",SK!T201)</f>
        <v/>
      </c>
      <c r="I37" s="414" t="str">
        <f ca="1">IF(OR(A37="",SK!U201="",SK!U201=0),"",H37/SK!U201)</f>
        <v/>
      </c>
      <c r="J37" s="433" t="str">
        <f>IF(OR(C37=0,A37=""),"",SK!W201)</f>
        <v/>
      </c>
      <c r="K37" s="434" t="str">
        <f>IF(OR(C37=0,A37=""),"",SK!X201)</f>
        <v/>
      </c>
      <c r="L37" s="435" t="str">
        <f>IF(OR(C37=0,A37=""),"",SK!Z201)</f>
        <v/>
      </c>
      <c r="M37" s="435" t="str">
        <f>IF(OR(C37=0,A37=""),"",SK!AB201)</f>
        <v/>
      </c>
      <c r="N37" s="699" t="str">
        <f>IF(OR(A37="",C37=0),"",SUMPRODUCT(--(Lineups!$AA$4:$AA$41="SP"),--(Lineups!$AC$4:$AC$41=A37))+SUMPRODUCT(--(Lineups!$AA$46:$AA$83="SP"),--(Lineups!$AC$46:$AC$83=A37)))</f>
        <v/>
      </c>
      <c r="O37" s="436" t="str">
        <f t="shared" si="22"/>
        <v/>
      </c>
      <c r="P37" s="437" t="str">
        <f>IF(OR(A37="",C37=0),"",SK!Y201)</f>
        <v/>
      </c>
      <c r="Q37" s="438" t="str">
        <f t="shared" si="13"/>
        <v/>
      </c>
      <c r="R37" s="439">
        <f ca="1">IF(OR(A37="",F37=0),"",SUM(LU!AJ64,LU!AJ163))</f>
        <v>48</v>
      </c>
      <c r="S37" s="440">
        <f ca="1">IF(OR(A37="",F37=0),"",SUM(LU!AJ87,LU!AJ186))</f>
        <v>97</v>
      </c>
      <c r="T37" s="413">
        <f ca="1">IF(OR(A37="",F37=0),"",SUM(LU!AJ41,LU!AJ140))</f>
        <v>-49</v>
      </c>
      <c r="U37" s="440" t="str">
        <f>IF(OR(A37="",C37=0),"",SUM(LU!AH41,LU!AH140))</f>
        <v/>
      </c>
      <c r="V37" s="441" t="str">
        <f t="shared" si="14"/>
        <v/>
      </c>
      <c r="W37" s="442" t="str">
        <f>IF(OR(A37="",D37=0),"",SUM(LU!W41,LU!W140))</f>
        <v/>
      </c>
      <c r="X37" s="441" t="str">
        <f t="shared" si="15"/>
        <v/>
      </c>
      <c r="Y37" s="442">
        <f ca="1">IF(OR(A37="",E37=0),"",SUM(LU!AC41,LU!AC140))</f>
        <v>-49</v>
      </c>
      <c r="Z37" s="441">
        <f t="shared" ca="1" si="16"/>
        <v>-2.7222222222222223</v>
      </c>
      <c r="AA37" s="553">
        <f ca="1">IF(OR(A37="",AND(D37=0, E37=0)),"",SUM(LU!AE41,LU!AE140))</f>
        <v>-49</v>
      </c>
      <c r="AB37" s="554">
        <f t="shared" ca="1" si="23"/>
        <v>-2.7222222222222223</v>
      </c>
      <c r="AC37" s="438">
        <f t="shared" ca="1" si="17"/>
        <v>-2.7222222222222223</v>
      </c>
      <c r="AD37" s="443">
        <f ca="1">IF(OR(A37="",F37=0,R$48="-",LU!$W$5=0),"",R37-R$48)</f>
        <v>14</v>
      </c>
      <c r="AE37" s="444">
        <f ca="1">IF(OR(A37="",F37=0,S$48="-",LU!$W$5=0),"",S37-S$48)</f>
        <v>41.333333333333336</v>
      </c>
      <c r="AF37" s="445">
        <f t="shared" ca="1" si="18"/>
        <v>-27.333333333333336</v>
      </c>
      <c r="AG37" s="446" t="str">
        <f t="shared" si="19"/>
        <v/>
      </c>
      <c r="AH37" s="446" t="str">
        <f t="shared" si="20"/>
        <v/>
      </c>
      <c r="AI37" s="447">
        <f t="shared" ca="1" si="21"/>
        <v>-0.61565527065527048</v>
      </c>
      <c r="AJ37" s="557">
        <f t="shared" ca="1" si="24"/>
        <v>-0.10216599190283437</v>
      </c>
      <c r="AK37" s="448">
        <f ca="1">IF(OR($A37="",AC37="",AC$48="-",LU!$W$5=0),"",AC37-AC$48)</f>
        <v>0.16487104513420281</v>
      </c>
      <c r="AL37" s="1060">
        <f>IF(OR(A37="",F37=0),"",SUM(PT!U74,PT!U75))</f>
        <v>1</v>
      </c>
      <c r="AM37" s="1061"/>
    </row>
    <row r="38" spans="1:39" s="3" customFormat="1" ht="19.5" customHeight="1" x14ac:dyDescent="0.3">
      <c r="A38" s="104" t="str">
        <f>IF(ISBLANK(IGRF!$I24),"",IGRF!$I24)</f>
        <v>49</v>
      </c>
      <c r="B38" s="76" t="str">
        <f>IF(ISBLANK(IGRF!$J24),"",IGRF!$J24)</f>
        <v>Gnarly Manson</v>
      </c>
      <c r="C38" s="77">
        <f>IF(A38="","",SUM(LU!AH19,LU!AH118))</f>
        <v>9</v>
      </c>
      <c r="D38" s="77">
        <f>IF(A38="","",SUM(LU!W19,LU!W118))</f>
        <v>0</v>
      </c>
      <c r="E38" s="78">
        <f>IF(A38="","",SUM(LU!AC19,LU!AC118))</f>
        <v>5</v>
      </c>
      <c r="F38" s="411">
        <f>IF(A38="","",(SUM(C38:E38)-(SUMPRODUCT(--(Lineups!AC$4:AC$41=A38),--(Lineups!AA$4:AA$41="SP"))+SUMPRODUCT(--(Lineups!AG$4:AG$41=A38),--(Lineups!AA$4:AA$41="SP"))+SUMPRODUCT(--(Lineups!AC$46:AC$83=A38),--(Lineups!AA$46:AA$83="SP"))+SUMPRODUCT(--(Lineups!AG$46:AG$83=A38),--(Lineups!AA$46:AA$83="SP")))))</f>
        <v>10</v>
      </c>
      <c r="G38" s="412">
        <f>IF(OR(A38="",F38=0,LU!D$3+LU!D$102=0),"",F38/(LU!D$3+LU!D$102))</f>
        <v>0.27777777777777779</v>
      </c>
      <c r="H38" s="413">
        <f ca="1">IF(OR(C38=0,A38=""),"",SK!T204)</f>
        <v>8</v>
      </c>
      <c r="I38" s="414">
        <f ca="1">IF(OR(A38="",SK!U204="",SK!U204=0),"",H38/SK!U204)</f>
        <v>0.88888888888888884</v>
      </c>
      <c r="J38" s="433">
        <f ca="1">IF(OR(C38=0,A38=""),"",SK!W204)</f>
        <v>0</v>
      </c>
      <c r="K38" s="434">
        <f ca="1">IF(OR(C38=0,A38=""),"",SK!X204)</f>
        <v>1</v>
      </c>
      <c r="L38" s="435">
        <f ca="1">IF(OR(C38=0,A38=""),"",SK!Z204)</f>
        <v>1</v>
      </c>
      <c r="M38" s="435">
        <f ca="1">IF(OR(C38=0,A38=""),"",SK!AB204)</f>
        <v>6</v>
      </c>
      <c r="N38" s="699">
        <f>IF(OR(A38="",C38=0),"",SUMPRODUCT(--(Lineups!$AA$4:$AA$41="SP"),--(Lineups!$AC$4:$AC$41=A38))+SUMPRODUCT(--(Lineups!$AA$46:$AA$83="SP"),--(Lineups!$AC$46:$AC$83=A38)))</f>
        <v>0</v>
      </c>
      <c r="O38" s="436">
        <f t="shared" ca="1" si="22"/>
        <v>0.1111111111111111</v>
      </c>
      <c r="P38" s="437">
        <f ca="1">IF(OR(A38="",C38=0),"",SK!Y204)</f>
        <v>4</v>
      </c>
      <c r="Q38" s="438">
        <f t="shared" ca="1" si="13"/>
        <v>4</v>
      </c>
      <c r="R38" s="439">
        <f ca="1">IF(OR(A38="",F38=0),"",SUM(LU!AJ65,LU!AJ164))</f>
        <v>15</v>
      </c>
      <c r="S38" s="440">
        <f ca="1">IF(OR(A38="",F38=0),"",SUM(LU!AJ88,LU!AJ187))</f>
        <v>72</v>
      </c>
      <c r="T38" s="413">
        <f ca="1">IF(OR(A38="",F38=0),"",SUM(LU!AJ42,LU!AJ141))</f>
        <v>-57</v>
      </c>
      <c r="U38" s="440">
        <f ca="1">IF(OR(A38="",C38=0),"",SUM(LU!AH42,LU!AH141))</f>
        <v>-60</v>
      </c>
      <c r="V38" s="441">
        <f t="shared" ca="1" si="14"/>
        <v>-6.666666666666667</v>
      </c>
      <c r="W38" s="442" t="str">
        <f>IF(OR(A38="",D38=0),"",SUM(LU!W42,LU!W141))</f>
        <v/>
      </c>
      <c r="X38" s="441" t="str">
        <f t="shared" si="15"/>
        <v/>
      </c>
      <c r="Y38" s="442">
        <f ca="1">IF(OR(A38="",E38=0),"",SUM(LU!AC42,LU!AC141))</f>
        <v>3</v>
      </c>
      <c r="Z38" s="441">
        <f t="shared" ca="1" si="16"/>
        <v>0.6</v>
      </c>
      <c r="AA38" s="553">
        <f ca="1">IF(OR(A38="",AND(D38=0, E38=0)),"",SUM(LU!AE42,LU!AE141))</f>
        <v>3</v>
      </c>
      <c r="AB38" s="554">
        <f t="shared" ca="1" si="23"/>
        <v>0.6</v>
      </c>
      <c r="AC38" s="438">
        <f t="shared" ca="1" si="17"/>
        <v>-5.7</v>
      </c>
      <c r="AD38" s="443">
        <f ca="1">IF(OR(A38="",F38=0,R$48="-",LU!$W$5=0),"",R38-R$48)</f>
        <v>-19</v>
      </c>
      <c r="AE38" s="444">
        <f ca="1">IF(OR(A38="",F38=0,S$48="-",LU!$W$5=0),"",S38-S$48)</f>
        <v>16.333333333333336</v>
      </c>
      <c r="AF38" s="445">
        <f t="shared" ca="1" si="18"/>
        <v>-35.333333333333336</v>
      </c>
      <c r="AG38" s="446">
        <f t="shared" ca="1" si="19"/>
        <v>-6.5523809523809531</v>
      </c>
      <c r="AH38" s="446" t="str">
        <f t="shared" si="20"/>
        <v/>
      </c>
      <c r="AI38" s="447">
        <f t="shared" ca="1" si="21"/>
        <v>2.7065669515669519</v>
      </c>
      <c r="AJ38" s="557">
        <f t="shared" ca="1" si="24"/>
        <v>3.220056230319388</v>
      </c>
      <c r="AK38" s="448">
        <f ca="1">IF(OR($A38="",AC38="",AC$48="-",LU!$W$5=0),"",AC38-AC$48)</f>
        <v>-2.812906732643575</v>
      </c>
      <c r="AL38" s="1060">
        <f>IF(OR(A38="",F38=0),"",SUM(PT!U76,PT!U77))</f>
        <v>2</v>
      </c>
      <c r="AM38" s="1061"/>
    </row>
    <row r="39" spans="1:39" s="3" customFormat="1" ht="19.95" customHeight="1" x14ac:dyDescent="0.3">
      <c r="A39" s="104" t="str">
        <f>IF(ISBLANK(IGRF!$I25),"",IGRF!$I25)</f>
        <v>78</v>
      </c>
      <c r="B39" s="76" t="str">
        <f>IF(ISBLANK(IGRF!$J25),"",IGRF!$J25)</f>
        <v>Debbie Scary</v>
      </c>
      <c r="C39" s="77">
        <f>IF(A39="","",SUM(LU!AH20,LU!AH119))</f>
        <v>0</v>
      </c>
      <c r="D39" s="77">
        <f>IF(A39="","",SUM(LU!W20,LU!W119))</f>
        <v>0</v>
      </c>
      <c r="E39" s="78">
        <f>IF(A39="","",SUM(LU!AC20,LU!AC119))</f>
        <v>1</v>
      </c>
      <c r="F39" s="411">
        <f>IF(A39="","",(SUM(C39:E39)-(SUMPRODUCT(--(Lineups!AC$4:AC$41=A39),--(Lineups!AA$4:AA$41="SP"))+SUMPRODUCT(--(Lineups!AG$4:AG$41=A39),--(Lineups!AA$4:AA$41="SP"))+SUMPRODUCT(--(Lineups!AC$46:AC$83=A39),--(Lineups!AA$46:AA$83="SP"))+SUMPRODUCT(--(Lineups!AG$46:AG$83=A39),--(Lineups!AA$46:AA$83="SP")))))</f>
        <v>1</v>
      </c>
      <c r="G39" s="412">
        <f>IF(OR(A39="",F39=0,LU!D$3+LU!D$102=0),"",F39/(LU!D$3+LU!D$102))</f>
        <v>2.7777777777777776E-2</v>
      </c>
      <c r="H39" s="413" t="str">
        <f>IF(OR(C39=0,A39=""),"",SK!T207)</f>
        <v/>
      </c>
      <c r="I39" s="414" t="str">
        <f ca="1">IF(OR(A39="",SK!U207="",SK!U207=0),"",H39/SK!U207)</f>
        <v/>
      </c>
      <c r="J39" s="433" t="str">
        <f>IF(OR(C39=0,A39=""),"",SK!W207)</f>
        <v/>
      </c>
      <c r="K39" s="434" t="str">
        <f>IF(OR(C39=0,A39=""),"",SK!X207)</f>
        <v/>
      </c>
      <c r="L39" s="435" t="str">
        <f>IF(OR(C39=0,A39=""),"",SK!Z207)</f>
        <v/>
      </c>
      <c r="M39" s="435" t="str">
        <f>IF(OR(C39=0,A39=""),"",SK!AB207)</f>
        <v/>
      </c>
      <c r="N39" s="699" t="str">
        <f>IF(OR(A39="",C39=0),"",SUMPRODUCT(--(Lineups!$AA$4:$AA$41="SP"),--(Lineups!$AC$4:$AC$41=A39))+SUMPRODUCT(--(Lineups!$AA$46:$AA$83="SP"),--(Lineups!$AC$46:$AC$83=A39)))</f>
        <v/>
      </c>
      <c r="O39" s="436" t="str">
        <f t="shared" si="22"/>
        <v/>
      </c>
      <c r="P39" s="437" t="str">
        <f>IF(OR(A39="",C39=0),"",SK!Y207)</f>
        <v/>
      </c>
      <c r="Q39" s="438" t="str">
        <f t="shared" si="13"/>
        <v/>
      </c>
      <c r="R39" s="439">
        <f ca="1">IF(OR(A39="",F39=0),"",SUM(LU!AJ66,LU!AJ165))</f>
        <v>0</v>
      </c>
      <c r="S39" s="440">
        <f ca="1">IF(OR(A39="",F39=0),"",SUM(LU!AJ89,LU!AJ188))</f>
        <v>17</v>
      </c>
      <c r="T39" s="413">
        <f ca="1">IF(OR(A39="",F39=0),"",SUM(LU!AJ43,LU!AJ142))</f>
        <v>-17</v>
      </c>
      <c r="U39" s="440" t="str">
        <f>IF(OR(A39="",C39=0),"",SUM(LU!AH43,LU!AH142))</f>
        <v/>
      </c>
      <c r="V39" s="441" t="str">
        <f t="shared" si="14"/>
        <v/>
      </c>
      <c r="W39" s="442" t="str">
        <f>IF(OR(A39="",D39=0),"",SUM(LU!W43,LU!W142))</f>
        <v/>
      </c>
      <c r="X39" s="441" t="str">
        <f t="shared" si="15"/>
        <v/>
      </c>
      <c r="Y39" s="442">
        <f ca="1">IF(OR(A39="",E39=0),"",SUM(LU!AC43,LU!AC142))</f>
        <v>-17</v>
      </c>
      <c r="Z39" s="441">
        <f t="shared" ca="1" si="16"/>
        <v>-17</v>
      </c>
      <c r="AA39" s="553">
        <f ca="1">IF(OR(A39="",AND(D39=0, E39=0)),"",SUM(LU!AE43,LU!AE142))</f>
        <v>-17</v>
      </c>
      <c r="AB39" s="554">
        <f t="shared" ca="1" si="23"/>
        <v>-17</v>
      </c>
      <c r="AC39" s="438">
        <f t="shared" ca="1" si="17"/>
        <v>-17</v>
      </c>
      <c r="AD39" s="443">
        <f ca="1">IF(OR(A39="",F39=0,R$48="-",LU!$W$5=0),"",R39-R$48)</f>
        <v>-34</v>
      </c>
      <c r="AE39" s="444">
        <f ca="1">IF(OR(A39="",F39=0,S$48="-",LU!$W$5=0),"",S39-S$48)</f>
        <v>-38.666666666666664</v>
      </c>
      <c r="AF39" s="445">
        <f t="shared" ca="1" si="18"/>
        <v>4.6666666666666643</v>
      </c>
      <c r="AG39" s="446" t="str">
        <f t="shared" si="19"/>
        <v/>
      </c>
      <c r="AH39" s="446" t="str">
        <f t="shared" si="20"/>
        <v/>
      </c>
      <c r="AI39" s="447">
        <f t="shared" ca="1" si="21"/>
        <v>-14.893433048433048</v>
      </c>
      <c r="AJ39" s="557">
        <f t="shared" ca="1" si="24"/>
        <v>-14.379943769680612</v>
      </c>
      <c r="AK39" s="448">
        <f ca="1">IF(OR($A39="",AC39="",AC$48="-",LU!$W$5=0),"",AC39-AC$48)</f>
        <v>-14.112906732643575</v>
      </c>
      <c r="AL39" s="1060">
        <f>IF(OR(A39="",F39=0),"",SUM(PT!U78,PT!U79))</f>
        <v>0</v>
      </c>
      <c r="AM39" s="1061"/>
    </row>
    <row r="40" spans="1:39" s="3" customFormat="1" ht="19.95" customHeight="1" x14ac:dyDescent="0.3">
      <c r="A40" s="104" t="str">
        <f>IF(ISBLANK(IGRF!$I26),"",IGRF!$I26)</f>
        <v>8*</v>
      </c>
      <c r="B40" s="76" t="str">
        <f>IF(ISBLANK(IGRF!$J26),"",IGRF!$J26)</f>
        <v>Venus Thigh Trap</v>
      </c>
      <c r="C40" s="77">
        <f>IF(A40="","",SUM(LU!AH21,LU!AH120))</f>
        <v>0</v>
      </c>
      <c r="D40" s="77">
        <f>IF(A40="","",SUM(LU!W21,LU!W120))</f>
        <v>0</v>
      </c>
      <c r="E40" s="78">
        <f>IF(A40="","",SUM(LU!AC21,LU!AC120))</f>
        <v>0</v>
      </c>
      <c r="F40" s="411">
        <f>IF(A40="","",(SUM(C40:E40)-(SUMPRODUCT(--(Lineups!AC$4:AC$41=A40),--(Lineups!AA$4:AA$41="SP"))+SUMPRODUCT(--(Lineups!AG$4:AG$41=A40),--(Lineups!AA$4:AA$41="SP"))+SUMPRODUCT(--(Lineups!AC$46:AC$83=A40),--(Lineups!AA$46:AA$83="SP"))+SUMPRODUCT(--(Lineups!AG$46:AG$83=A40),--(Lineups!AA$46:AA$83="SP")))))</f>
        <v>0</v>
      </c>
      <c r="G40" s="412" t="str">
        <f>IF(OR(A40="",F40=0,LU!D$3+LU!D$102=0),"",F40/(LU!D$3+LU!D$102))</f>
        <v/>
      </c>
      <c r="H40" s="413" t="str">
        <f>IF(OR(C40=0,A40=""),"",SK!T210)</f>
        <v/>
      </c>
      <c r="I40" s="414" t="str">
        <f ca="1">IF(OR(A40="",SK!U210="",SK!U210=0),"",H40/SK!U210)</f>
        <v/>
      </c>
      <c r="J40" s="433" t="str">
        <f>IF(OR(C40=0,A40=""),"",SK!W210)</f>
        <v/>
      </c>
      <c r="K40" s="434" t="str">
        <f>IF(OR(C40=0,A40=""),"",SK!X210)</f>
        <v/>
      </c>
      <c r="L40" s="435" t="str">
        <f>IF(OR(C40=0,A40=""),"",SK!Z210)</f>
        <v/>
      </c>
      <c r="M40" s="435" t="str">
        <f>IF(OR(C40=0,A40=""),"",SK!AB210)</f>
        <v/>
      </c>
      <c r="N40" s="699" t="str">
        <f>IF(OR(A40="",C40=0),"",SUMPRODUCT(--(Lineups!$AA$4:$AA$41="SP"),--(Lineups!$AC$4:$AC$41=A40))+SUMPRODUCT(--(Lineups!$AA$46:$AA$83="SP"),--(Lineups!$AC$46:$AC$83=A40)))</f>
        <v/>
      </c>
      <c r="O40" s="436" t="str">
        <f t="shared" si="22"/>
        <v/>
      </c>
      <c r="P40" s="437" t="str">
        <f>IF(OR(A40="",C40=0),"",SK!Y210)</f>
        <v/>
      </c>
      <c r="Q40" s="438" t="str">
        <f t="shared" si="13"/>
        <v/>
      </c>
      <c r="R40" s="439" t="str">
        <f>IF(OR(A40="",F40=0),"",SUM(LU!AJ67,LU!AJ166))</f>
        <v/>
      </c>
      <c r="S40" s="440" t="str">
        <f>IF(OR(A40="",F40=0),"",SUM(LU!AJ90,LU!AJ189))</f>
        <v/>
      </c>
      <c r="T40" s="413" t="str">
        <f>IF(OR(A40="",F40=0),"",SUM(LU!AJ44,LU!AJ143))</f>
        <v/>
      </c>
      <c r="U40" s="440" t="str">
        <f>IF(OR(A40="",C40=0),"",SUM(LU!AH44,LU!AH143))</f>
        <v/>
      </c>
      <c r="V40" s="441" t="str">
        <f t="shared" si="14"/>
        <v/>
      </c>
      <c r="W40" s="442" t="str">
        <f>IF(OR(A40="",D40=0),"",SUM(LU!W44,LU!W143))</f>
        <v/>
      </c>
      <c r="X40" s="441" t="str">
        <f t="shared" si="15"/>
        <v/>
      </c>
      <c r="Y40" s="442" t="str">
        <f>IF(OR(A40="",E40=0),"",SUM(LU!AC44,LU!AC143))</f>
        <v/>
      </c>
      <c r="Z40" s="441" t="str">
        <f t="shared" si="16"/>
        <v/>
      </c>
      <c r="AA40" s="553" t="str">
        <f>IF(OR(A40="",AND(D40=0, E40=0)),"",SUM(LU!AE44,LU!AE143))</f>
        <v/>
      </c>
      <c r="AB40" s="554" t="str">
        <f t="shared" si="23"/>
        <v/>
      </c>
      <c r="AC40" s="438" t="str">
        <f t="shared" si="17"/>
        <v/>
      </c>
      <c r="AD40" s="443" t="str">
        <f ca="1">IF(OR(A40="",F40=0,R$48="-",LU!$W$5=0),"",R40-R$48)</f>
        <v/>
      </c>
      <c r="AE40" s="444" t="str">
        <f ca="1">IF(OR(A40="",F40=0,S$48="-",LU!$W$5=0),"",S40-S$48)</f>
        <v/>
      </c>
      <c r="AF40" s="445" t="str">
        <f t="shared" ca="1" si="18"/>
        <v/>
      </c>
      <c r="AG40" s="446" t="str">
        <f t="shared" si="19"/>
        <v/>
      </c>
      <c r="AH40" s="446" t="str">
        <f t="shared" si="20"/>
        <v/>
      </c>
      <c r="AI40" s="447" t="str">
        <f t="shared" si="21"/>
        <v/>
      </c>
      <c r="AJ40" s="557" t="str">
        <f t="shared" si="24"/>
        <v/>
      </c>
      <c r="AK40" s="448" t="str">
        <f ca="1">IF(OR($A40="",AC40="",AC$48="-",LU!$W$5=0),"",AC40-AC$48)</f>
        <v/>
      </c>
      <c r="AL40" s="1060" t="str">
        <f>IF(OR(A40="",F40=0),"",SUM(PT!U80,PT!U81))</f>
        <v/>
      </c>
      <c r="AM40" s="1061"/>
    </row>
    <row r="41" spans="1:39" s="3" customFormat="1" ht="19.95" customHeight="1" x14ac:dyDescent="0.3">
      <c r="A41" s="104" t="str">
        <f>IF(ISBLANK(IGRF!$I27),"",IGRF!$I27)</f>
        <v>800</v>
      </c>
      <c r="B41" s="76" t="str">
        <f>IF(ISBLANK(IGRF!$J27),"",IGRF!$J27)</f>
        <v>Terminate Her</v>
      </c>
      <c r="C41" s="77">
        <f>IF(A41="","",SUM(LU!AH22,LU!AH121))</f>
        <v>2</v>
      </c>
      <c r="D41" s="77">
        <f>IF(A41="","",SUM(LU!W22,LU!W121))</f>
        <v>10</v>
      </c>
      <c r="E41" s="78">
        <f>IF(A41="","",SUM(LU!AC22,LU!AC121))</f>
        <v>8</v>
      </c>
      <c r="F41" s="411">
        <f>IF(A41="","",(SUM(C41:E41)-(SUMPRODUCT(--(Lineups!AC$4:AC$41=A41),--(Lineups!AA$4:AA$41="SP"))+SUMPRODUCT(--(Lineups!AG$4:AG$41=A41),--(Lineups!AA$4:AA$41="SP"))+SUMPRODUCT(--(Lineups!AC$46:AC$83=A41),--(Lineups!AA$46:AA$83="SP"))+SUMPRODUCT(--(Lineups!AG$46:AG$83=A41),--(Lineups!AA$46:AA$83="SP")))))</f>
        <v>18</v>
      </c>
      <c r="G41" s="412">
        <f>IF(OR(A41="",F41=0,LU!D$3+LU!D$102=0),"",F41/(LU!D$3+LU!D$102))</f>
        <v>0.5</v>
      </c>
      <c r="H41" s="413">
        <f ca="1">IF(OR(C41=0,A41=""),"",SK!T213)</f>
        <v>4</v>
      </c>
      <c r="I41" s="414">
        <f ca="1">IF(OR(A41="",SK!U213="",SK!U213=0),"",H41/SK!U213)</f>
        <v>2</v>
      </c>
      <c r="J41" s="433">
        <f ca="1">IF(OR(C41=0,A41=""),"",SK!W213)</f>
        <v>0</v>
      </c>
      <c r="K41" s="434">
        <f ca="1">IF(OR(C41=0,A41=""),"",SK!X213)</f>
        <v>0</v>
      </c>
      <c r="L41" s="435">
        <f ca="1">IF(OR(C41=0,A41=""),"",SK!Z213)</f>
        <v>0</v>
      </c>
      <c r="M41" s="435">
        <f ca="1">IF(OR(C41=0,A41=""),"",SK!AB213)</f>
        <v>1</v>
      </c>
      <c r="N41" s="699">
        <f>IF(OR(A41="",C41=0),"",SUMPRODUCT(--(Lineups!$AA$4:$AA$41="SP"),--(Lineups!$AC$4:$AC$41=A41))+SUMPRODUCT(--(Lineups!$AA$46:$AA$83="SP"),--(Lineups!$AC$46:$AC$83=A41)))</f>
        <v>2</v>
      </c>
      <c r="O41" s="436" t="str">
        <f t="shared" si="22"/>
        <v/>
      </c>
      <c r="P41" s="437">
        <f ca="1">IF(OR(A41="",C41=0),"",SK!Y213)</f>
        <v>0</v>
      </c>
      <c r="Q41" s="438" t="str">
        <f t="shared" ca="1" si="13"/>
        <v/>
      </c>
      <c r="R41" s="439">
        <f ca="1">IF(OR(A41="",F41=0),"",SUM(LU!AJ68,LU!AJ167))</f>
        <v>54</v>
      </c>
      <c r="S41" s="440">
        <f ca="1">IF(OR(A41="",F41=0),"",SUM(LU!AJ91,LU!AJ190))</f>
        <v>70</v>
      </c>
      <c r="T41" s="413">
        <f ca="1">IF(OR(A41="",F41=0),"",SUM(LU!AJ45,LU!AJ144))</f>
        <v>-16</v>
      </c>
      <c r="U41" s="440">
        <f ca="1">IF(OR(A41="",C41=0),"",SUM(LU!AH45,LU!AH144))</f>
        <v>4</v>
      </c>
      <c r="V41" s="441">
        <f t="shared" ca="1" si="14"/>
        <v>2</v>
      </c>
      <c r="W41" s="442">
        <f ca="1">IF(OR(A41="",D41=0),"",SUM(LU!W45,LU!W144))</f>
        <v>-31</v>
      </c>
      <c r="X41" s="441">
        <f t="shared" ca="1" si="15"/>
        <v>-3.1</v>
      </c>
      <c r="Y41" s="442">
        <f ca="1">IF(OR(A41="",E41=0),"",SUM(LU!AC45,LU!AC144))</f>
        <v>11</v>
      </c>
      <c r="Z41" s="441">
        <f t="shared" ca="1" si="16"/>
        <v>1.375</v>
      </c>
      <c r="AA41" s="553">
        <f ca="1">IF(OR(A41="",AND(D41=0, E41=0)),"",SUM(LU!AE45,LU!AE144))</f>
        <v>-20</v>
      </c>
      <c r="AB41" s="554">
        <f t="shared" ca="1" si="23"/>
        <v>-1.1111111111111112</v>
      </c>
      <c r="AC41" s="438">
        <f t="shared" ca="1" si="17"/>
        <v>-0.88888888888888884</v>
      </c>
      <c r="AD41" s="443">
        <f ca="1">IF(OR(A41="",F41=0,R$48="-",LU!$W$5=0),"",R41-R$48)</f>
        <v>20</v>
      </c>
      <c r="AE41" s="444">
        <f ca="1">IF(OR(A41="",F41=0,S$48="-",LU!$W$5=0),"",S41-S$48)</f>
        <v>14.333333333333336</v>
      </c>
      <c r="AF41" s="445">
        <f t="shared" ca="1" si="18"/>
        <v>5.6666666666666643</v>
      </c>
      <c r="AG41" s="446">
        <f t="shared" ca="1" si="19"/>
        <v>2.1142857142857143</v>
      </c>
      <c r="AH41" s="446">
        <f t="shared" ca="1" si="20"/>
        <v>0.82692307692307665</v>
      </c>
      <c r="AI41" s="447">
        <f t="shared" ca="1" si="21"/>
        <v>3.4815669515669518</v>
      </c>
      <c r="AJ41" s="557">
        <f t="shared" ca="1" si="24"/>
        <v>1.5089451192082768</v>
      </c>
      <c r="AK41" s="448">
        <f ca="1">IF(OR($A41="",AC41="",AC$48="-",LU!$W$5=0),"",AC41-AC$48)</f>
        <v>1.9982043784675363</v>
      </c>
      <c r="AL41" s="1060">
        <f>IF(OR(A41="",F41=0),"",SUM(PT!U82,PT!U83))</f>
        <v>0</v>
      </c>
      <c r="AM41" s="1061"/>
    </row>
    <row r="42" spans="1:39" s="3" customFormat="1" ht="19.5" customHeight="1" x14ac:dyDescent="0.3">
      <c r="A42" s="104" t="str">
        <f>IF(ISBLANK(IGRF!$I28),"",IGRF!$I28)</f>
        <v>88*</v>
      </c>
      <c r="B42" s="76" t="str">
        <f>IF(ISBLANK(IGRF!$J28),"",IGRF!$J28)</f>
        <v>Flux</v>
      </c>
      <c r="C42" s="77">
        <f>IF(A42="","",SUM(LU!AH23,LU!AH122))</f>
        <v>0</v>
      </c>
      <c r="D42" s="77">
        <f>IF(A42="","",SUM(LU!W23,LU!W122))</f>
        <v>0</v>
      </c>
      <c r="E42" s="78">
        <f>IF(A42="","",SUM(LU!AC23,LU!AC122))</f>
        <v>0</v>
      </c>
      <c r="F42" s="411">
        <f>IF(A42="","",(SUM(C42:E42)-(SUMPRODUCT(--(Lineups!AC$4:AC$41=A42),--(Lineups!AA$4:AA$41="SP"))+SUMPRODUCT(--(Lineups!AG$4:AG$41=A42),--(Lineups!AA$4:AA$41="SP"))+SUMPRODUCT(--(Lineups!AC$46:AC$83=A42),--(Lineups!AA$46:AA$83="SP"))+SUMPRODUCT(--(Lineups!AG$46:AG$83=A42),--(Lineups!AA$46:AA$83="SP")))))</f>
        <v>0</v>
      </c>
      <c r="G42" s="412" t="str">
        <f>IF(OR(A42="",F42=0,LU!D$3+LU!D$102=0),"",F42/(LU!D$3+LU!D$102))</f>
        <v/>
      </c>
      <c r="H42" s="413" t="str">
        <f>IF(OR(C42=0,A42=""),"",SK!T216)</f>
        <v/>
      </c>
      <c r="I42" s="414" t="str">
        <f ca="1">IF(OR(A42="",SK!U216="",SK!U216=0),"",H42/SK!U216)</f>
        <v/>
      </c>
      <c r="J42" s="433" t="str">
        <f>IF(OR(C42=0,A42=""),"",SK!W216)</f>
        <v/>
      </c>
      <c r="K42" s="434" t="str">
        <f>IF(OR(C42=0,A42=""),"",SK!X216)</f>
        <v/>
      </c>
      <c r="L42" s="435" t="str">
        <f>IF(OR(C42=0,A42=""),"",SK!Z216)</f>
        <v/>
      </c>
      <c r="M42" s="435" t="str">
        <f>IF(OR(C42=0,A42=""),"",SK!AB216)</f>
        <v/>
      </c>
      <c r="N42" s="699" t="str">
        <f>IF(OR(A42="",C42=0),"",SUMPRODUCT(--(Lineups!$AA$4:$AA$41="SP"),--(Lineups!$AC$4:$AC$41=A42))+SUMPRODUCT(--(Lineups!$AA$46:$AA$83="SP"),--(Lineups!$AC$46:$AC$83=A42)))</f>
        <v/>
      </c>
      <c r="O42" s="436" t="str">
        <f t="shared" si="22"/>
        <v/>
      </c>
      <c r="P42" s="437" t="str">
        <f>IF(OR(A42="",C42=0),"",SK!Y216)</f>
        <v/>
      </c>
      <c r="Q42" s="438" t="str">
        <f t="shared" si="13"/>
        <v/>
      </c>
      <c r="R42" s="439" t="str">
        <f>IF(OR(A42="",F42=0),"",SUM(LU!AJ69,LU!AJ168))</f>
        <v/>
      </c>
      <c r="S42" s="440" t="str">
        <f>IF(OR(A42="",F42=0),"",SUM(LU!AJ92,LU!AJ191))</f>
        <v/>
      </c>
      <c r="T42" s="413" t="str">
        <f>IF(OR(A42="",F42=0),"",SUM(LU!AJ46,LU!AJ145))</f>
        <v/>
      </c>
      <c r="U42" s="440" t="str">
        <f>IF(OR(A42="",C42=0),"",SUM(LU!AH46,LU!AH145))</f>
        <v/>
      </c>
      <c r="V42" s="441" t="str">
        <f t="shared" si="14"/>
        <v/>
      </c>
      <c r="W42" s="442" t="str">
        <f>IF(OR(A42="",D42=0),"",SUM(LU!W46,LU!W145))</f>
        <v/>
      </c>
      <c r="X42" s="441" t="str">
        <f t="shared" si="15"/>
        <v/>
      </c>
      <c r="Y42" s="442" t="str">
        <f>IF(OR(A42="",E42=0),"",SUM(LU!AC46,LU!AC145))</f>
        <v/>
      </c>
      <c r="Z42" s="441" t="str">
        <f t="shared" si="16"/>
        <v/>
      </c>
      <c r="AA42" s="553" t="str">
        <f>IF(OR(A42="",AND(D42=0, E42=0)),"",SUM(LU!AE46,LU!AE145))</f>
        <v/>
      </c>
      <c r="AB42" s="554" t="str">
        <f t="shared" si="23"/>
        <v/>
      </c>
      <c r="AC42" s="438" t="str">
        <f t="shared" si="17"/>
        <v/>
      </c>
      <c r="AD42" s="443" t="str">
        <f ca="1">IF(OR(A42="",F42=0,R$48="-",LU!$W$5=0),"",R42-R$48)</f>
        <v/>
      </c>
      <c r="AE42" s="444" t="str">
        <f ca="1">IF(OR(A42="",F42=0,S$48="-",LU!$W$5=0),"",S42-S$48)</f>
        <v/>
      </c>
      <c r="AF42" s="445" t="str">
        <f t="shared" ca="1" si="18"/>
        <v/>
      </c>
      <c r="AG42" s="446" t="str">
        <f t="shared" si="19"/>
        <v/>
      </c>
      <c r="AH42" s="446" t="str">
        <f t="shared" si="20"/>
        <v/>
      </c>
      <c r="AI42" s="447" t="str">
        <f t="shared" si="21"/>
        <v/>
      </c>
      <c r="AJ42" s="557" t="str">
        <f t="shared" si="24"/>
        <v/>
      </c>
      <c r="AK42" s="448" t="str">
        <f ca="1">IF(OR($A42="",AC42="",AC$48="-",LU!$W$5=0),"",AC42-AC$48)</f>
        <v/>
      </c>
      <c r="AL42" s="1060" t="str">
        <f>IF(OR(A42="",F42=0),"",SUM(PT!U84,PT!U85))</f>
        <v/>
      </c>
      <c r="AM42" s="1061"/>
    </row>
    <row r="43" spans="1:39" s="3" customFormat="1" ht="19.95" customHeight="1" x14ac:dyDescent="0.3">
      <c r="A43" s="104" t="str">
        <f>IF(ISBLANK(IGRF!$I29),"",IGRF!$I29)</f>
        <v>911</v>
      </c>
      <c r="B43" s="76" t="str">
        <f>IF(ISBLANK(IGRF!$J29),"",IGRF!$J29)</f>
        <v>Annie Mergency</v>
      </c>
      <c r="C43" s="77">
        <f>IF(A43="","",SUM(LU!AH24,LU!AH123))</f>
        <v>1</v>
      </c>
      <c r="D43" s="77">
        <f>IF(A43="","",SUM(LU!W24,LU!W123))</f>
        <v>6</v>
      </c>
      <c r="E43" s="78">
        <f>IF(A43="","",SUM(LU!AC24,LU!AC123))</f>
        <v>9</v>
      </c>
      <c r="F43" s="411">
        <f>IF(A43="","",(SUM(C43:E43)-(SUMPRODUCT(--(Lineups!AC$4:AC$41=A43),--(Lineups!AA$4:AA$41="SP"))+SUMPRODUCT(--(Lineups!AG$4:AG$41=A43),--(Lineups!AA$4:AA$41="SP"))+SUMPRODUCT(--(Lineups!AC$46:AC$83=A43),--(Lineups!AA$46:AA$83="SP"))+SUMPRODUCT(--(Lineups!AG$46:AG$83=A43),--(Lineups!AA$46:AA$83="SP")))))</f>
        <v>15</v>
      </c>
      <c r="G43" s="412">
        <f>IF(OR(A43="",F43=0,LU!D$3+LU!D$102=0),"",F43/(LU!D$3+LU!D$102))</f>
        <v>0.41666666666666669</v>
      </c>
      <c r="H43" s="413">
        <f ca="1">IF(OR(C43=0,A43=""),"",SK!T219)</f>
        <v>4</v>
      </c>
      <c r="I43" s="414">
        <f ca="1">IF(OR(A43="",SK!U219="",SK!U219=0),"",H43/SK!U219)</f>
        <v>4</v>
      </c>
      <c r="J43" s="433">
        <f ca="1">IF(OR(C43=0,A43=""),"",SK!W219)</f>
        <v>0</v>
      </c>
      <c r="K43" s="434">
        <f ca="1">IF(OR(C43=0,A43=""),"",SK!X219)</f>
        <v>0</v>
      </c>
      <c r="L43" s="435">
        <f ca="1">IF(OR(C43=0,A43=""),"",SK!Z219)</f>
        <v>0</v>
      </c>
      <c r="M43" s="435">
        <f ca="1">IF(OR(C43=0,A43=""),"",SK!AB219)</f>
        <v>0</v>
      </c>
      <c r="N43" s="699">
        <f>IF(OR(A43="",C43=0),"",SUMPRODUCT(--(Lineups!$AA$4:$AA$41="SP"),--(Lineups!$AC$4:$AC$41=A43))+SUMPRODUCT(--(Lineups!$AA$46:$AA$83="SP"),--(Lineups!$AC$46:$AC$83=A43)))</f>
        <v>1</v>
      </c>
      <c r="O43" s="436" t="str">
        <f t="shared" si="22"/>
        <v/>
      </c>
      <c r="P43" s="437">
        <f ca="1">IF(OR(A43="",C43=0),"",SK!Y219)</f>
        <v>0</v>
      </c>
      <c r="Q43" s="438" t="str">
        <f t="shared" ca="1" si="13"/>
        <v/>
      </c>
      <c r="R43" s="439">
        <f ca="1">IF(OR(A43="",F43=0),"",SUM(LU!AJ70,LU!AJ169))</f>
        <v>56</v>
      </c>
      <c r="S43" s="440">
        <f ca="1">IF(OR(A43="",F43=0),"",SUM(LU!AJ93,LU!AJ192))</f>
        <v>58</v>
      </c>
      <c r="T43" s="413">
        <f ca="1">IF(OR(A43="",F43=0),"",SUM(LU!AJ47,LU!AJ146))</f>
        <v>-2</v>
      </c>
      <c r="U43" s="440">
        <f ca="1">IF(OR(A43="",C43=0),"",SUM(LU!AH47,LU!AH146))</f>
        <v>4</v>
      </c>
      <c r="V43" s="441">
        <f t="shared" ca="1" si="14"/>
        <v>4</v>
      </c>
      <c r="W43" s="442">
        <f ca="1">IF(OR(A43="",D43=0),"",SUM(LU!W47,LU!W146))</f>
        <v>10</v>
      </c>
      <c r="X43" s="441">
        <f t="shared" ca="1" si="15"/>
        <v>1.6666666666666667</v>
      </c>
      <c r="Y43" s="442">
        <f ca="1">IF(OR(A43="",E43=0),"",SUM(LU!AC47,LU!AC146))</f>
        <v>-16</v>
      </c>
      <c r="Z43" s="441">
        <f t="shared" ca="1" si="16"/>
        <v>-1.7777777777777777</v>
      </c>
      <c r="AA43" s="553">
        <f ca="1">IF(OR(A43="",AND(D43=0, E43=0)),"",SUM(LU!AE47,LU!AE146))</f>
        <v>-6</v>
      </c>
      <c r="AB43" s="554">
        <f t="shared" ca="1" si="23"/>
        <v>-0.4</v>
      </c>
      <c r="AC43" s="438">
        <f t="shared" ca="1" si="17"/>
        <v>-0.13333333333333333</v>
      </c>
      <c r="AD43" s="443">
        <f ca="1">IF(OR(A43="",F43=0,R$48="-",LU!$W$5=0),"",R43-R$48)</f>
        <v>22</v>
      </c>
      <c r="AE43" s="444">
        <f ca="1">IF(OR(A43="",F43=0,S$48="-",LU!$W$5=0),"",S43-S$48)</f>
        <v>2.3333333333333357</v>
      </c>
      <c r="AF43" s="445">
        <f t="shared" ca="1" si="18"/>
        <v>19.666666666666664</v>
      </c>
      <c r="AG43" s="446">
        <f t="shared" ca="1" si="19"/>
        <v>4.1142857142857139</v>
      </c>
      <c r="AH43" s="446">
        <f t="shared" ca="1" si="20"/>
        <v>5.5935897435897433</v>
      </c>
      <c r="AI43" s="447">
        <f t="shared" ca="1" si="21"/>
        <v>0.32878917378917416</v>
      </c>
      <c r="AJ43" s="557">
        <f t="shared" ca="1" si="24"/>
        <v>2.220056230319388</v>
      </c>
      <c r="AK43" s="448">
        <f ca="1">IF(OR($A43="",AC43="",AC$48="-",LU!$W$5=0),"",AC43-AC$48)</f>
        <v>2.7537599340230918</v>
      </c>
      <c r="AL43" s="1060">
        <f>IF(OR(A43="",F43=0),"",SUM(PT!U86,PT!U87))</f>
        <v>1</v>
      </c>
      <c r="AM43" s="1061"/>
    </row>
    <row r="44" spans="1:39" s="3" customFormat="1" ht="19.95" customHeight="1" x14ac:dyDescent="0.3">
      <c r="A44" s="104" t="str">
        <f>IF(ISBLANK(IGRF!$I30),"",IGRF!$I30)</f>
        <v>94</v>
      </c>
      <c r="B44" s="76" t="str">
        <f>IF(ISBLANK(IGRF!$J30),"",IGRF!$J30)</f>
        <v>The Kraken</v>
      </c>
      <c r="C44" s="77">
        <f>IF(A44="","",SUM(LU!AH25,LU!AH124))</f>
        <v>0</v>
      </c>
      <c r="D44" s="77">
        <f>IF(A44="","",SUM(LU!W25,LU!W124))</f>
        <v>0</v>
      </c>
      <c r="E44" s="78">
        <f>IF(A44="","",SUM(LU!AC25,LU!AC124))</f>
        <v>4</v>
      </c>
      <c r="F44" s="411">
        <f>IF(A44="","",(SUM(C44:E44)-(SUMPRODUCT(--(Lineups!AC$4:AC$41=A44),--(Lineups!AA$4:AA$41="SP"))+SUMPRODUCT(--(Lineups!AG$4:AG$41=A44),--(Lineups!AA$4:AA$41="SP"))+SUMPRODUCT(--(Lineups!AC$46:AC$83=A44),--(Lineups!AA$46:AA$83="SP"))+SUMPRODUCT(--(Lineups!AG$46:AG$83=A44),--(Lineups!AA$46:AA$83="SP")))))</f>
        <v>4</v>
      </c>
      <c r="G44" s="412">
        <f>IF(OR(A44="",F44=0,LU!D$3+LU!D$102=0),"",F44/(LU!D$3+LU!D$102))</f>
        <v>0.1111111111111111</v>
      </c>
      <c r="H44" s="413" t="str">
        <f>IF(OR(C44=0,A44=""),"",SK!T222)</f>
        <v/>
      </c>
      <c r="I44" s="414" t="str">
        <f ca="1">IF(OR(A44="",SK!U222="",SK!U222=0),"",H44/SK!U222)</f>
        <v/>
      </c>
      <c r="J44" s="433" t="str">
        <f>IF(OR(C44=0,A44=""),"",SK!W222)</f>
        <v/>
      </c>
      <c r="K44" s="434" t="str">
        <f>IF(OR(C44=0,A44=""),"",SK!X222)</f>
        <v/>
      </c>
      <c r="L44" s="435" t="str">
        <f>IF(OR(C44=0,A44=""),"",SK!Z222)</f>
        <v/>
      </c>
      <c r="M44" s="435" t="str">
        <f>IF(OR(C44=0,A44=""),"",SK!AB222)</f>
        <v/>
      </c>
      <c r="N44" s="699" t="str">
        <f>IF(OR(A44="",C44=0),"",SUMPRODUCT(--(Lineups!$AA$4:$AA$41="SP"),--(Lineups!$AC$4:$AC$41=A44))+SUMPRODUCT(--(Lineups!$AA$46:$AA$83="SP"),--(Lineups!$AC$46:$AC$83=A44)))</f>
        <v/>
      </c>
      <c r="O44" s="436" t="str">
        <f t="shared" si="22"/>
        <v/>
      </c>
      <c r="P44" s="437" t="str">
        <f>IF(OR(A44="",C44=0),"",SK!Y222)</f>
        <v/>
      </c>
      <c r="Q44" s="438" t="str">
        <f t="shared" si="13"/>
        <v/>
      </c>
      <c r="R44" s="439">
        <f ca="1">IF(OR(A44="",F44=0),"",SUM(LU!AJ71,LU!AJ170))</f>
        <v>9</v>
      </c>
      <c r="S44" s="440">
        <f ca="1">IF(OR(A44="",F44=0),"",SUM(LU!AJ94,LU!AJ193))</f>
        <v>13</v>
      </c>
      <c r="T44" s="413">
        <f ca="1">IF(OR(A44="",F44=0),"",SUM(LU!AJ48,LU!AJ147))</f>
        <v>-4</v>
      </c>
      <c r="U44" s="440" t="str">
        <f>IF(OR(A44="",C44=0),"",SUM(LU!AH48,LU!AH147))</f>
        <v/>
      </c>
      <c r="V44" s="441" t="str">
        <f t="shared" si="14"/>
        <v/>
      </c>
      <c r="W44" s="442" t="str">
        <f>IF(OR(A44="",D44=0),"",SUM(LU!W48,LU!W147))</f>
        <v/>
      </c>
      <c r="X44" s="441" t="str">
        <f t="shared" si="15"/>
        <v/>
      </c>
      <c r="Y44" s="442">
        <f ca="1">IF(OR(A44="",E44=0),"",SUM(LU!AC48,LU!AC147))</f>
        <v>-4</v>
      </c>
      <c r="Z44" s="441">
        <f t="shared" ca="1" si="16"/>
        <v>-1</v>
      </c>
      <c r="AA44" s="553">
        <f ca="1">IF(OR(A44="",AND(D44=0, E44=0)),"",SUM(LU!AE48,LU!AE147))</f>
        <v>-4</v>
      </c>
      <c r="AB44" s="554">
        <f t="shared" ca="1" si="23"/>
        <v>-1</v>
      </c>
      <c r="AC44" s="438">
        <f t="shared" ca="1" si="17"/>
        <v>-1</v>
      </c>
      <c r="AD44" s="443">
        <f ca="1">IF(OR(A44="",F44=0,R$48="-",LU!$W$5=0),"",R44-R$48)</f>
        <v>-25</v>
      </c>
      <c r="AE44" s="444">
        <f ca="1">IF(OR(A44="",F44=0,S$48="-",LU!$W$5=0),"",S44-S$48)</f>
        <v>-42.666666666666664</v>
      </c>
      <c r="AF44" s="445">
        <f t="shared" ca="1" si="18"/>
        <v>17.666666666666664</v>
      </c>
      <c r="AG44" s="446" t="str">
        <f t="shared" si="19"/>
        <v/>
      </c>
      <c r="AH44" s="446" t="str">
        <f t="shared" si="20"/>
        <v/>
      </c>
      <c r="AI44" s="447">
        <f t="shared" ca="1" si="21"/>
        <v>1.1065669515669518</v>
      </c>
      <c r="AJ44" s="557">
        <f t="shared" ca="1" si="24"/>
        <v>1.6200562303193879</v>
      </c>
      <c r="AK44" s="448">
        <f ca="1">IF(OR($A44="",AC44="",AC$48="-",LU!$W$5=0),"",AC44-AC$48)</f>
        <v>1.8870932673564251</v>
      </c>
      <c r="AL44" s="1060">
        <f>IF(OR(A44="",F44=0),"",SUM(PT!U88,PT!U89))</f>
        <v>2</v>
      </c>
      <c r="AM44" s="1061"/>
    </row>
    <row r="45" spans="1:39" s="3" customFormat="1" ht="19.95" customHeight="1" x14ac:dyDescent="0.3">
      <c r="A45" s="104" t="str">
        <f>IF(ISBLANK(IGRF!$I31),"",IGRF!$I31)</f>
        <v/>
      </c>
      <c r="B45" s="76" t="str">
        <f>IF(ISBLANK(IGRF!$J31),"",IGRF!$J31)</f>
        <v/>
      </c>
      <c r="C45" s="77" t="str">
        <f>IF(A45="","",SUM(LU!AH26,LU!AH125))</f>
        <v/>
      </c>
      <c r="D45" s="77" t="str">
        <f>IF(A45="","",SUM(LU!W26,LU!W125))</f>
        <v/>
      </c>
      <c r="E45" s="78" t="str">
        <f>IF(A45="","",SUM(LU!AC26,LU!AC125))</f>
        <v/>
      </c>
      <c r="F45" s="411" t="str">
        <f>IF(A45="","",(SUM(C45:E45)-(SUMPRODUCT(--(Lineups!AC$4:AC$41=A45),--(Lineups!AA$4:AA$41="SP"))+SUMPRODUCT(--(Lineups!AG$4:AG$41=A45),--(Lineups!AA$4:AA$41="SP"))+SUMPRODUCT(--(Lineups!AC$46:AC$83=A45),--(Lineups!AA$46:AA$83="SP"))+SUMPRODUCT(--(Lineups!AG$46:AG$83=A45),--(Lineups!AA$46:AA$83="SP")))))</f>
        <v/>
      </c>
      <c r="G45" s="412" t="str">
        <f>IF(OR(A45="",F45=0,LU!D$3+LU!D$102=0),"",F45/(LU!D$3+LU!D$102))</f>
        <v/>
      </c>
      <c r="H45" s="413" t="str">
        <f>IF(OR(C45=0,A45=""),"",SK!T225)</f>
        <v/>
      </c>
      <c r="I45" s="414" t="str">
        <f>IF(OR(A45="",SK!U225="",SK!U225=0),"",H45/SK!U225)</f>
        <v/>
      </c>
      <c r="J45" s="433" t="str">
        <f>IF(OR(C45=0,A45=""),"",SK!W225)</f>
        <v/>
      </c>
      <c r="K45" s="434" t="str">
        <f>IF(OR(C45=0,A45=""),"",SK!X225)</f>
        <v/>
      </c>
      <c r="L45" s="435" t="str">
        <f>IF(OR(C45=0,A45=""),"",SK!Z225)</f>
        <v/>
      </c>
      <c r="M45" s="435" t="str">
        <f>IF(OR(C45=0,A45=""),"",SK!AB225)</f>
        <v/>
      </c>
      <c r="N45" s="699" t="str">
        <f>IF(OR(A45="",C45=0),"",SUMPRODUCT(--(Lineups!$AA$4:$AA$41="SP"),--(Lineups!$AC$4:$AC$41=A45))+SUMPRODUCT(--(Lineups!$AA$46:$AA$83="SP"),--(Lineups!$AC$46:$AC$83=A45)))</f>
        <v/>
      </c>
      <c r="O45" s="436" t="str">
        <f t="shared" si="22"/>
        <v/>
      </c>
      <c r="P45" s="437" t="str">
        <f>IF(OR(A45="",C45=0),"",SK!Y225)</f>
        <v/>
      </c>
      <c r="Q45" s="438" t="str">
        <f t="shared" si="13"/>
        <v/>
      </c>
      <c r="R45" s="439" t="str">
        <f>IF(OR(A45="",F45=0),"",SUM(LU!AJ72,LU!AJ171))</f>
        <v/>
      </c>
      <c r="S45" s="440" t="str">
        <f>IF(OR(A45="",F45=0),"",SUM(LU!AJ95,LU!AJ194))</f>
        <v/>
      </c>
      <c r="T45" s="413" t="str">
        <f>IF(OR(A45="",F45=0),"",SUM(LU!AJ49,LU!AJ148))</f>
        <v/>
      </c>
      <c r="U45" s="440" t="str">
        <f>IF(OR(A45="",C45=0),"",SUM(LU!AH49,LU!AH148))</f>
        <v/>
      </c>
      <c r="V45" s="441" t="str">
        <f t="shared" si="14"/>
        <v/>
      </c>
      <c r="W45" s="442" t="str">
        <f>IF(OR(A45="",D45=0),"",SUM(LU!W49,LU!W148))</f>
        <v/>
      </c>
      <c r="X45" s="441" t="str">
        <f t="shared" si="15"/>
        <v/>
      </c>
      <c r="Y45" s="442" t="str">
        <f>IF(OR(A45="",E45=0),"",SUM(LU!AC49,LU!AC148))</f>
        <v/>
      </c>
      <c r="Z45" s="441" t="str">
        <f t="shared" si="16"/>
        <v/>
      </c>
      <c r="AA45" s="553" t="str">
        <f>IF(OR(A45="",AND(D45=0, E45=0)),"",SUM(LU!AE49,LU!AE148))</f>
        <v/>
      </c>
      <c r="AB45" s="554" t="str">
        <f t="shared" si="23"/>
        <v/>
      </c>
      <c r="AC45" s="438" t="str">
        <f t="shared" si="17"/>
        <v/>
      </c>
      <c r="AD45" s="443" t="str">
        <f ca="1">IF(OR(A45="",F45=0,R$48="-",LU!$W$5=0),"",R45-R$48)</f>
        <v/>
      </c>
      <c r="AE45" s="444" t="str">
        <f ca="1">IF(OR(A45="",F45=0,S$48="-",LU!$W$5=0),"",S45-S$48)</f>
        <v/>
      </c>
      <c r="AF45" s="445" t="str">
        <f t="shared" ca="1" si="18"/>
        <v/>
      </c>
      <c r="AG45" s="446" t="str">
        <f t="shared" si="19"/>
        <v/>
      </c>
      <c r="AH45" s="446" t="str">
        <f t="shared" si="20"/>
        <v/>
      </c>
      <c r="AI45" s="447" t="str">
        <f t="shared" si="21"/>
        <v/>
      </c>
      <c r="AJ45" s="557" t="str">
        <f t="shared" si="24"/>
        <v/>
      </c>
      <c r="AK45" s="448" t="str">
        <f ca="1">IF(OR($A45="",AC45="",AC$48="-",LU!$W$5=0),"",AC45-AC$48)</f>
        <v/>
      </c>
      <c r="AL45" s="1060" t="str">
        <f>IF(OR(A45="",F45=0),"",SUM(PT!U90,PT!U91))</f>
        <v/>
      </c>
      <c r="AM45" s="1061"/>
    </row>
    <row r="46" spans="1:39" s="3" customFormat="1" ht="19.95" customHeight="1" x14ac:dyDescent="0.3">
      <c r="A46" s="104" t="str">
        <f>IF(ISBLANK(IGRF!$I32),"",IGRF!$I32)</f>
        <v/>
      </c>
      <c r="B46" s="76" t="str">
        <f>IF(ISBLANK(IGRF!$J32),"",IGRF!$J32)</f>
        <v/>
      </c>
      <c r="C46" s="77" t="str">
        <f>IF(A46="","",SUM(LU!AH27,LU!AH126))</f>
        <v/>
      </c>
      <c r="D46" s="77" t="str">
        <f>IF(A46="","",SUM(LU!W27,LU!W126))</f>
        <v/>
      </c>
      <c r="E46" s="78" t="str">
        <f>IF(A46="","",SUM(LU!AC27,LU!AC126))</f>
        <v/>
      </c>
      <c r="F46" s="411" t="str">
        <f>IF(A46="","",(SUM(C46:E46)-(SUMPRODUCT(--(Lineups!AC$4:AC$41=A46),--(Lineups!AA$4:AA$41="SP"))+SUMPRODUCT(--(Lineups!AG$4:AG$41=A46),--(Lineups!AA$4:AA$41="SP"))+SUMPRODUCT(--(Lineups!AC$46:AC$83=A46),--(Lineups!AA$46:AA$83="SP"))+SUMPRODUCT(--(Lineups!AG$46:AG$83=A46),--(Lineups!AA$46:AA$83="SP")))))</f>
        <v/>
      </c>
      <c r="G46" s="412" t="str">
        <f>IF(OR(A46="",F46=0,LU!D$3+LU!D$102=0),"",F46/(LU!D$3+LU!D$102))</f>
        <v/>
      </c>
      <c r="H46" s="413" t="str">
        <f>IF(OR(C46=0,A46=""),"",SK!T228)</f>
        <v/>
      </c>
      <c r="I46" s="414" t="str">
        <f>IF(OR(A46="",SK!U228="",SK!U228=0),"",H46/SK!U228)</f>
        <v/>
      </c>
      <c r="J46" s="433" t="str">
        <f>IF(OR(C46=0,A46=""),"",SK!W228)</f>
        <v/>
      </c>
      <c r="K46" s="434" t="str">
        <f>IF(OR(C46=0,A46=""),"",SK!X228)</f>
        <v/>
      </c>
      <c r="L46" s="435" t="str">
        <f>IF(OR(C46=0,A46=""),"",SK!Z228)</f>
        <v/>
      </c>
      <c r="M46" s="435" t="str">
        <f>IF(OR(C46=0,A46=""),"",SK!AB228)</f>
        <v/>
      </c>
      <c r="N46" s="699" t="str">
        <f>IF(OR(A46="",C46=0),"",SUMPRODUCT(--(Lineups!$AA$4:$AA$41="SP"),--(Lineups!$AC$4:$AC$41=A46))+SUMPRODUCT(--(Lineups!$AA$46:$AA$83="SP"),--(Lineups!$AC$46:$AC$83=A46)))</f>
        <v/>
      </c>
      <c r="O46" s="436" t="str">
        <f t="shared" si="22"/>
        <v/>
      </c>
      <c r="P46" s="437" t="str">
        <f>IF(OR(A46="",C46=0),"",SK!Y228)</f>
        <v/>
      </c>
      <c r="Q46" s="438" t="str">
        <f t="shared" si="13"/>
        <v/>
      </c>
      <c r="R46" s="439" t="str">
        <f>IF(OR(A46="",F46=0),"",SUM(LU!AJ73,LU!AJ172))</f>
        <v/>
      </c>
      <c r="S46" s="440" t="str">
        <f>IF(OR(A46="",F46=0),"",SUM(LU!AJ96,LU!AJ195))</f>
        <v/>
      </c>
      <c r="T46" s="413" t="str">
        <f>IF(OR(A46="",F46=0),"",SUM(LU!AJ50,LU!AJ149))</f>
        <v/>
      </c>
      <c r="U46" s="440" t="str">
        <f>IF(OR(A46="",C46=0),"",SUM(LU!AH50,LU!AH149))</f>
        <v/>
      </c>
      <c r="V46" s="441" t="str">
        <f t="shared" si="14"/>
        <v/>
      </c>
      <c r="W46" s="442" t="str">
        <f>IF(OR(A46="",D46=0),"",SUM(LU!W50,LU!W149))</f>
        <v/>
      </c>
      <c r="X46" s="441" t="str">
        <f t="shared" si="15"/>
        <v/>
      </c>
      <c r="Y46" s="442" t="str">
        <f>IF(OR(A46="",E46=0),"",SUM(LU!AC50,LU!AC149))</f>
        <v/>
      </c>
      <c r="Z46" s="441" t="str">
        <f t="shared" si="16"/>
        <v/>
      </c>
      <c r="AA46" s="553" t="str">
        <f>IF(OR(A46="",AND(D46=0, E46=0)),"",SUM(LU!AE50,LU!AE149))</f>
        <v/>
      </c>
      <c r="AB46" s="554" t="str">
        <f t="shared" si="23"/>
        <v/>
      </c>
      <c r="AC46" s="438" t="str">
        <f t="shared" si="17"/>
        <v/>
      </c>
      <c r="AD46" s="443" t="str">
        <f ca="1">IF(OR(A46="",F46=0,R$48="-",LU!$W$5=0),"",R46-R$48)</f>
        <v/>
      </c>
      <c r="AE46" s="444" t="str">
        <f ca="1">IF(OR(A46="",F46=0,S$48="-",LU!$W$5=0),"",S46-S$48)</f>
        <v/>
      </c>
      <c r="AF46" s="445" t="str">
        <f t="shared" ca="1" si="18"/>
        <v/>
      </c>
      <c r="AG46" s="446" t="str">
        <f t="shared" si="19"/>
        <v/>
      </c>
      <c r="AH46" s="446" t="str">
        <f t="shared" si="20"/>
        <v/>
      </c>
      <c r="AI46" s="447" t="str">
        <f t="shared" si="21"/>
        <v/>
      </c>
      <c r="AJ46" s="557" t="str">
        <f t="shared" si="24"/>
        <v/>
      </c>
      <c r="AK46" s="448" t="str">
        <f ca="1">IF(OR($A46="",AC46="",AC$48="-",LU!$W$5=0),"",AC46-AC$48)</f>
        <v/>
      </c>
      <c r="AL46" s="1060" t="str">
        <f>IF(OR(A46="",F46=0),"",SUM(PT!U92,PT!U93))</f>
        <v/>
      </c>
      <c r="AM46" s="1061"/>
    </row>
    <row r="47" spans="1:39" s="3" customFormat="1" ht="19.5" customHeight="1" thickBot="1" x14ac:dyDescent="0.35">
      <c r="A47" s="104" t="str">
        <f>IF(ISBLANK(IGRF!$I33),"",IGRF!$I33)</f>
        <v/>
      </c>
      <c r="B47" s="76" t="str">
        <f>IF(ISBLANK(IGRF!$J33),"",IGRF!$J33)</f>
        <v/>
      </c>
      <c r="C47" s="77" t="str">
        <f>IF(A47="","",SUM(LU!AH28,LU!AH127))</f>
        <v/>
      </c>
      <c r="D47" s="77" t="str">
        <f>IF(A47="","",SUM(LU!W28,LU!W127))</f>
        <v/>
      </c>
      <c r="E47" s="77" t="str">
        <f>IF(A47="","",SUM(LU!AC28,LU!AC127))</f>
        <v/>
      </c>
      <c r="F47" s="415" t="str">
        <f>IF(A47="","",(SUM(C47:E47)-(SUMPRODUCT(--(Lineups!AC$4:AC$41=A47),--(Lineups!AA$4:AA$41="SP"))+SUMPRODUCT(--(Lineups!AG$4:AG$41=A47),--(Lineups!AA$4:AA$41="SP"))+SUMPRODUCT(--(Lineups!AC$46:AC$83=A47),--(Lineups!AA$46:AA$83="SP"))+SUMPRODUCT(--(Lineups!AG$46:AG$83=A47),--(Lineups!AA$46:AA$83="SP")))))</f>
        <v/>
      </c>
      <c r="G47" s="416" t="str">
        <f>IF(OR(A47="",F47=0,LU!D$3+LU!D$102=0),"",F47/(LU!D$3+LU!D$102))</f>
        <v/>
      </c>
      <c r="H47" s="413" t="str">
        <f>IF(OR(C47=0,A47=""),"",SK!T231)</f>
        <v/>
      </c>
      <c r="I47" s="414" t="str">
        <f>IF(OR(A47="",SK!U231="",SK!U231=0),"",H47/SK!U231)</f>
        <v/>
      </c>
      <c r="J47" s="433" t="str">
        <f>IF(OR(C47=0,A47=""),"",SK!W231)</f>
        <v/>
      </c>
      <c r="K47" s="434" t="str">
        <f>IF(OR(C47=0,A47=""),"",SK!X231)</f>
        <v/>
      </c>
      <c r="L47" s="435" t="str">
        <f>IF(OR(C47=0,A47=""),"",SK!Z231)</f>
        <v/>
      </c>
      <c r="M47" s="435" t="str">
        <f>IF(OR(C47=0,A47=""),"",SK!AB231)</f>
        <v/>
      </c>
      <c r="N47" s="699" t="str">
        <f>IF(OR(A47="",C47=0),"",SUMPRODUCT(--(Lineups!$AA$4:$AA$41="SP"),--(Lineups!$AC$4:$AC$41=A47))+SUMPRODUCT(--(Lineups!$AA$46:$AA$83="SP"),--(Lineups!$AC$46:$AC$83=A47)))</f>
        <v/>
      </c>
      <c r="O47" s="436" t="str">
        <f t="shared" si="22"/>
        <v/>
      </c>
      <c r="P47" s="449" t="str">
        <f>IF(OR(A47="",C47=0),"",SK!Y231)</f>
        <v/>
      </c>
      <c r="Q47" s="450" t="str">
        <f t="shared" si="13"/>
        <v/>
      </c>
      <c r="R47" s="439" t="str">
        <f>IF(OR(A47="",F47=0),"",SUM(LU!AJ74,LU!AJ173))</f>
        <v/>
      </c>
      <c r="S47" s="440" t="str">
        <f>IF(OR(A47="",F47=0),"",SUM(LU!AJ97,LU!AJ196))</f>
        <v/>
      </c>
      <c r="T47" s="413" t="str">
        <f>IF(OR(A47="",F47=0),"",SUM(LU!AJ51,LU!AJ150))</f>
        <v/>
      </c>
      <c r="U47" s="440" t="str">
        <f>IF(OR(A47="",C47=0),"",SUM(LU!AH51,LU!AH150))</f>
        <v/>
      </c>
      <c r="V47" s="441" t="str">
        <f t="shared" si="14"/>
        <v/>
      </c>
      <c r="W47" s="442" t="str">
        <f>IF(OR(A47="",D47=0),"",SUM(LU!W51,LU!W150))</f>
        <v/>
      </c>
      <c r="X47" s="441" t="str">
        <f t="shared" si="15"/>
        <v/>
      </c>
      <c r="Y47" s="442" t="str">
        <f>IF(OR(A47="",E47=0),"",SUM(LU!AC51,LU!AC150))</f>
        <v/>
      </c>
      <c r="Z47" s="441" t="str">
        <f t="shared" si="16"/>
        <v/>
      </c>
      <c r="AA47" s="553" t="str">
        <f>IF(OR(A47="",AND(D47=0, E47=0)),"",SUM(LU!AE51,LU!AE150))</f>
        <v/>
      </c>
      <c r="AB47" s="554" t="str">
        <f t="shared" si="23"/>
        <v/>
      </c>
      <c r="AC47" s="451" t="str">
        <f t="shared" si="17"/>
        <v/>
      </c>
      <c r="AD47" s="443" t="str">
        <f ca="1">IF(OR(A47="",F47=0,R$48="-",LU!$W$5=0),"",R47-R$48)</f>
        <v/>
      </c>
      <c r="AE47" s="444" t="str">
        <f ca="1">IF(OR(A47="",F47=0,S$48="-",LU!$W$5=0),"",S47-S$48)</f>
        <v/>
      </c>
      <c r="AF47" s="445" t="str">
        <f t="shared" ca="1" si="18"/>
        <v/>
      </c>
      <c r="AG47" s="446" t="str">
        <f t="shared" si="19"/>
        <v/>
      </c>
      <c r="AH47" s="446" t="str">
        <f t="shared" si="20"/>
        <v/>
      </c>
      <c r="AI47" s="447" t="str">
        <f t="shared" si="21"/>
        <v/>
      </c>
      <c r="AJ47" s="557" t="str">
        <f t="shared" si="24"/>
        <v/>
      </c>
      <c r="AK47" s="448" t="str">
        <f ca="1">IF(OR($A47="",AC47="",AC$48="-",LU!$W$5=0),"",AC47-AC$48)</f>
        <v/>
      </c>
      <c r="AL47" s="1062" t="str">
        <f>IF(OR(A47="",F47=0),"",SUM(PT!U94,PT!U95))</f>
        <v/>
      </c>
      <c r="AM47" s="1063"/>
    </row>
    <row r="48" spans="1:39" s="6" customFormat="1" ht="20.25" customHeight="1" thickBot="1" x14ac:dyDescent="0.3">
      <c r="A48" s="1064" t="s">
        <v>97</v>
      </c>
      <c r="B48" s="1064"/>
      <c r="C48" s="118">
        <f>SUM(C28:C47)</f>
        <v>46</v>
      </c>
      <c r="D48" s="118">
        <f>SUM(D28:D47)</f>
        <v>36</v>
      </c>
      <c r="E48" s="118">
        <f>SUM(E28:E47)</f>
        <v>118</v>
      </c>
      <c r="F48" s="118">
        <f>SUM(F28:F47)</f>
        <v>180</v>
      </c>
      <c r="G48" s="119">
        <f>IF(COUNT(G28:G47)=0,"-",AVERAGE(G28:G47))</f>
        <v>0.33333333333333326</v>
      </c>
      <c r="H48" s="118">
        <f ca="1">SUM(H28:H47)</f>
        <v>102</v>
      </c>
      <c r="I48" s="120">
        <f ca="1">IF(LU!W3+LU!W102=0,"-",H48/(LU!W3+LU!W102))</f>
        <v>2.8333333333333335</v>
      </c>
      <c r="J48" s="121">
        <f ca="1">SUM(J28:J47)</f>
        <v>3</v>
      </c>
      <c r="K48" s="118">
        <f ca="1">SUM(K28:K47)</f>
        <v>15</v>
      </c>
      <c r="L48" s="118">
        <f ca="1">SUM(L28:L47)</f>
        <v>13</v>
      </c>
      <c r="M48" s="118">
        <f ca="1">SUM(M28:M47)</f>
        <v>18</v>
      </c>
      <c r="N48" s="118">
        <f>SUM(N28:N47)</f>
        <v>10</v>
      </c>
      <c r="O48" s="122">
        <f ca="1">IF(C48=0,"-",K48/(C48-N48))</f>
        <v>0.41666666666666669</v>
      </c>
      <c r="P48" s="118">
        <f ca="1">SUM(P28:P47)</f>
        <v>50</v>
      </c>
      <c r="Q48" s="123">
        <f t="shared" ref="Q48:AC48" ca="1" si="25">IF(COUNT(Q28:Q47)=0,"-",AVERAGE(Q28:Q47))</f>
        <v>3.9722222222222223</v>
      </c>
      <c r="R48" s="124">
        <f t="shared" ca="1" si="25"/>
        <v>34</v>
      </c>
      <c r="S48" s="125">
        <f t="shared" ca="1" si="25"/>
        <v>55.666666666666664</v>
      </c>
      <c r="T48" s="126">
        <f t="shared" ca="1" si="25"/>
        <v>-21.666666666666668</v>
      </c>
      <c r="U48" s="126">
        <f t="shared" ca="1" si="25"/>
        <v>-7.2222222222222223</v>
      </c>
      <c r="V48" s="126">
        <f t="shared" ca="1" si="25"/>
        <v>-0.11428571428571427</v>
      </c>
      <c r="W48" s="126">
        <f t="shared" ca="1" si="25"/>
        <v>-13.333333333333334</v>
      </c>
      <c r="X48" s="126">
        <f t="shared" ca="1" si="25"/>
        <v>-3.9269230769230767</v>
      </c>
      <c r="Y48" s="126">
        <f t="shared" ca="1" si="25"/>
        <v>-12</v>
      </c>
      <c r="Z48" s="126">
        <f t="shared" ca="1" si="25"/>
        <v>-2.1065669515669518</v>
      </c>
      <c r="AA48" s="126">
        <f t="shared" ca="1" si="25"/>
        <v>-17.333333333333332</v>
      </c>
      <c r="AB48" s="126">
        <f t="shared" ca="1" si="25"/>
        <v>-2.6200562303193879</v>
      </c>
      <c r="AC48" s="126">
        <f t="shared" ca="1" si="25"/>
        <v>-2.8870932673564251</v>
      </c>
      <c r="AD48" s="127" t="s">
        <v>98</v>
      </c>
      <c r="AE48" s="128" t="s">
        <v>98</v>
      </c>
      <c r="AF48" s="128" t="s">
        <v>98</v>
      </c>
      <c r="AG48" s="127" t="s">
        <v>98</v>
      </c>
      <c r="AH48" s="128" t="s">
        <v>98</v>
      </c>
      <c r="AI48" s="128" t="s">
        <v>98</v>
      </c>
      <c r="AJ48" s="128" t="s">
        <v>98</v>
      </c>
      <c r="AK48" s="129" t="s">
        <v>98</v>
      </c>
      <c r="AL48" s="1065">
        <f>SUM(AL28:AM47)</f>
        <v>16</v>
      </c>
      <c r="AM48" s="1066"/>
    </row>
  </sheetData>
  <mergeCells count="55">
    <mergeCell ref="AL5:AM5"/>
    <mergeCell ref="A1:AM1"/>
    <mergeCell ref="A2:AM2"/>
    <mergeCell ref="A3:AM3"/>
    <mergeCell ref="A4:B4"/>
    <mergeCell ref="C4:F4"/>
    <mergeCell ref="J4:P4"/>
    <mergeCell ref="R4:AC4"/>
    <mergeCell ref="AD4:AK4"/>
    <mergeCell ref="AL4:AM4"/>
    <mergeCell ref="AL6:AM6"/>
    <mergeCell ref="AL7:AM7"/>
    <mergeCell ref="AL8:AM8"/>
    <mergeCell ref="AL9:AM9"/>
    <mergeCell ref="AL22:AM22"/>
    <mergeCell ref="AL15:AM15"/>
    <mergeCell ref="AL10:AM10"/>
    <mergeCell ref="AL11:AM11"/>
    <mergeCell ref="AL12:AM12"/>
    <mergeCell ref="AL13:AM13"/>
    <mergeCell ref="AL14:AM14"/>
    <mergeCell ref="AL23:AM23"/>
    <mergeCell ref="AL24:AM24"/>
    <mergeCell ref="AL25:AM25"/>
    <mergeCell ref="AL16:AM16"/>
    <mergeCell ref="AL17:AM17"/>
    <mergeCell ref="AL18:AM18"/>
    <mergeCell ref="AL19:AM19"/>
    <mergeCell ref="AL20:AM20"/>
    <mergeCell ref="AL21:AM21"/>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46:AM46"/>
    <mergeCell ref="AL47:AM47"/>
    <mergeCell ref="A48:B48"/>
    <mergeCell ref="AL48:AM48"/>
    <mergeCell ref="AL40:AM40"/>
    <mergeCell ref="AL41:AM41"/>
    <mergeCell ref="AL42:AM42"/>
    <mergeCell ref="AL43:AM43"/>
    <mergeCell ref="AL44:AM44"/>
    <mergeCell ref="AL45:AM45"/>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B58"/>
  <sheetViews>
    <sheetView zoomScaleNormal="100" workbookViewId="0">
      <selection sqref="A1:C1"/>
    </sheetView>
  </sheetViews>
  <sheetFormatPr defaultColWidth="9.109375" defaultRowHeight="13.8" x14ac:dyDescent="0.3"/>
  <cols>
    <col min="1" max="1" width="5.6640625" style="64" customWidth="1"/>
    <col min="2" max="2" width="20.6640625" style="64" customWidth="1"/>
    <col min="3" max="3" width="4.6640625" style="64" customWidth="1"/>
    <col min="4" max="11" width="3.6640625" style="64" customWidth="1"/>
    <col min="12" max="12" width="4.109375" style="64" customWidth="1"/>
    <col min="13" max="17" width="3.6640625" style="64" customWidth="1"/>
    <col min="18" max="19" width="3.6640625" style="64" hidden="1" customWidth="1"/>
    <col min="20" max="20" width="5.6640625" style="64" customWidth="1"/>
    <col min="21" max="21" width="5.44140625" style="64" customWidth="1"/>
    <col min="22" max="22" width="9.33203125" style="64" customWidth="1"/>
    <col min="23" max="23" width="5.109375" style="64" customWidth="1"/>
    <col min="24" max="24" width="6.6640625" style="64" customWidth="1"/>
    <col min="25" max="28" width="4.44140625" style="64" customWidth="1"/>
    <col min="29" max="16384" width="9.109375" style="64"/>
  </cols>
  <sheetData>
    <row r="1" spans="1:28" ht="20.25" customHeight="1" thickBot="1" x14ac:dyDescent="0.35">
      <c r="A1" s="1115">
        <f>IF(IGRF!$B$7="","",IGRF!$B$7)</f>
        <v>45144</v>
      </c>
      <c r="B1" s="1115"/>
      <c r="C1" s="1115"/>
      <c r="D1" s="1116" t="s">
        <v>99</v>
      </c>
      <c r="E1" s="1116"/>
      <c r="F1" s="1116"/>
      <c r="G1" s="1116"/>
      <c r="H1" s="1116"/>
      <c r="I1" s="1116"/>
      <c r="J1" s="1116"/>
      <c r="K1" s="1116"/>
      <c r="L1" s="1116"/>
      <c r="M1" s="1116"/>
      <c r="N1" s="1116"/>
      <c r="O1" s="1116"/>
      <c r="P1" s="1116"/>
      <c r="Q1" s="1116"/>
      <c r="R1" s="1116"/>
      <c r="S1" s="1116"/>
      <c r="T1" s="1116"/>
      <c r="U1" s="1116"/>
      <c r="V1" s="1116"/>
      <c r="W1" s="1117"/>
      <c r="X1" s="1117"/>
    </row>
    <row r="2" spans="1:28" ht="60" customHeight="1" thickBot="1" x14ac:dyDescent="0.35">
      <c r="A2" s="1118" t="str">
        <f>Score!A1</f>
        <v>Black Rose Rollers / All Stars</v>
      </c>
      <c r="B2" s="1118"/>
      <c r="C2" s="1118"/>
      <c r="D2" s="1119" t="s">
        <v>310</v>
      </c>
      <c r="E2" s="1120"/>
      <c r="F2" s="1120"/>
      <c r="G2" s="1120"/>
      <c r="H2" s="1120"/>
      <c r="I2" s="1120"/>
      <c r="J2" s="1120"/>
      <c r="K2" s="1120"/>
      <c r="L2" s="1120"/>
      <c r="M2" s="1120"/>
      <c r="N2" s="1120"/>
      <c r="O2" s="1120"/>
      <c r="P2" s="1120"/>
      <c r="Q2" s="1120"/>
      <c r="R2" s="1120"/>
      <c r="S2" s="1120"/>
      <c r="T2" s="1121"/>
      <c r="U2" s="339"/>
      <c r="V2" s="339"/>
      <c r="W2" s="1122" t="s">
        <v>100</v>
      </c>
      <c r="X2" s="1123"/>
      <c r="Y2" s="340"/>
      <c r="Z2" s="340"/>
      <c r="AA2" s="340"/>
      <c r="AB2" s="340"/>
    </row>
    <row r="3" spans="1:28" ht="60.75" customHeight="1" x14ac:dyDescent="0.3">
      <c r="A3" s="341" t="s">
        <v>109</v>
      </c>
      <c r="B3" s="1113" t="s">
        <v>101</v>
      </c>
      <c r="C3" s="1114"/>
      <c r="D3" s="342" t="s">
        <v>102</v>
      </c>
      <c r="E3" s="343" t="s">
        <v>120</v>
      </c>
      <c r="F3" s="344" t="s">
        <v>112</v>
      </c>
      <c r="G3" s="344" t="s">
        <v>123</v>
      </c>
      <c r="H3" s="344" t="s">
        <v>411</v>
      </c>
      <c r="I3" s="344" t="s">
        <v>118</v>
      </c>
      <c r="J3" s="344" t="s">
        <v>412</v>
      </c>
      <c r="K3" s="344" t="s">
        <v>413</v>
      </c>
      <c r="L3" s="344" t="s">
        <v>414</v>
      </c>
      <c r="M3" s="344" t="s">
        <v>415</v>
      </c>
      <c r="N3" s="344" t="s">
        <v>416</v>
      </c>
      <c r="O3" s="344" t="s">
        <v>417</v>
      </c>
      <c r="P3" s="344" t="s">
        <v>418</v>
      </c>
      <c r="Q3" s="345" t="s">
        <v>57</v>
      </c>
      <c r="R3" s="345"/>
      <c r="S3" s="345"/>
      <c r="T3" s="346" t="s">
        <v>59</v>
      </c>
      <c r="U3" s="347" t="s">
        <v>304</v>
      </c>
      <c r="V3" s="348" t="s">
        <v>126</v>
      </c>
      <c r="W3" s="349" t="s">
        <v>60</v>
      </c>
      <c r="X3" s="350" t="s">
        <v>305</v>
      </c>
    </row>
    <row r="4" spans="1:28" ht="25.05" customHeight="1" x14ac:dyDescent="0.3">
      <c r="A4" s="351" t="str">
        <f>IF(IGRF!B14="","",IGRF!B14)</f>
        <v>101</v>
      </c>
      <c r="B4" s="1109" t="str">
        <f>IF(IGRF!C14="","",IGRF!C14)</f>
        <v>Jackie Treehorn</v>
      </c>
      <c r="C4" s="1110"/>
      <c r="D4" s="352">
        <f>IF($A4="","",SUM(PT!E3,PT!E4))</f>
        <v>0</v>
      </c>
      <c r="E4" s="353">
        <f>IF($A4="","",SUM(PT!F3,PT!F4))</f>
        <v>0</v>
      </c>
      <c r="F4" s="353">
        <f>IF($A4="","",SUM(PT!G3,PT!G4))</f>
        <v>0</v>
      </c>
      <c r="G4" s="353">
        <f>IF($A4="","",SUM(PT!H3,PT!H4))</f>
        <v>0</v>
      </c>
      <c r="H4" s="353">
        <f>IF($A4="","",SUM(PT!I3,PT!I4))</f>
        <v>0</v>
      </c>
      <c r="I4" s="353">
        <f>IF($A4="","",SUM(PT!J3,PT!J4))</f>
        <v>2</v>
      </c>
      <c r="J4" s="353">
        <f>IF($A4="","",SUM(PT!K3,PT!K4))</f>
        <v>0</v>
      </c>
      <c r="K4" s="353">
        <f>IF($A4="","",SUM(PT!L3,PT!L4))</f>
        <v>0</v>
      </c>
      <c r="L4" s="353">
        <f>IF($A4="","",SUM(PT!M3,PT!M4))</f>
        <v>1</v>
      </c>
      <c r="M4" s="353">
        <f>IF($A4="","",SUM(PT!N3,PT!N4))</f>
        <v>2</v>
      </c>
      <c r="N4" s="353">
        <f>IF($A4="","",SUM(PT!O3,PT!O4))</f>
        <v>0</v>
      </c>
      <c r="O4" s="353">
        <f>IF($A4="","",SUM(PT!P3,PT!P4))</f>
        <v>0</v>
      </c>
      <c r="P4" s="353">
        <f>IF($A4="","",SUM(PT!Q3,PT!Q4))</f>
        <v>0</v>
      </c>
      <c r="Q4" s="353">
        <f>IF($A4="","",SUM(PT!R3,PT!R4))</f>
        <v>0</v>
      </c>
      <c r="R4" s="353"/>
      <c r="S4" s="354"/>
      <c r="T4" s="355">
        <f>IF($A4="","",SUM(D4:S4))</f>
        <v>5</v>
      </c>
      <c r="U4" s="356">
        <f>IF($A4="","",SUM(PT!U3,PT!U4))</f>
        <v>5</v>
      </c>
      <c r="V4" s="357" t="str">
        <f>IF($A4="","",PT!AJ4)</f>
        <v/>
      </c>
      <c r="W4" s="358">
        <f>'Game Summary'!F6</f>
        <v>22</v>
      </c>
      <c r="X4" s="359">
        <f t="shared" ref="X4:X23" si="0">IF(OR(W4="",W4=0),"",U4/W4)</f>
        <v>0.22727272727272727</v>
      </c>
    </row>
    <row r="5" spans="1:28" ht="25.05" customHeight="1" x14ac:dyDescent="0.3">
      <c r="A5" s="360" t="str">
        <f>IF(IGRF!B15="","",IGRF!B15)</f>
        <v>123</v>
      </c>
      <c r="B5" s="1107" t="str">
        <f>IF(IGRF!C15="","",IGRF!C15)</f>
        <v>Bacon 4 Mercy</v>
      </c>
      <c r="C5" s="1108"/>
      <c r="D5" s="361">
        <f>IF($A5="","",SUM(PT!E5,PT!E6))</f>
        <v>0</v>
      </c>
      <c r="E5" s="362">
        <f>IF($A5="","",SUM(PT!F5,PT!F6))</f>
        <v>0</v>
      </c>
      <c r="F5" s="363">
        <f>IF($A5="","",SUM(PT!G5,PT!G6))</f>
        <v>0</v>
      </c>
      <c r="G5" s="364">
        <f>IF($A5="","",SUM(PT!H5,PT!H6))</f>
        <v>0</v>
      </c>
      <c r="H5" s="364">
        <f>IF($A5="","",SUM(PT!I5,PT!I6))</f>
        <v>0</v>
      </c>
      <c r="I5" s="364">
        <f>IF($A5="","",SUM(PT!J5,PT!J6))</f>
        <v>0</v>
      </c>
      <c r="J5" s="364">
        <f>IF($A5="","",SUM(PT!K5,PT!K6))</f>
        <v>0</v>
      </c>
      <c r="K5" s="364">
        <f>IF($A5="","",SUM(PT!L5,PT!L6))</f>
        <v>0</v>
      </c>
      <c r="L5" s="364">
        <f>IF($A5="","",SUM(PT!M5,PT!M6))</f>
        <v>0</v>
      </c>
      <c r="M5" s="364">
        <f>IF($A5="","",SUM(PT!N5,PT!N6))</f>
        <v>0</v>
      </c>
      <c r="N5" s="364">
        <f>IF($A5="","",SUM(PT!O5,PT!O6))</f>
        <v>0</v>
      </c>
      <c r="O5" s="364">
        <f>IF($A5="","",SUM(PT!P5,PT!P6))</f>
        <v>0</v>
      </c>
      <c r="P5" s="364">
        <f>IF($A5="","",SUM(PT!Q5,PT!Q6))</f>
        <v>0</v>
      </c>
      <c r="Q5" s="364">
        <f>IF($A5="","",SUM(PT!R5,PT!R6))</f>
        <v>0</v>
      </c>
      <c r="R5" s="364"/>
      <c r="S5" s="364"/>
      <c r="T5" s="365">
        <f t="shared" ref="T5:T23" si="1">IF($A5="","",SUM(D5:S5))</f>
        <v>0</v>
      </c>
      <c r="U5" s="366">
        <f>IF($A5="","",SUM(PT!U5,PT!U6))</f>
        <v>0</v>
      </c>
      <c r="V5" s="367" t="str">
        <f>IF($A5="","",PT!AJ6)</f>
        <v/>
      </c>
      <c r="W5" s="368">
        <f>'Game Summary'!F7</f>
        <v>11</v>
      </c>
      <c r="X5" s="369">
        <f t="shared" si="0"/>
        <v>0</v>
      </c>
    </row>
    <row r="6" spans="1:28" ht="25.05" customHeight="1" x14ac:dyDescent="0.3">
      <c r="A6" s="351" t="str">
        <f>IF(IGRF!B16="","",IGRF!B16)</f>
        <v>1760</v>
      </c>
      <c r="B6" s="1109" t="str">
        <f>IF(IGRF!C16="","",IGRF!C16)</f>
        <v>By O. Hazard</v>
      </c>
      <c r="C6" s="1110"/>
      <c r="D6" s="352">
        <f>IF($A6="","",SUM(PT!E7,PT!E8))</f>
        <v>1</v>
      </c>
      <c r="E6" s="353">
        <f>IF($A6="","",SUM(PT!F7,PT!F8))</f>
        <v>0</v>
      </c>
      <c r="F6" s="353">
        <f>IF($A6="","",SUM(PT!G7,PT!G8))</f>
        <v>0</v>
      </c>
      <c r="G6" s="353">
        <f>IF($A6="","",SUM(PT!H7,PT!H8))</f>
        <v>0</v>
      </c>
      <c r="H6" s="353">
        <f>IF($A6="","",SUM(PT!I7,PT!I8))</f>
        <v>0</v>
      </c>
      <c r="I6" s="353">
        <f>IF($A6="","",SUM(PT!J7,PT!J8))</f>
        <v>1</v>
      </c>
      <c r="J6" s="353">
        <f>IF($A6="","",SUM(PT!K7,PT!K8))</f>
        <v>0</v>
      </c>
      <c r="K6" s="353">
        <f>IF($A6="","",SUM(PT!L7,PT!L8))</f>
        <v>0</v>
      </c>
      <c r="L6" s="353">
        <f>IF($A6="","",SUM(PT!M7,PT!M8))</f>
        <v>0</v>
      </c>
      <c r="M6" s="353">
        <f>IF($A6="","",SUM(PT!N7,PT!N8))</f>
        <v>1</v>
      </c>
      <c r="N6" s="353">
        <f>IF($A6="","",SUM(PT!O7,PT!O8))</f>
        <v>0</v>
      </c>
      <c r="O6" s="353">
        <f>IF($A6="","",SUM(PT!P7,PT!P8))</f>
        <v>0</v>
      </c>
      <c r="P6" s="353">
        <f>IF($A6="","",SUM(PT!Q7,PT!Q8))</f>
        <v>0</v>
      </c>
      <c r="Q6" s="353">
        <f>IF($A6="","",SUM(PT!R7,PT!R8))</f>
        <v>0</v>
      </c>
      <c r="R6" s="353"/>
      <c r="S6" s="354"/>
      <c r="T6" s="355">
        <f t="shared" si="1"/>
        <v>3</v>
      </c>
      <c r="U6" s="356">
        <f>IF($A6="","",SUM(PT!U7,PT!U8))</f>
        <v>3</v>
      </c>
      <c r="V6" s="357" t="str">
        <f>IF($A6="","",PT!AJ8)</f>
        <v/>
      </c>
      <c r="W6" s="358">
        <f>'Game Summary'!F8</f>
        <v>23</v>
      </c>
      <c r="X6" s="359">
        <f t="shared" si="0"/>
        <v>0.13043478260869565</v>
      </c>
    </row>
    <row r="7" spans="1:28" ht="25.05" customHeight="1" x14ac:dyDescent="0.3">
      <c r="A7" s="360" t="str">
        <f>IF(IGRF!B17="","",IGRF!B17)</f>
        <v>202</v>
      </c>
      <c r="B7" s="1107" t="str">
        <f>IF(IGRF!C17="","",IGRF!C17)</f>
        <v>Thai-GRRR</v>
      </c>
      <c r="C7" s="1108"/>
      <c r="D7" s="361">
        <f>IF($A7="","",SUM(PT!E9,PT!E10))</f>
        <v>0</v>
      </c>
      <c r="E7" s="362">
        <f>IF($A7="","",SUM(PT!F9,PT!F10))</f>
        <v>1</v>
      </c>
      <c r="F7" s="363">
        <f>IF($A7="","",SUM(PT!G9,PT!G10))</f>
        <v>0</v>
      </c>
      <c r="G7" s="364">
        <f>IF($A7="","",SUM(PT!H9,PT!H10))</f>
        <v>0</v>
      </c>
      <c r="H7" s="364">
        <f>IF($A7="","",SUM(PT!I9,PT!I10))</f>
        <v>0</v>
      </c>
      <c r="I7" s="364">
        <f>IF($A7="","",SUM(PT!J9,PT!J10))</f>
        <v>0</v>
      </c>
      <c r="J7" s="364">
        <f>IF($A7="","",SUM(PT!K9,PT!K10))</f>
        <v>0</v>
      </c>
      <c r="K7" s="364">
        <f>IF($A7="","",SUM(PT!L9,PT!L10))</f>
        <v>0</v>
      </c>
      <c r="L7" s="364">
        <f>IF($A7="","",SUM(PT!M9,PT!M10))</f>
        <v>0</v>
      </c>
      <c r="M7" s="364">
        <f>IF($A7="","",SUM(PT!N9,PT!N10))</f>
        <v>0</v>
      </c>
      <c r="N7" s="364">
        <f>IF($A7="","",SUM(PT!O9,PT!O10))</f>
        <v>0</v>
      </c>
      <c r="O7" s="364">
        <f>IF($A7="","",SUM(PT!P9,PT!P10))</f>
        <v>0</v>
      </c>
      <c r="P7" s="364">
        <f>IF($A7="","",SUM(PT!Q9,PT!Q10))</f>
        <v>0</v>
      </c>
      <c r="Q7" s="364">
        <f>IF($A7="","",SUM(PT!R9,PT!R10))</f>
        <v>0</v>
      </c>
      <c r="R7" s="364"/>
      <c r="S7" s="364"/>
      <c r="T7" s="365">
        <f t="shared" si="1"/>
        <v>1</v>
      </c>
      <c r="U7" s="366">
        <f>IF($A7="","",SUM(PT!U9,PT!U10))</f>
        <v>1</v>
      </c>
      <c r="V7" s="367" t="str">
        <f>IF($A7="","",PT!AJ10)</f>
        <v/>
      </c>
      <c r="W7" s="368">
        <f>'Game Summary'!F9</f>
        <v>8</v>
      </c>
      <c r="X7" s="369">
        <f t="shared" si="0"/>
        <v>0.125</v>
      </c>
    </row>
    <row r="8" spans="1:28" ht="25.05" customHeight="1" x14ac:dyDescent="0.3">
      <c r="A8" s="351" t="str">
        <f>IF(IGRF!B18="","",IGRF!B18)</f>
        <v>22</v>
      </c>
      <c r="B8" s="1109" t="str">
        <f>IF(IGRF!C18="","",IGRF!C18)</f>
        <v>Jen Hex</v>
      </c>
      <c r="C8" s="1110"/>
      <c r="D8" s="352">
        <f>IF($A8="","",SUM(PT!E11,PT!E12))</f>
        <v>0</v>
      </c>
      <c r="E8" s="353">
        <f>IF($A8="","",SUM(PT!F11,PT!F12))</f>
        <v>0</v>
      </c>
      <c r="F8" s="353">
        <f>IF($A8="","",SUM(PT!G11,PT!G12))</f>
        <v>0</v>
      </c>
      <c r="G8" s="353">
        <f>IF($A8="","",SUM(PT!H11,PT!H12))</f>
        <v>0</v>
      </c>
      <c r="H8" s="353">
        <f>IF($A8="","",SUM(PT!I11,PT!I12))</f>
        <v>0</v>
      </c>
      <c r="I8" s="353">
        <f>IF($A8="","",SUM(PT!J11,PT!J12))</f>
        <v>0</v>
      </c>
      <c r="J8" s="353">
        <f>IF($A8="","",SUM(PT!K11,PT!K12))</f>
        <v>0</v>
      </c>
      <c r="K8" s="353">
        <f>IF($A8="","",SUM(PT!L11,PT!L12))</f>
        <v>0</v>
      </c>
      <c r="L8" s="353">
        <f>IF($A8="","",SUM(PT!M11,PT!M12))</f>
        <v>0</v>
      </c>
      <c r="M8" s="353">
        <f>IF($A8="","",SUM(PT!N11,PT!N12))</f>
        <v>0</v>
      </c>
      <c r="N8" s="353">
        <f>IF($A8="","",SUM(PT!O11,PT!O12))</f>
        <v>0</v>
      </c>
      <c r="O8" s="353">
        <f>IF($A8="","",SUM(PT!P11,PT!P12))</f>
        <v>0</v>
      </c>
      <c r="P8" s="353">
        <f>IF($A8="","",SUM(PT!Q11,PT!Q12))</f>
        <v>0</v>
      </c>
      <c r="Q8" s="353">
        <f>IF($A8="","",SUM(PT!R11,PT!R12))</f>
        <v>0</v>
      </c>
      <c r="R8" s="353"/>
      <c r="S8" s="354"/>
      <c r="T8" s="355">
        <f t="shared" si="1"/>
        <v>0</v>
      </c>
      <c r="U8" s="356">
        <f>IF($A8="","",SUM(PT!U11,PT!U12))</f>
        <v>0</v>
      </c>
      <c r="V8" s="357" t="str">
        <f>IF($A8="","",PT!AJ12)</f>
        <v/>
      </c>
      <c r="W8" s="358">
        <f>'Game Summary'!F10</f>
        <v>1</v>
      </c>
      <c r="X8" s="359">
        <f t="shared" si="0"/>
        <v>0</v>
      </c>
    </row>
    <row r="9" spans="1:28" ht="25.05" customHeight="1" x14ac:dyDescent="0.3">
      <c r="A9" s="360" t="str">
        <f>IF(IGRF!B19="","",IGRF!B19)</f>
        <v>221*</v>
      </c>
      <c r="B9" s="1107" t="str">
        <f>IF(IGRF!C19="","",IGRF!C19)</f>
        <v>Kili Pepa</v>
      </c>
      <c r="C9" s="1108"/>
      <c r="D9" s="361">
        <f>IF($A9="","",SUM(PT!E13,PT!E14))</f>
        <v>0</v>
      </c>
      <c r="E9" s="362">
        <f>IF($A9="","",SUM(PT!F13,PT!F14))</f>
        <v>0</v>
      </c>
      <c r="F9" s="363">
        <f>IF($A9="","",SUM(PT!G13,PT!G14))</f>
        <v>0</v>
      </c>
      <c r="G9" s="364">
        <f>IF($A9="","",SUM(PT!H13,PT!H14))</f>
        <v>0</v>
      </c>
      <c r="H9" s="364">
        <f>IF($A9="","",SUM(PT!I13,PT!I14))</f>
        <v>0</v>
      </c>
      <c r="I9" s="364">
        <f>IF($A9="","",SUM(PT!J13,PT!J14))</f>
        <v>0</v>
      </c>
      <c r="J9" s="364">
        <f>IF($A9="","",SUM(PT!K13,PT!K14))</f>
        <v>0</v>
      </c>
      <c r="K9" s="364">
        <f>IF($A9="","",SUM(PT!L13,PT!L14))</f>
        <v>0</v>
      </c>
      <c r="L9" s="364">
        <f>IF($A9="","",SUM(PT!M13,PT!M14))</f>
        <v>0</v>
      </c>
      <c r="M9" s="364">
        <f>IF($A9="","",SUM(PT!N13,PT!N14))</f>
        <v>0</v>
      </c>
      <c r="N9" s="364">
        <f>IF($A9="","",SUM(PT!O13,PT!O14))</f>
        <v>0</v>
      </c>
      <c r="O9" s="364">
        <f>IF($A9="","",SUM(PT!P13,PT!P14))</f>
        <v>0</v>
      </c>
      <c r="P9" s="364">
        <f>IF($A9="","",SUM(PT!Q13,PT!Q14))</f>
        <v>0</v>
      </c>
      <c r="Q9" s="364">
        <f>IF($A9="","",SUM(PT!R13,PT!R14))</f>
        <v>0</v>
      </c>
      <c r="R9" s="364"/>
      <c r="S9" s="364"/>
      <c r="T9" s="365">
        <f t="shared" si="1"/>
        <v>0</v>
      </c>
      <c r="U9" s="366">
        <f>IF($A9="","",SUM(PT!U13,PT!U14))</f>
        <v>0</v>
      </c>
      <c r="V9" s="367" t="str">
        <f>IF($A9="","",PT!AJ14)</f>
        <v/>
      </c>
      <c r="W9" s="368">
        <f>'Game Summary'!F11</f>
        <v>0</v>
      </c>
      <c r="X9" s="369" t="str">
        <f t="shared" si="0"/>
        <v/>
      </c>
    </row>
    <row r="10" spans="1:28" ht="25.05" customHeight="1" x14ac:dyDescent="0.3">
      <c r="A10" s="351" t="str">
        <f>IF(IGRF!B20="","",IGRF!B20)</f>
        <v>229</v>
      </c>
      <c r="B10" s="1109" t="str">
        <f>IF(IGRF!C20="","",IGRF!C20)</f>
        <v>Sparky</v>
      </c>
      <c r="C10" s="1110"/>
      <c r="D10" s="352">
        <f>IF($A10="","",SUM(PT!E15,PT!E16))</f>
        <v>0</v>
      </c>
      <c r="E10" s="353">
        <f>IF($A10="","",SUM(PT!F15,PT!F16))</f>
        <v>0</v>
      </c>
      <c r="F10" s="353">
        <f>IF($A10="","",SUM(PT!G15,PT!G16))</f>
        <v>0</v>
      </c>
      <c r="G10" s="353">
        <f>IF($A10="","",SUM(PT!H15,PT!H16))</f>
        <v>0</v>
      </c>
      <c r="H10" s="353">
        <f>IF($A10="","",SUM(PT!I15,PT!I16))</f>
        <v>0</v>
      </c>
      <c r="I10" s="353">
        <f>IF($A10="","",SUM(PT!J15,PT!J16))</f>
        <v>0</v>
      </c>
      <c r="J10" s="353">
        <f>IF($A10="","",SUM(PT!K15,PT!K16))</f>
        <v>0</v>
      </c>
      <c r="K10" s="353">
        <f>IF($A10="","",SUM(PT!L15,PT!L16))</f>
        <v>1</v>
      </c>
      <c r="L10" s="353">
        <f>IF($A10="","",SUM(PT!M15,PT!M16))</f>
        <v>0</v>
      </c>
      <c r="M10" s="353">
        <f>IF($A10="","",SUM(PT!N15,PT!N16))</f>
        <v>0</v>
      </c>
      <c r="N10" s="353">
        <f>IF($A10="","",SUM(PT!O15,PT!O16))</f>
        <v>0</v>
      </c>
      <c r="O10" s="353">
        <f>IF($A10="","",SUM(PT!P15,PT!P16))</f>
        <v>1</v>
      </c>
      <c r="P10" s="353">
        <f>IF($A10="","",SUM(PT!Q15,PT!Q16))</f>
        <v>0</v>
      </c>
      <c r="Q10" s="353">
        <f>IF($A10="","",SUM(PT!R15,PT!R16))</f>
        <v>0</v>
      </c>
      <c r="R10" s="353"/>
      <c r="S10" s="354"/>
      <c r="T10" s="355">
        <f t="shared" si="1"/>
        <v>2</v>
      </c>
      <c r="U10" s="356">
        <f>IF($A10="","",SUM(PT!U15,PT!U16))</f>
        <v>2</v>
      </c>
      <c r="V10" s="357" t="str">
        <f>IF($A10="","",PT!AJ16)</f>
        <v/>
      </c>
      <c r="W10" s="358">
        <f>'Game Summary'!F12</f>
        <v>8</v>
      </c>
      <c r="X10" s="359">
        <f t="shared" si="0"/>
        <v>0.25</v>
      </c>
    </row>
    <row r="11" spans="1:28" ht="25.05" customHeight="1" x14ac:dyDescent="0.3">
      <c r="A11" s="360" t="str">
        <f>IF(IGRF!B21="","",IGRF!B21)</f>
        <v>237</v>
      </c>
      <c r="B11" s="1107" t="str">
        <f>IF(IGRF!C21="","",IGRF!C21)</f>
        <v>RedRum</v>
      </c>
      <c r="C11" s="1108"/>
      <c r="D11" s="361">
        <f>IF($A11="","",SUM(PT!E17,PT!E18))</f>
        <v>0</v>
      </c>
      <c r="E11" s="362">
        <f>IF($A11="","",SUM(PT!F17,PT!F18))</f>
        <v>0</v>
      </c>
      <c r="F11" s="363">
        <f>IF($A11="","",SUM(PT!G17,PT!G18))</f>
        <v>0</v>
      </c>
      <c r="G11" s="364">
        <f>IF($A11="","",SUM(PT!H17,PT!H18))</f>
        <v>0</v>
      </c>
      <c r="H11" s="364">
        <f>IF($A11="","",SUM(PT!I17,PT!I18))</f>
        <v>0</v>
      </c>
      <c r="I11" s="364">
        <f>IF($A11="","",SUM(PT!J17,PT!J18))</f>
        <v>0</v>
      </c>
      <c r="J11" s="364">
        <f>IF($A11="","",SUM(PT!K17,PT!K18))</f>
        <v>0</v>
      </c>
      <c r="K11" s="364">
        <f>IF($A11="","",SUM(PT!L17,PT!L18))</f>
        <v>0</v>
      </c>
      <c r="L11" s="364">
        <f>IF($A11="","",SUM(PT!M17,PT!M18))</f>
        <v>0</v>
      </c>
      <c r="M11" s="364">
        <f>IF($A11="","",SUM(PT!N17,PT!N18))</f>
        <v>0</v>
      </c>
      <c r="N11" s="364">
        <f>IF($A11="","",SUM(PT!O17,PT!O18))</f>
        <v>0</v>
      </c>
      <c r="O11" s="364">
        <f>IF($A11="","",SUM(PT!P17,PT!P18))</f>
        <v>0</v>
      </c>
      <c r="P11" s="364">
        <f>IF($A11="","",SUM(PT!Q17,PT!Q18))</f>
        <v>0</v>
      </c>
      <c r="Q11" s="364">
        <f>IF($A11="","",SUM(PT!R17,PT!R18))</f>
        <v>0</v>
      </c>
      <c r="R11" s="364"/>
      <c r="S11" s="364"/>
      <c r="T11" s="365">
        <f t="shared" si="1"/>
        <v>0</v>
      </c>
      <c r="U11" s="366">
        <f>IF($A11="","",SUM(PT!U17,PT!U18))</f>
        <v>0</v>
      </c>
      <c r="V11" s="367" t="str">
        <f>IF($A11="","",PT!AJ18)</f>
        <v/>
      </c>
      <c r="W11" s="368">
        <f>'Game Summary'!F13</f>
        <v>21</v>
      </c>
      <c r="X11" s="369">
        <f t="shared" si="0"/>
        <v>0</v>
      </c>
    </row>
    <row r="12" spans="1:28" ht="25.05" customHeight="1" x14ac:dyDescent="0.3">
      <c r="A12" s="351" t="str">
        <f>IF(IGRF!B22="","",IGRF!B22)</f>
        <v>282*</v>
      </c>
      <c r="B12" s="1109" t="str">
        <f>IF(IGRF!C22="","",IGRF!C22)</f>
        <v>Dash Ketchum</v>
      </c>
      <c r="C12" s="1110"/>
      <c r="D12" s="352">
        <f>IF($A12="","",SUM(PT!E19,PT!E20))</f>
        <v>0</v>
      </c>
      <c r="E12" s="353">
        <f>IF($A12="","",SUM(PT!F19,PT!F20))</f>
        <v>0</v>
      </c>
      <c r="F12" s="353">
        <f>IF($A12="","",SUM(PT!G19,PT!G20))</f>
        <v>0</v>
      </c>
      <c r="G12" s="353">
        <f>IF($A12="","",SUM(PT!H19,PT!H20))</f>
        <v>0</v>
      </c>
      <c r="H12" s="353">
        <f>IF($A12="","",SUM(PT!I19,PT!I20))</f>
        <v>0</v>
      </c>
      <c r="I12" s="353">
        <f>IF($A12="","",SUM(PT!J19,PT!J20))</f>
        <v>0</v>
      </c>
      <c r="J12" s="353">
        <f>IF($A12="","",SUM(PT!K19,PT!K20))</f>
        <v>0</v>
      </c>
      <c r="K12" s="353">
        <f>IF($A12="","",SUM(PT!L19,PT!L20))</f>
        <v>0</v>
      </c>
      <c r="L12" s="353">
        <f>IF($A12="","",SUM(PT!M19,PT!M20))</f>
        <v>0</v>
      </c>
      <c r="M12" s="353">
        <f>IF($A12="","",SUM(PT!N19,PT!N20))</f>
        <v>0</v>
      </c>
      <c r="N12" s="353">
        <f>IF($A12="","",SUM(PT!O19,PT!O20))</f>
        <v>0</v>
      </c>
      <c r="O12" s="353">
        <f>IF($A12="","",SUM(PT!P19,PT!P20))</f>
        <v>0</v>
      </c>
      <c r="P12" s="353">
        <f>IF($A12="","",SUM(PT!Q19,PT!Q20))</f>
        <v>0</v>
      </c>
      <c r="Q12" s="353">
        <f>IF($A12="","",SUM(PT!R19,PT!R20))</f>
        <v>0</v>
      </c>
      <c r="R12" s="353"/>
      <c r="S12" s="354"/>
      <c r="T12" s="355">
        <f t="shared" si="1"/>
        <v>0</v>
      </c>
      <c r="U12" s="356">
        <f>IF($A12="","",SUM(PT!U19,PT!U20))</f>
        <v>0</v>
      </c>
      <c r="V12" s="357" t="str">
        <f>IF($A12="","",PT!AJ20)</f>
        <v/>
      </c>
      <c r="W12" s="358">
        <f>'Game Summary'!F14</f>
        <v>0</v>
      </c>
      <c r="X12" s="359" t="str">
        <f t="shared" si="0"/>
        <v/>
      </c>
    </row>
    <row r="13" spans="1:28" ht="25.05" customHeight="1" x14ac:dyDescent="0.3">
      <c r="A13" s="360" t="str">
        <f>IF(IGRF!B23="","",IGRF!B23)</f>
        <v>337</v>
      </c>
      <c r="B13" s="1107" t="str">
        <f>IF(IGRF!C23="","",IGRF!C23)</f>
        <v>Susan Sure Ram Dem</v>
      </c>
      <c r="C13" s="1108"/>
      <c r="D13" s="361">
        <f>IF($A13="","",SUM(PT!E21,PT!E22))</f>
        <v>0</v>
      </c>
      <c r="E13" s="362">
        <f>IF($A13="","",SUM(PT!F21,PT!F22))</f>
        <v>0</v>
      </c>
      <c r="F13" s="363">
        <f>IF($A13="","",SUM(PT!G21,PT!G22))</f>
        <v>0</v>
      </c>
      <c r="G13" s="364">
        <f>IF($A13="","",SUM(PT!H21,PT!H22))</f>
        <v>0</v>
      </c>
      <c r="H13" s="364">
        <f>IF($A13="","",SUM(PT!I21,PT!I22))</f>
        <v>0</v>
      </c>
      <c r="I13" s="364">
        <f>IF($A13="","",SUM(PT!J21,PT!J22))</f>
        <v>1</v>
      </c>
      <c r="J13" s="364">
        <f>IF($A13="","",SUM(PT!K21,PT!K22))</f>
        <v>0</v>
      </c>
      <c r="K13" s="364">
        <f>IF($A13="","",SUM(PT!L21,PT!L22))</f>
        <v>0</v>
      </c>
      <c r="L13" s="364">
        <f>IF($A13="","",SUM(PT!M21,PT!M22))</f>
        <v>0</v>
      </c>
      <c r="M13" s="364">
        <f>IF($A13="","",SUM(PT!N21,PT!N22))</f>
        <v>0</v>
      </c>
      <c r="N13" s="364">
        <f>IF($A13="","",SUM(PT!O21,PT!O22))</f>
        <v>0</v>
      </c>
      <c r="O13" s="364">
        <f>IF($A13="","",SUM(PT!P21,PT!P22))</f>
        <v>0</v>
      </c>
      <c r="P13" s="364">
        <f>IF($A13="","",SUM(PT!Q21,PT!Q22))</f>
        <v>0</v>
      </c>
      <c r="Q13" s="364">
        <f>IF($A13="","",SUM(PT!R21,PT!R22))</f>
        <v>0</v>
      </c>
      <c r="R13" s="364"/>
      <c r="S13" s="364"/>
      <c r="T13" s="365">
        <f t="shared" si="1"/>
        <v>1</v>
      </c>
      <c r="U13" s="366">
        <f>IF($A13="","",SUM(PT!U21,PT!U22))</f>
        <v>1</v>
      </c>
      <c r="V13" s="367" t="str">
        <f>IF($A13="","",PT!AJ22)</f>
        <v/>
      </c>
      <c r="W13" s="368">
        <f>'Game Summary'!F15</f>
        <v>10</v>
      </c>
      <c r="X13" s="369">
        <f t="shared" si="0"/>
        <v>0.1</v>
      </c>
    </row>
    <row r="14" spans="1:28" ht="25.05" customHeight="1" x14ac:dyDescent="0.3">
      <c r="A14" s="351" t="str">
        <f>IF(IGRF!B24="","",IGRF!B24)</f>
        <v>352</v>
      </c>
      <c r="B14" s="1109" t="str">
        <f>IF(IGRF!C24="","",IGRF!C24)</f>
        <v>Olive Havoc</v>
      </c>
      <c r="C14" s="1110"/>
      <c r="D14" s="352">
        <f>IF($A14="","",SUM(PT!E23,PT!E24))</f>
        <v>0</v>
      </c>
      <c r="E14" s="353">
        <f>IF($A14="","",SUM(PT!F23,PT!F24))</f>
        <v>1</v>
      </c>
      <c r="F14" s="353">
        <f>IF($A14="","",SUM(PT!G23,PT!G24))</f>
        <v>0</v>
      </c>
      <c r="G14" s="353">
        <f>IF($A14="","",SUM(PT!H23,PT!H24))</f>
        <v>0</v>
      </c>
      <c r="H14" s="353">
        <f>IF($A14="","",SUM(PT!I23,PT!I24))</f>
        <v>0</v>
      </c>
      <c r="I14" s="353">
        <f>IF($A14="","",SUM(PT!J23,PT!J24))</f>
        <v>0</v>
      </c>
      <c r="J14" s="353">
        <f>IF($A14="","",SUM(PT!K23,PT!K24))</f>
        <v>0</v>
      </c>
      <c r="K14" s="353">
        <f>IF($A14="","",SUM(PT!L23,PT!L24))</f>
        <v>0</v>
      </c>
      <c r="L14" s="353">
        <f>IF($A14="","",SUM(PT!M23,PT!M24))</f>
        <v>0</v>
      </c>
      <c r="M14" s="353">
        <f>IF($A14="","",SUM(PT!N23,PT!N24))</f>
        <v>0</v>
      </c>
      <c r="N14" s="353">
        <f>IF($A14="","",SUM(PT!O23,PT!O24))</f>
        <v>0</v>
      </c>
      <c r="O14" s="353">
        <f>IF($A14="","",SUM(PT!P23,PT!P24))</f>
        <v>2</v>
      </c>
      <c r="P14" s="353">
        <f>IF($A14="","",SUM(PT!Q23,PT!Q24))</f>
        <v>0</v>
      </c>
      <c r="Q14" s="353">
        <f>IF($A14="","",SUM(PT!R23,PT!R24))</f>
        <v>0</v>
      </c>
      <c r="R14" s="353"/>
      <c r="S14" s="354"/>
      <c r="T14" s="355">
        <f t="shared" si="1"/>
        <v>3</v>
      </c>
      <c r="U14" s="356">
        <f>IF($A14="","",SUM(PT!U23,PT!U24))</f>
        <v>3</v>
      </c>
      <c r="V14" s="357" t="str">
        <f>IF($A14="","",PT!AJ24)</f>
        <v/>
      </c>
      <c r="W14" s="358">
        <f>'Game Summary'!F16</f>
        <v>13</v>
      </c>
      <c r="X14" s="359">
        <f t="shared" si="0"/>
        <v>0.23076923076923078</v>
      </c>
    </row>
    <row r="15" spans="1:28" ht="25.05" customHeight="1" x14ac:dyDescent="0.3">
      <c r="A15" s="360" t="str">
        <f>IF(IGRF!B25="","",IGRF!B25)</f>
        <v>36</v>
      </c>
      <c r="B15" s="1107" t="str">
        <f>IF(IGRF!C25="","",IGRF!C25)</f>
        <v>Meanie</v>
      </c>
      <c r="C15" s="1108"/>
      <c r="D15" s="361">
        <f>IF($A15="","",SUM(PT!E25,PT!E26))</f>
        <v>0</v>
      </c>
      <c r="E15" s="362">
        <f>IF($A15="","",SUM(PT!F25,PT!F26))</f>
        <v>0</v>
      </c>
      <c r="F15" s="363">
        <f>IF($A15="","",SUM(PT!G25,PT!G26))</f>
        <v>1</v>
      </c>
      <c r="G15" s="364">
        <f>IF($A15="","",SUM(PT!H25,PT!H26))</f>
        <v>0</v>
      </c>
      <c r="H15" s="364">
        <f>IF($A15="","",SUM(PT!I25,PT!I26))</f>
        <v>0</v>
      </c>
      <c r="I15" s="364">
        <f>IF($A15="","",SUM(PT!J25,PT!J26))</f>
        <v>0</v>
      </c>
      <c r="J15" s="364">
        <f>IF($A15="","",SUM(PT!K25,PT!K26))</f>
        <v>0</v>
      </c>
      <c r="K15" s="364">
        <f>IF($A15="","",SUM(PT!L25,PT!L26))</f>
        <v>0</v>
      </c>
      <c r="L15" s="364">
        <f>IF($A15="","",SUM(PT!M25,PT!M26))</f>
        <v>0</v>
      </c>
      <c r="M15" s="364">
        <f>IF($A15="","",SUM(PT!N25,PT!N26))</f>
        <v>1</v>
      </c>
      <c r="N15" s="364">
        <f>IF($A15="","",SUM(PT!O25,PT!O26))</f>
        <v>0</v>
      </c>
      <c r="O15" s="364">
        <f>IF($A15="","",SUM(PT!P25,PT!P26))</f>
        <v>0</v>
      </c>
      <c r="P15" s="364">
        <f>IF($A15="","",SUM(PT!Q25,PT!Q26))</f>
        <v>0</v>
      </c>
      <c r="Q15" s="364">
        <f>IF($A15="","",SUM(PT!R25,PT!R26))</f>
        <v>0</v>
      </c>
      <c r="R15" s="364"/>
      <c r="S15" s="364"/>
      <c r="T15" s="365">
        <f t="shared" si="1"/>
        <v>2</v>
      </c>
      <c r="U15" s="366">
        <f>IF($A15="","",SUM(PT!U25,PT!U26))</f>
        <v>2</v>
      </c>
      <c r="V15" s="367" t="str">
        <f>IF($A15="","",PT!AJ26)</f>
        <v/>
      </c>
      <c r="W15" s="368">
        <f>'Game Summary'!F17</f>
        <v>5</v>
      </c>
      <c r="X15" s="369">
        <f t="shared" si="0"/>
        <v>0.4</v>
      </c>
    </row>
    <row r="16" spans="1:28" ht="25.05" customHeight="1" x14ac:dyDescent="0.3">
      <c r="A16" s="351" t="str">
        <f>IF(IGRF!B26="","",IGRF!B26)</f>
        <v>64</v>
      </c>
      <c r="B16" s="1109" t="str">
        <f>IF(IGRF!C26="","",IGRF!C26)</f>
        <v>Cruzella</v>
      </c>
      <c r="C16" s="1110"/>
      <c r="D16" s="352">
        <f>IF($A16="","",SUM(PT!E27,PT!E28))</f>
        <v>0</v>
      </c>
      <c r="E16" s="353">
        <f>IF($A16="","",SUM(PT!F27,PT!F28))</f>
        <v>0</v>
      </c>
      <c r="F16" s="353">
        <f>IF($A16="","",SUM(PT!G27,PT!G28))</f>
        <v>0</v>
      </c>
      <c r="G16" s="353">
        <f>IF($A16="","",SUM(PT!H27,PT!H28))</f>
        <v>0</v>
      </c>
      <c r="H16" s="353">
        <f>IF($A16="","",SUM(PT!I27,PT!I28))</f>
        <v>0</v>
      </c>
      <c r="I16" s="353">
        <f>IF($A16="","",SUM(PT!J27,PT!J28))</f>
        <v>0</v>
      </c>
      <c r="J16" s="353">
        <f>IF($A16="","",SUM(PT!K27,PT!K28))</f>
        <v>0</v>
      </c>
      <c r="K16" s="353">
        <f>IF($A16="","",SUM(PT!L27,PT!L28))</f>
        <v>0</v>
      </c>
      <c r="L16" s="353">
        <f>IF($A16="","",SUM(PT!M27,PT!M28))</f>
        <v>0</v>
      </c>
      <c r="M16" s="353">
        <f>IF($A16="","",SUM(PT!N27,PT!N28))</f>
        <v>0</v>
      </c>
      <c r="N16" s="353">
        <f>IF($A16="","",SUM(PT!O27,PT!O28))</f>
        <v>0</v>
      </c>
      <c r="O16" s="353">
        <f>IF($A16="","",SUM(PT!P27,PT!P28))</f>
        <v>0</v>
      </c>
      <c r="P16" s="353">
        <f>IF($A16="","",SUM(PT!Q27,PT!Q28))</f>
        <v>0</v>
      </c>
      <c r="Q16" s="353">
        <f>IF($A16="","",SUM(PT!R27,PT!R28))</f>
        <v>0</v>
      </c>
      <c r="R16" s="353"/>
      <c r="S16" s="354"/>
      <c r="T16" s="355">
        <f t="shared" si="1"/>
        <v>0</v>
      </c>
      <c r="U16" s="356">
        <f>IF($A16="","",SUM(PT!U27,PT!U28))</f>
        <v>0</v>
      </c>
      <c r="V16" s="357" t="str">
        <f>IF($A16="","",PT!AJ28)</f>
        <v/>
      </c>
      <c r="W16" s="358">
        <f>'Game Summary'!F18</f>
        <v>2</v>
      </c>
      <c r="X16" s="359">
        <f t="shared" si="0"/>
        <v>0</v>
      </c>
    </row>
    <row r="17" spans="1:28" ht="25.05" customHeight="1" x14ac:dyDescent="0.3">
      <c r="A17" s="360" t="str">
        <f>IF(IGRF!B27="","",IGRF!B27)</f>
        <v>825</v>
      </c>
      <c r="B17" s="1107" t="str">
        <f>IF(IGRF!C27="","",IGRF!C27)</f>
        <v>Rot-N 2 the Cor-E</v>
      </c>
      <c r="C17" s="1108"/>
      <c r="D17" s="361">
        <f>IF($A17="","",SUM(PT!E29,PT!E30))</f>
        <v>0</v>
      </c>
      <c r="E17" s="362">
        <f>IF($A17="","",SUM(PT!F29,PT!F30))</f>
        <v>0</v>
      </c>
      <c r="F17" s="363">
        <f>IF($A17="","",SUM(PT!G29,PT!G30))</f>
        <v>0</v>
      </c>
      <c r="G17" s="364">
        <f>IF($A17="","",SUM(PT!H29,PT!H30))</f>
        <v>0</v>
      </c>
      <c r="H17" s="364">
        <f>IF($A17="","",SUM(PT!I29,PT!I30))</f>
        <v>0</v>
      </c>
      <c r="I17" s="364">
        <f>IF($A17="","",SUM(PT!J29,PT!J30))</f>
        <v>1</v>
      </c>
      <c r="J17" s="364">
        <f>IF($A17="","",SUM(PT!K29,PT!K30))</f>
        <v>0</v>
      </c>
      <c r="K17" s="364">
        <f>IF($A17="","",SUM(PT!L29,PT!L30))</f>
        <v>0</v>
      </c>
      <c r="L17" s="364">
        <f>IF($A17="","",SUM(PT!M29,PT!M30))</f>
        <v>0</v>
      </c>
      <c r="M17" s="364">
        <f>IF($A17="","",SUM(PT!N29,PT!N30))</f>
        <v>0</v>
      </c>
      <c r="N17" s="364">
        <f>IF($A17="","",SUM(PT!O29,PT!O30))</f>
        <v>0</v>
      </c>
      <c r="O17" s="364">
        <f>IF($A17="","",SUM(PT!P29,PT!P30))</f>
        <v>0</v>
      </c>
      <c r="P17" s="364">
        <f>IF($A17="","",SUM(PT!Q29,PT!Q30))</f>
        <v>0</v>
      </c>
      <c r="Q17" s="364">
        <f>IF($A17="","",SUM(PT!R29,PT!R30))</f>
        <v>0</v>
      </c>
      <c r="R17" s="364"/>
      <c r="S17" s="364"/>
      <c r="T17" s="365">
        <f t="shared" si="1"/>
        <v>1</v>
      </c>
      <c r="U17" s="366">
        <f>IF($A17="","",SUM(PT!U29,PT!U30))</f>
        <v>1</v>
      </c>
      <c r="V17" s="367" t="str">
        <f>IF($A17="","",PT!AJ30)</f>
        <v/>
      </c>
      <c r="W17" s="368">
        <f>'Game Summary'!F19</f>
        <v>4</v>
      </c>
      <c r="X17" s="369">
        <f t="shared" si="0"/>
        <v>0.25</v>
      </c>
    </row>
    <row r="18" spans="1:28" ht="25.05" customHeight="1" x14ac:dyDescent="0.3">
      <c r="A18" s="351" t="str">
        <f>IF(IGRF!B28="","",IGRF!B28)</f>
        <v>83</v>
      </c>
      <c r="B18" s="1109" t="str">
        <f>IF(IGRF!C28="","",IGRF!C28)</f>
        <v>Grit n Barite</v>
      </c>
      <c r="C18" s="1110"/>
      <c r="D18" s="352">
        <f>IF($A18="","",SUM(PT!E31,PT!E32))</f>
        <v>0</v>
      </c>
      <c r="E18" s="353">
        <f>IF($A18="","",SUM(PT!F31,PT!F32))</f>
        <v>0</v>
      </c>
      <c r="F18" s="353">
        <f>IF($A18="","",SUM(PT!G31,PT!G32))</f>
        <v>0</v>
      </c>
      <c r="G18" s="353">
        <f>IF($A18="","",SUM(PT!H31,PT!H32))</f>
        <v>0</v>
      </c>
      <c r="H18" s="353">
        <f>IF($A18="","",SUM(PT!I31,PT!I32))</f>
        <v>0</v>
      </c>
      <c r="I18" s="353">
        <f>IF($A18="","",SUM(PT!J31,PT!J32))</f>
        <v>0</v>
      </c>
      <c r="J18" s="353">
        <f>IF($A18="","",SUM(PT!K31,PT!K32))</f>
        <v>0</v>
      </c>
      <c r="K18" s="353">
        <f>IF($A18="","",SUM(PT!L31,PT!L32))</f>
        <v>1</v>
      </c>
      <c r="L18" s="353">
        <f>IF($A18="","",SUM(PT!M31,PT!M32))</f>
        <v>1</v>
      </c>
      <c r="M18" s="353">
        <f>IF($A18="","",SUM(PT!N31,PT!N32))</f>
        <v>0</v>
      </c>
      <c r="N18" s="353">
        <f>IF($A18="","",SUM(PT!O31,PT!O32))</f>
        <v>0</v>
      </c>
      <c r="O18" s="353">
        <f>IF($A18="","",SUM(PT!P31,PT!P32))</f>
        <v>1</v>
      </c>
      <c r="P18" s="353">
        <f>IF($A18="","",SUM(PT!Q31,PT!Q32))</f>
        <v>0</v>
      </c>
      <c r="Q18" s="353">
        <f>IF($A18="","",SUM(PT!R31,PT!R32))</f>
        <v>0</v>
      </c>
      <c r="R18" s="353"/>
      <c r="S18" s="354"/>
      <c r="T18" s="355">
        <f t="shared" si="1"/>
        <v>3</v>
      </c>
      <c r="U18" s="356">
        <f>IF($A18="","",SUM(PT!U31,PT!U32))</f>
        <v>3</v>
      </c>
      <c r="V18" s="357" t="str">
        <f>IF($A18="","",PT!AJ32)</f>
        <v/>
      </c>
      <c r="W18" s="358">
        <f>'Game Summary'!F20</f>
        <v>14</v>
      </c>
      <c r="X18" s="359">
        <f t="shared" si="0"/>
        <v>0.21428571428571427</v>
      </c>
    </row>
    <row r="19" spans="1:28" ht="25.05" customHeight="1" x14ac:dyDescent="0.3">
      <c r="A19" s="360" t="str">
        <f>IF(IGRF!B29="","",IGRF!B29)</f>
        <v>84</v>
      </c>
      <c r="B19" s="1107" t="str">
        <f>IF(IGRF!C29="","",IGRF!C29)</f>
        <v>Phoenix</v>
      </c>
      <c r="C19" s="1108"/>
      <c r="D19" s="361">
        <f>IF($A19="","",SUM(PT!E33,PT!E34))</f>
        <v>0</v>
      </c>
      <c r="E19" s="362">
        <f>IF($A19="","",SUM(PT!F33,PT!F34))</f>
        <v>0</v>
      </c>
      <c r="F19" s="363">
        <f>IF($A19="","",SUM(PT!G33,PT!G34))</f>
        <v>0</v>
      </c>
      <c r="G19" s="364">
        <f>IF($A19="","",SUM(PT!H33,PT!H34))</f>
        <v>0</v>
      </c>
      <c r="H19" s="364">
        <f>IF($A19="","",SUM(PT!I33,PT!I34))</f>
        <v>0</v>
      </c>
      <c r="I19" s="364">
        <f>IF($A19="","",SUM(PT!J33,PT!J34))</f>
        <v>4</v>
      </c>
      <c r="J19" s="364">
        <f>IF($A19="","",SUM(PT!K33,PT!K34))</f>
        <v>0</v>
      </c>
      <c r="K19" s="364">
        <f>IF($A19="","",SUM(PT!L33,PT!L34))</f>
        <v>0</v>
      </c>
      <c r="L19" s="364">
        <f>IF($A19="","",SUM(PT!M33,PT!M34))</f>
        <v>0</v>
      </c>
      <c r="M19" s="364">
        <f>IF($A19="","",SUM(PT!N33,PT!N34))</f>
        <v>1</v>
      </c>
      <c r="N19" s="364">
        <f>IF($A19="","",SUM(PT!O33,PT!O34))</f>
        <v>0</v>
      </c>
      <c r="O19" s="364">
        <f>IF($A19="","",SUM(PT!P33,PT!P34))</f>
        <v>0</v>
      </c>
      <c r="P19" s="364">
        <f>IF($A19="","",SUM(PT!Q33,PT!Q34))</f>
        <v>0</v>
      </c>
      <c r="Q19" s="364">
        <f>IF($A19="","",SUM(PT!R33,PT!R34))</f>
        <v>0</v>
      </c>
      <c r="R19" s="364"/>
      <c r="S19" s="364"/>
      <c r="T19" s="365">
        <f t="shared" si="1"/>
        <v>5</v>
      </c>
      <c r="U19" s="366">
        <f>IF($A19="","",SUM(PT!U33,PT!U34))</f>
        <v>5</v>
      </c>
      <c r="V19" s="367" t="str">
        <f>IF($A19="","",PT!AJ34)</f>
        <v/>
      </c>
      <c r="W19" s="368">
        <f>'Game Summary'!F21</f>
        <v>20</v>
      </c>
      <c r="X19" s="369">
        <f t="shared" si="0"/>
        <v>0.25</v>
      </c>
    </row>
    <row r="20" spans="1:28" s="370" customFormat="1" ht="25.05" customHeight="1" x14ac:dyDescent="0.25">
      <c r="A20" s="351" t="str">
        <f>IF(IGRF!B30="","",IGRF!B30)</f>
        <v>86</v>
      </c>
      <c r="B20" s="1109" t="str">
        <f>IF(IGRF!C30="","",IGRF!C30)</f>
        <v>P.T.S.D.</v>
      </c>
      <c r="C20" s="1110"/>
      <c r="D20" s="352">
        <f>IF($A20="","",SUM(PT!E35,PT!E36))</f>
        <v>0</v>
      </c>
      <c r="E20" s="353">
        <f>IF($A20="","",SUM(PT!F35,PT!F36))</f>
        <v>0</v>
      </c>
      <c r="F20" s="353">
        <f>IF($A20="","",SUM(PT!G35,PT!G36))</f>
        <v>0</v>
      </c>
      <c r="G20" s="353">
        <f>IF($A20="","",SUM(PT!H35,PT!H36))</f>
        <v>0</v>
      </c>
      <c r="H20" s="353">
        <f>IF($A20="","",SUM(PT!I35,PT!I36))</f>
        <v>0</v>
      </c>
      <c r="I20" s="353">
        <f>IF($A20="","",SUM(PT!J35,PT!J36))</f>
        <v>1</v>
      </c>
      <c r="J20" s="353">
        <f>IF($A20="","",SUM(PT!K35,PT!K36))</f>
        <v>0</v>
      </c>
      <c r="K20" s="353">
        <f>IF($A20="","",SUM(PT!L35,PT!L36))</f>
        <v>1</v>
      </c>
      <c r="L20" s="353">
        <f>IF($A20="","",SUM(PT!M35,PT!M36))</f>
        <v>0</v>
      </c>
      <c r="M20" s="353">
        <f>IF($A20="","",SUM(PT!N35,PT!N36))</f>
        <v>0</v>
      </c>
      <c r="N20" s="353">
        <f>IF($A20="","",SUM(PT!O35,PT!O36))</f>
        <v>0</v>
      </c>
      <c r="O20" s="353">
        <f>IF($A20="","",SUM(PT!P35,PT!P36))</f>
        <v>0</v>
      </c>
      <c r="P20" s="353">
        <f>IF($A20="","",SUM(PT!Q35,PT!Q36))</f>
        <v>0</v>
      </c>
      <c r="Q20" s="353">
        <f>IF($A20="","",SUM(PT!R35,PT!R36))</f>
        <v>0</v>
      </c>
      <c r="R20" s="353"/>
      <c r="S20" s="354"/>
      <c r="T20" s="355">
        <f t="shared" si="1"/>
        <v>2</v>
      </c>
      <c r="U20" s="356">
        <f>IF($A20="","",SUM(PT!U35,PT!U36))</f>
        <v>2</v>
      </c>
      <c r="V20" s="357" t="str">
        <f>IF($A20="","",PT!AJ36)</f>
        <v/>
      </c>
      <c r="W20" s="358">
        <f>'Game Summary'!F22</f>
        <v>18</v>
      </c>
      <c r="X20" s="359">
        <f t="shared" si="0"/>
        <v>0.1111111111111111</v>
      </c>
    </row>
    <row r="21" spans="1:28" ht="25.05" customHeight="1" x14ac:dyDescent="0.3">
      <c r="A21" s="360" t="str">
        <f>IF(IGRF!B31="","",IGRF!B31)</f>
        <v/>
      </c>
      <c r="B21" s="1107" t="str">
        <f>IF(IGRF!C31="","",IGRF!C31)</f>
        <v/>
      </c>
      <c r="C21" s="1108"/>
      <c r="D21" s="361" t="str">
        <f>IF($A21="","",SUM(PT!E37,PT!E38))</f>
        <v/>
      </c>
      <c r="E21" s="362" t="str">
        <f>IF($A21="","",SUM(PT!F37,PT!F38))</f>
        <v/>
      </c>
      <c r="F21" s="363" t="str">
        <f>IF($A21="","",SUM(PT!G37,PT!G38))</f>
        <v/>
      </c>
      <c r="G21" s="364" t="str">
        <f>IF($A21="","",SUM(PT!H37,PT!H38))</f>
        <v/>
      </c>
      <c r="H21" s="364" t="str">
        <f>IF($A21="","",SUM(PT!I37,PT!I38))</f>
        <v/>
      </c>
      <c r="I21" s="364" t="str">
        <f>IF($A21="","",SUM(PT!J37,PT!J38))</f>
        <v/>
      </c>
      <c r="J21" s="364" t="str">
        <f>IF($A21="","",SUM(PT!K37,PT!K38))</f>
        <v/>
      </c>
      <c r="K21" s="364" t="str">
        <f>IF($A21="","",SUM(PT!L37,PT!L38))</f>
        <v/>
      </c>
      <c r="L21" s="364" t="str">
        <f>IF($A21="","",SUM(PT!M37,PT!M38))</f>
        <v/>
      </c>
      <c r="M21" s="364" t="str">
        <f>IF($A21="","",SUM(PT!N37,PT!N38))</f>
        <v/>
      </c>
      <c r="N21" s="364" t="str">
        <f>IF($A21="","",SUM(PT!O37,PT!O38))</f>
        <v/>
      </c>
      <c r="O21" s="364" t="str">
        <f>IF($A21="","",SUM(PT!P37,PT!P38))</f>
        <v/>
      </c>
      <c r="P21" s="364" t="str">
        <f>IF($A21="","",SUM(PT!Q37,PT!Q38))</f>
        <v/>
      </c>
      <c r="Q21" s="364" t="str">
        <f>IF($A21="","",SUM(PT!R37,PT!R38))</f>
        <v/>
      </c>
      <c r="R21" s="364"/>
      <c r="S21" s="364"/>
      <c r="T21" s="365" t="str">
        <f t="shared" si="1"/>
        <v/>
      </c>
      <c r="U21" s="366" t="str">
        <f>IF($A21="","",SUM(PT!U37,PT!U38))</f>
        <v/>
      </c>
      <c r="V21" s="367" t="str">
        <f>IF($A21="","",PT!AJ38)</f>
        <v/>
      </c>
      <c r="W21" s="368" t="str">
        <f>'Game Summary'!F23</f>
        <v/>
      </c>
      <c r="X21" s="369" t="str">
        <f t="shared" si="0"/>
        <v/>
      </c>
      <c r="Y21" s="340"/>
      <c r="Z21" s="340"/>
      <c r="AA21" s="340"/>
      <c r="AB21" s="340"/>
    </row>
    <row r="22" spans="1:28" ht="25.05" customHeight="1" x14ac:dyDescent="0.3">
      <c r="A22" s="351" t="str">
        <f>IF(IGRF!B32="","",IGRF!B32)</f>
        <v/>
      </c>
      <c r="B22" s="1109" t="str">
        <f>IF(IGRF!C32="","",IGRF!C32)</f>
        <v/>
      </c>
      <c r="C22" s="1110"/>
      <c r="D22" s="352" t="str">
        <f>IF($A22="","",SUM(PT!E39,PT!E40))</f>
        <v/>
      </c>
      <c r="E22" s="353" t="str">
        <f>IF($A22="","",SUM(PT!F39,PT!F40))</f>
        <v/>
      </c>
      <c r="F22" s="353" t="str">
        <f>IF($A22="","",SUM(PT!G39,PT!G40))</f>
        <v/>
      </c>
      <c r="G22" s="353" t="str">
        <f>IF($A22="","",SUM(PT!H39,PT!H40))</f>
        <v/>
      </c>
      <c r="H22" s="353" t="str">
        <f>IF($A22="","",SUM(PT!I39,PT!I40))</f>
        <v/>
      </c>
      <c r="I22" s="353" t="str">
        <f>IF($A22="","",SUM(PT!J39,PT!J40))</f>
        <v/>
      </c>
      <c r="J22" s="353" t="str">
        <f>IF($A22="","",SUM(PT!K39,PT!K40))</f>
        <v/>
      </c>
      <c r="K22" s="353" t="str">
        <f>IF($A22="","",SUM(PT!L39,PT!L40))</f>
        <v/>
      </c>
      <c r="L22" s="353" t="str">
        <f>IF($A22="","",SUM(PT!M39,PT!M40))</f>
        <v/>
      </c>
      <c r="M22" s="353" t="str">
        <f>IF($A22="","",SUM(PT!N39,PT!N40))</f>
        <v/>
      </c>
      <c r="N22" s="353" t="str">
        <f>IF($A22="","",SUM(PT!O39,PT!O40))</f>
        <v/>
      </c>
      <c r="O22" s="353" t="str">
        <f>IF($A22="","",SUM(PT!P39,PT!P40))</f>
        <v/>
      </c>
      <c r="P22" s="353" t="str">
        <f>IF($A22="","",SUM(PT!Q39,PT!Q40))</f>
        <v/>
      </c>
      <c r="Q22" s="353" t="str">
        <f>IF($A22="","",SUM(PT!R39,PT!R40))</f>
        <v/>
      </c>
      <c r="R22" s="353"/>
      <c r="S22" s="354"/>
      <c r="T22" s="355" t="str">
        <f t="shared" si="1"/>
        <v/>
      </c>
      <c r="U22" s="356" t="str">
        <f>IF($A22="","",SUM(PT!U39,PT!U40))</f>
        <v/>
      </c>
      <c r="V22" s="357" t="str">
        <f>IF($A22="","",PT!AJ40)</f>
        <v/>
      </c>
      <c r="W22" s="358" t="str">
        <f>'Game Summary'!F24</f>
        <v/>
      </c>
      <c r="X22" s="359" t="str">
        <f t="shared" si="0"/>
        <v/>
      </c>
    </row>
    <row r="23" spans="1:28" ht="25.05" customHeight="1" thickBot="1" x14ac:dyDescent="0.35">
      <c r="A23" s="360" t="str">
        <f>IF(IGRF!B33="","",IGRF!B33)</f>
        <v/>
      </c>
      <c r="B23" s="1107" t="str">
        <f>IF(IGRF!C33="","",IGRF!C33)</f>
        <v/>
      </c>
      <c r="C23" s="1124"/>
      <c r="D23" s="361" t="str">
        <f>IF($A23="","",SUM(PT!E41,PT!E42))</f>
        <v/>
      </c>
      <c r="E23" s="362" t="str">
        <f>IF($A23="","",SUM(PT!F41,PT!F42))</f>
        <v/>
      </c>
      <c r="F23" s="363" t="str">
        <f>IF($A23="","",SUM(PT!G41,PT!G42))</f>
        <v/>
      </c>
      <c r="G23" s="364" t="str">
        <f>IF($A23="","",SUM(PT!H41,PT!H42))</f>
        <v/>
      </c>
      <c r="H23" s="364" t="str">
        <f>IF($A23="","",SUM(PT!I41,PT!I42))</f>
        <v/>
      </c>
      <c r="I23" s="364" t="str">
        <f>IF($A23="","",SUM(PT!J41,PT!J42))</f>
        <v/>
      </c>
      <c r="J23" s="364" t="str">
        <f>IF($A23="","",SUM(PT!K41,PT!K42))</f>
        <v/>
      </c>
      <c r="K23" s="364" t="str">
        <f>IF($A23="","",SUM(PT!L41,PT!L42))</f>
        <v/>
      </c>
      <c r="L23" s="364" t="str">
        <f>IF($A23="","",SUM(PT!M41,PT!M42))</f>
        <v/>
      </c>
      <c r="M23" s="364" t="str">
        <f>IF($A23="","",SUM(PT!N41,PT!N42))</f>
        <v/>
      </c>
      <c r="N23" s="364" t="str">
        <f>IF($A23="","",SUM(PT!O41,PT!O42))</f>
        <v/>
      </c>
      <c r="O23" s="364" t="str">
        <f>IF($A23="","",SUM(PT!P41,PT!P42))</f>
        <v/>
      </c>
      <c r="P23" s="364" t="str">
        <f>IF($A23="","",SUM(PT!Q41,PT!Q42))</f>
        <v/>
      </c>
      <c r="Q23" s="364" t="str">
        <f>IF($A23="","",SUM(PT!R41,PT!R42))</f>
        <v/>
      </c>
      <c r="R23" s="364"/>
      <c r="S23" s="364"/>
      <c r="T23" s="365" t="str">
        <f t="shared" si="1"/>
        <v/>
      </c>
      <c r="U23" s="366" t="str">
        <f>IF($A23="","",SUM(PT!U41,PT!U42))</f>
        <v/>
      </c>
      <c r="V23" s="367" t="str">
        <f>IF($A23="","",PT!AJ42)</f>
        <v/>
      </c>
      <c r="W23" s="368" t="str">
        <f>'Game Summary'!F25</f>
        <v/>
      </c>
      <c r="X23" s="369" t="str">
        <f t="shared" si="0"/>
        <v/>
      </c>
    </row>
    <row r="24" spans="1:28" ht="21.75" customHeight="1" x14ac:dyDescent="0.3">
      <c r="A24" s="1111" t="s">
        <v>274</v>
      </c>
      <c r="B24" s="1112"/>
      <c r="C24" s="371" t="str">
        <f>PT!AJ44</f>
        <v/>
      </c>
      <c r="D24" s="1095" t="str">
        <f t="shared" ref="D24:Q24" si="2">D3</f>
        <v>Misconduct</v>
      </c>
      <c r="E24" s="1095" t="str">
        <f t="shared" si="2"/>
        <v>High Block</v>
      </c>
      <c r="F24" s="1095" t="str">
        <f t="shared" si="2"/>
        <v>Back Block</v>
      </c>
      <c r="G24" s="1095" t="str">
        <f t="shared" si="2"/>
        <v>Low Block</v>
      </c>
      <c r="H24" s="1095" t="str">
        <f t="shared" si="2"/>
        <v>Leg Block</v>
      </c>
      <c r="I24" s="1095" t="str">
        <f t="shared" si="2"/>
        <v>Forearms</v>
      </c>
      <c r="J24" s="1095" t="str">
        <f t="shared" si="2"/>
        <v>Head Block</v>
      </c>
      <c r="K24" s="1095" t="str">
        <f t="shared" si="2"/>
        <v>Multiplayer</v>
      </c>
      <c r="L24" s="1095" t="str">
        <f t="shared" si="2"/>
        <v>Illegal Contact</v>
      </c>
      <c r="M24" s="1095" t="str">
        <f t="shared" si="2"/>
        <v>Direction</v>
      </c>
      <c r="N24" s="1095" t="str">
        <f t="shared" si="2"/>
        <v>Illegal Position</v>
      </c>
      <c r="O24" s="1095" t="str">
        <f t="shared" si="2"/>
        <v>Cut</v>
      </c>
      <c r="P24" s="1095" t="str">
        <f t="shared" si="2"/>
        <v>Interference</v>
      </c>
      <c r="Q24" s="1095" t="str">
        <f t="shared" si="2"/>
        <v>Illegal Procedure</v>
      </c>
      <c r="R24" s="1095"/>
      <c r="S24" s="1095"/>
      <c r="T24" s="1098" t="s">
        <v>59</v>
      </c>
      <c r="U24" s="372"/>
      <c r="V24" s="373">
        <f>SUM(PT!X49:AI49,C24,C25)</f>
        <v>0</v>
      </c>
      <c r="W24" s="374">
        <f>IF(COUNT(W4:W23)=0,"-",SUM(W4:W23)/COUNT(W4:W23))</f>
        <v>10.588235294117647</v>
      </c>
      <c r="X24" s="375">
        <f>IF(COUNT(X4:X23)=0,"-",SUM(X4:X23)/COUNT(X4:X23))</f>
        <v>0.15259157106983195</v>
      </c>
    </row>
    <row r="25" spans="1:28" ht="20.25" customHeight="1" thickBot="1" x14ac:dyDescent="0.35">
      <c r="A25" s="1101" t="s">
        <v>274</v>
      </c>
      <c r="B25" s="1102"/>
      <c r="C25" s="376" t="str">
        <f>PT!AJ46</f>
        <v/>
      </c>
      <c r="D25" s="1096"/>
      <c r="E25" s="1096"/>
      <c r="F25" s="1096"/>
      <c r="G25" s="1096"/>
      <c r="H25" s="1096"/>
      <c r="I25" s="1096"/>
      <c r="J25" s="1096"/>
      <c r="K25" s="1096"/>
      <c r="L25" s="1096"/>
      <c r="M25" s="1096"/>
      <c r="N25" s="1096"/>
      <c r="O25" s="1096"/>
      <c r="P25" s="1096"/>
      <c r="Q25" s="1096"/>
      <c r="R25" s="1096"/>
      <c r="S25" s="1096"/>
      <c r="T25" s="1099"/>
      <c r="U25" s="377"/>
      <c r="V25" s="1103" t="s">
        <v>61</v>
      </c>
      <c r="W25" s="1105"/>
      <c r="X25" s="1105"/>
    </row>
    <row r="26" spans="1:28" ht="19.95" customHeight="1" thickBot="1" x14ac:dyDescent="0.35">
      <c r="A26" s="1079"/>
      <c r="B26" s="1106"/>
      <c r="C26" s="1106"/>
      <c r="D26" s="1097"/>
      <c r="E26" s="1097"/>
      <c r="F26" s="1097"/>
      <c r="G26" s="1097"/>
      <c r="H26" s="1097"/>
      <c r="I26" s="1097"/>
      <c r="J26" s="1097"/>
      <c r="K26" s="1097"/>
      <c r="L26" s="1097"/>
      <c r="M26" s="1097"/>
      <c r="N26" s="1097"/>
      <c r="O26" s="1097"/>
      <c r="P26" s="1097"/>
      <c r="Q26" s="1097"/>
      <c r="R26" s="1097"/>
      <c r="S26" s="1097"/>
      <c r="T26" s="1100"/>
      <c r="U26" s="377"/>
      <c r="V26" s="1104"/>
      <c r="W26" s="1105"/>
      <c r="X26" s="1105"/>
    </row>
    <row r="27" spans="1:28" ht="12.75" customHeight="1" thickBot="1" x14ac:dyDescent="0.35">
      <c r="A27" s="1079" t="s">
        <v>275</v>
      </c>
      <c r="B27" s="1079"/>
      <c r="C27" s="1079"/>
      <c r="D27" s="378">
        <f>SUM(D4:D23)</f>
        <v>1</v>
      </c>
      <c r="E27" s="378">
        <f t="shared" ref="E27:Q27" si="3">SUM(E4:E23)</f>
        <v>2</v>
      </c>
      <c r="F27" s="378">
        <f t="shared" si="3"/>
        <v>1</v>
      </c>
      <c r="G27" s="378">
        <f t="shared" si="3"/>
        <v>0</v>
      </c>
      <c r="H27" s="378">
        <f t="shared" si="3"/>
        <v>0</v>
      </c>
      <c r="I27" s="378">
        <f t="shared" si="3"/>
        <v>10</v>
      </c>
      <c r="J27" s="378">
        <f t="shared" si="3"/>
        <v>0</v>
      </c>
      <c r="K27" s="378">
        <f t="shared" si="3"/>
        <v>3</v>
      </c>
      <c r="L27" s="378">
        <f t="shared" si="3"/>
        <v>2</v>
      </c>
      <c r="M27" s="378">
        <f t="shared" si="3"/>
        <v>5</v>
      </c>
      <c r="N27" s="378">
        <f t="shared" si="3"/>
        <v>0</v>
      </c>
      <c r="O27" s="378">
        <f t="shared" si="3"/>
        <v>4</v>
      </c>
      <c r="P27" s="378">
        <f t="shared" si="3"/>
        <v>0</v>
      </c>
      <c r="Q27" s="378">
        <f t="shared" si="3"/>
        <v>0</v>
      </c>
      <c r="R27" s="378"/>
      <c r="S27" s="378"/>
      <c r="T27" s="379">
        <f>SUM(T4:T23)</f>
        <v>28</v>
      </c>
      <c r="U27" s="377">
        <f>SUM(U4:U23,C24,C25)</f>
        <v>28</v>
      </c>
      <c r="V27" s="1080" t="s">
        <v>301</v>
      </c>
      <c r="W27" s="1080"/>
      <c r="X27" s="1081"/>
    </row>
    <row r="28" spans="1:28" ht="12.75" customHeight="1" thickBot="1" x14ac:dyDescent="0.35">
      <c r="A28" s="1079"/>
      <c r="B28" s="1079"/>
      <c r="C28" s="1079"/>
      <c r="D28" s="1082" t="s">
        <v>276</v>
      </c>
      <c r="E28" s="1082"/>
      <c r="F28" s="1082"/>
      <c r="G28" s="1082"/>
      <c r="H28" s="1082"/>
      <c r="I28" s="1082"/>
      <c r="J28" s="1083">
        <f>IF(OR(LU!D3=0,LU!D102=0),"",T27/(LU!D3+LU!D102))</f>
        <v>0.77777777777777779</v>
      </c>
      <c r="K28" s="1083"/>
      <c r="L28" s="1084" t="s">
        <v>303</v>
      </c>
      <c r="M28" s="1084"/>
      <c r="N28" s="1084"/>
      <c r="O28" s="1084"/>
      <c r="P28" s="1084"/>
      <c r="Q28" s="380"/>
      <c r="R28" s="1085">
        <f>IF(T27+T56=0,"",T27/(T27+T56))</f>
        <v>0.63636363636363635</v>
      </c>
      <c r="S28" s="1085"/>
      <c r="T28" s="1093">
        <f>IF(T27+T56=0,"",T27/(T27+T56))</f>
        <v>0.63636363636363635</v>
      </c>
      <c r="U28" s="1086">
        <f>IF(U27+U56=0,"",U27/(U27+U56))</f>
        <v>0.63636363636363635</v>
      </c>
      <c r="V28" s="1087" t="s">
        <v>302</v>
      </c>
      <c r="W28" s="1087"/>
      <c r="X28" s="1088"/>
    </row>
    <row r="29" spans="1:28" ht="12.75" customHeight="1" thickBot="1" x14ac:dyDescent="0.35">
      <c r="A29" s="1079"/>
      <c r="B29" s="1079"/>
      <c r="C29" s="1079"/>
      <c r="D29" s="1091" t="s">
        <v>62</v>
      </c>
      <c r="E29" s="1091"/>
      <c r="F29" s="1091"/>
      <c r="G29" s="1091"/>
      <c r="H29" s="1091"/>
      <c r="I29" s="1091"/>
      <c r="J29" s="1092">
        <f>IF(OR(J28="",J57=""),"",J28-J57)</f>
        <v>0.33333333333333337</v>
      </c>
      <c r="K29" s="1092"/>
      <c r="L29" s="1084"/>
      <c r="M29" s="1084"/>
      <c r="N29" s="1084"/>
      <c r="O29" s="1084"/>
      <c r="P29" s="1084"/>
      <c r="Q29" s="380"/>
      <c r="R29" s="1085"/>
      <c r="S29" s="1085"/>
      <c r="T29" s="1094"/>
      <c r="U29" s="1086"/>
      <c r="V29" s="1089"/>
      <c r="W29" s="1089"/>
      <c r="X29" s="1090"/>
    </row>
    <row r="30" spans="1:28" ht="20.25" customHeight="1" thickBot="1" x14ac:dyDescent="0.35">
      <c r="A30" s="1115">
        <f>IF(IGRF!$B$7="","",IGRF!$B$7)</f>
        <v>45144</v>
      </c>
      <c r="B30" s="1115"/>
      <c r="C30" s="1115"/>
      <c r="D30" s="1116" t="s">
        <v>99</v>
      </c>
      <c r="E30" s="1116"/>
      <c r="F30" s="1116"/>
      <c r="G30" s="1116"/>
      <c r="H30" s="1116"/>
      <c r="I30" s="1116"/>
      <c r="J30" s="1116"/>
      <c r="K30" s="1116"/>
      <c r="L30" s="1116"/>
      <c r="M30" s="1116"/>
      <c r="N30" s="1116"/>
      <c r="O30" s="1116"/>
      <c r="P30" s="1116"/>
      <c r="Q30" s="1116"/>
      <c r="R30" s="1116"/>
      <c r="S30" s="1116"/>
      <c r="T30" s="1116"/>
      <c r="U30" s="1116"/>
      <c r="V30" s="1116"/>
      <c r="W30" s="1117"/>
      <c r="X30" s="1117"/>
    </row>
    <row r="31" spans="1:28" ht="66" customHeight="1" thickBot="1" x14ac:dyDescent="0.35">
      <c r="A31" s="1118" t="str">
        <f>Score!$T$1</f>
        <v>Steel City Roller Derby / Steel Hurtin'</v>
      </c>
      <c r="B31" s="1118"/>
      <c r="C31" s="1118"/>
      <c r="D31" s="1119" t="str">
        <f>D2</f>
        <v>Penalties by Skaters</v>
      </c>
      <c r="E31" s="1120"/>
      <c r="F31" s="1120"/>
      <c r="G31" s="1120"/>
      <c r="H31" s="1120"/>
      <c r="I31" s="1120"/>
      <c r="J31" s="1120"/>
      <c r="K31" s="1120"/>
      <c r="L31" s="1120"/>
      <c r="M31" s="1120"/>
      <c r="N31" s="1120"/>
      <c r="O31" s="1120"/>
      <c r="P31" s="1120"/>
      <c r="Q31" s="1120"/>
      <c r="R31" s="1120"/>
      <c r="S31" s="1120"/>
      <c r="T31" s="1121"/>
      <c r="U31" s="339"/>
      <c r="V31" s="339"/>
      <c r="W31" s="1122" t="str">
        <f>W2</f>
        <v>EXTRAPOLATED</v>
      </c>
      <c r="X31" s="1123"/>
    </row>
    <row r="32" spans="1:28" ht="62.25" customHeight="1" x14ac:dyDescent="0.3">
      <c r="A32" s="341" t="s">
        <v>109</v>
      </c>
      <c r="B32" s="1113" t="s">
        <v>101</v>
      </c>
      <c r="C32" s="1114"/>
      <c r="D32" s="342" t="str">
        <f t="shared" ref="D32:P32" si="4">D3</f>
        <v>Misconduct</v>
      </c>
      <c r="E32" s="343" t="str">
        <f t="shared" si="4"/>
        <v>High Block</v>
      </c>
      <c r="F32" s="344" t="str">
        <f t="shared" si="4"/>
        <v>Back Block</v>
      </c>
      <c r="G32" s="344" t="str">
        <f t="shared" si="4"/>
        <v>Low Block</v>
      </c>
      <c r="H32" s="344" t="str">
        <f t="shared" si="4"/>
        <v>Leg Block</v>
      </c>
      <c r="I32" s="344" t="str">
        <f t="shared" si="4"/>
        <v>Forearms</v>
      </c>
      <c r="J32" s="344" t="str">
        <f t="shared" si="4"/>
        <v>Head Block</v>
      </c>
      <c r="K32" s="344" t="str">
        <f t="shared" si="4"/>
        <v>Multiplayer</v>
      </c>
      <c r="L32" s="344" t="str">
        <f t="shared" si="4"/>
        <v>Illegal Contact</v>
      </c>
      <c r="M32" s="344" t="str">
        <f t="shared" si="4"/>
        <v>Direction</v>
      </c>
      <c r="N32" s="344" t="str">
        <f t="shared" si="4"/>
        <v>Illegal Position</v>
      </c>
      <c r="O32" s="344" t="str">
        <f t="shared" si="4"/>
        <v>Cut</v>
      </c>
      <c r="P32" s="344" t="str">
        <f t="shared" si="4"/>
        <v>Interference</v>
      </c>
      <c r="Q32" s="345" t="str">
        <f>Q3</f>
        <v>Illegal Procedure</v>
      </c>
      <c r="R32" s="345"/>
      <c r="S32" s="345"/>
      <c r="T32" s="346" t="s">
        <v>59</v>
      </c>
      <c r="U32" s="347" t="s">
        <v>304</v>
      </c>
      <c r="V32" s="348" t="s">
        <v>126</v>
      </c>
      <c r="W32" s="349" t="s">
        <v>60</v>
      </c>
      <c r="X32" s="350" t="s">
        <v>305</v>
      </c>
    </row>
    <row r="33" spans="1:24" ht="25.05" customHeight="1" x14ac:dyDescent="0.3">
      <c r="A33" s="351" t="str">
        <f>IF(IGRF!I14="","",IGRF!I14)</f>
        <v>12</v>
      </c>
      <c r="B33" s="1109" t="str">
        <f>IF(IGRF!J14="","",IGRF!J14)</f>
        <v>Zorra</v>
      </c>
      <c r="C33" s="1110"/>
      <c r="D33" s="352">
        <f>IF($A33="","",SUM(PT!E56,PT!E57))</f>
        <v>0</v>
      </c>
      <c r="E33" s="353">
        <f>IF($A33="","",SUM(PT!F56,PT!F57))</f>
        <v>0</v>
      </c>
      <c r="F33" s="353">
        <f>IF($A33="","",SUM(PT!G56,PT!G57))</f>
        <v>0</v>
      </c>
      <c r="G33" s="353">
        <f>IF($A33="","",SUM(PT!H56,PT!H57))</f>
        <v>0</v>
      </c>
      <c r="H33" s="353">
        <f>IF($A33="","",SUM(PT!I56,PT!I57))</f>
        <v>0</v>
      </c>
      <c r="I33" s="353">
        <f>IF($A33="","",SUM(PT!J56,PT!J57))</f>
        <v>0</v>
      </c>
      <c r="J33" s="353">
        <f>IF($A33="","",SUM(PT!K56,PT!K57))</f>
        <v>0</v>
      </c>
      <c r="K33" s="353">
        <f>IF($A33="","",SUM(PT!L56,PT!L57))</f>
        <v>0</v>
      </c>
      <c r="L33" s="353">
        <f>IF($A33="","",SUM(PT!M56,PT!M57))</f>
        <v>0</v>
      </c>
      <c r="M33" s="353">
        <f>IF($A33="","",SUM(PT!N56,PT!N57))</f>
        <v>0</v>
      </c>
      <c r="N33" s="353">
        <f>IF($A33="","",SUM(PT!O56,PT!O57))</f>
        <v>0</v>
      </c>
      <c r="O33" s="353">
        <f>IF($A33="","",SUM(PT!P56,PT!P57))</f>
        <v>3</v>
      </c>
      <c r="P33" s="353">
        <f>IF($A33="","",SUM(PT!Q56,PT!Q57))</f>
        <v>0</v>
      </c>
      <c r="Q33" s="353">
        <f>IF($A33="","",SUM(PT!R56,PT!R57))</f>
        <v>0</v>
      </c>
      <c r="R33" s="353"/>
      <c r="S33" s="354"/>
      <c r="T33" s="355">
        <f>IF($A33="","",SUM(D33:S33))</f>
        <v>3</v>
      </c>
      <c r="U33" s="356">
        <f>IF($A33="","",SUM(PT!U56,PT!U57))</f>
        <v>3</v>
      </c>
      <c r="V33" s="357" t="str">
        <f>IF($A33="","",PT!AJ57)</f>
        <v/>
      </c>
      <c r="W33" s="358">
        <f>'Game Summary'!F28</f>
        <v>15</v>
      </c>
      <c r="X33" s="359">
        <f t="shared" ref="X33:X52" si="5">IF(OR(W33="",W33=0),"",U33/W33)</f>
        <v>0.2</v>
      </c>
    </row>
    <row r="34" spans="1:24" ht="25.05" customHeight="1" x14ac:dyDescent="0.3">
      <c r="A34" s="360" t="str">
        <f>IF(IGRF!I15="","",IGRF!I15)</f>
        <v>16</v>
      </c>
      <c r="B34" s="1107" t="str">
        <f>IF(IGRF!J15="","",IGRF!J15)</f>
        <v>Dodge n Burn</v>
      </c>
      <c r="C34" s="1108"/>
      <c r="D34" s="361">
        <f>IF($A34="","",SUM(PT!E58,PT!E59))</f>
        <v>0</v>
      </c>
      <c r="E34" s="362">
        <f>IF($A34="","",SUM(PT!F58,PT!F59))</f>
        <v>0</v>
      </c>
      <c r="F34" s="363">
        <f>IF($A34="","",SUM(PT!G58,PT!G59))</f>
        <v>0</v>
      </c>
      <c r="G34" s="364">
        <f>IF($A34="","",SUM(PT!H58,PT!H59))</f>
        <v>0</v>
      </c>
      <c r="H34" s="364">
        <f>IF($A34="","",SUM(PT!I58,PT!I59))</f>
        <v>0</v>
      </c>
      <c r="I34" s="364">
        <f>IF($A34="","",SUM(PT!J58,PT!J59))</f>
        <v>0</v>
      </c>
      <c r="J34" s="364">
        <f>IF($A34="","",SUM(PT!K58,PT!K59))</f>
        <v>0</v>
      </c>
      <c r="K34" s="364">
        <f>IF($A34="","",SUM(PT!L58,PT!L59))</f>
        <v>0</v>
      </c>
      <c r="L34" s="364">
        <f>IF($A34="","",SUM(PT!M58,PT!M59))</f>
        <v>0</v>
      </c>
      <c r="M34" s="364">
        <f>IF($A34="","",SUM(PT!N58,PT!N59))</f>
        <v>0</v>
      </c>
      <c r="N34" s="364">
        <f>IF($A34="","",SUM(PT!O58,PT!O59))</f>
        <v>0</v>
      </c>
      <c r="O34" s="364">
        <f>IF($A34="","",SUM(PT!P58,PT!P59))</f>
        <v>0</v>
      </c>
      <c r="P34" s="364">
        <f>IF($A34="","",SUM(PT!Q58,PT!Q59))</f>
        <v>0</v>
      </c>
      <c r="Q34" s="364">
        <f>IF($A34="","",SUM(PT!R58,PT!R59))</f>
        <v>0</v>
      </c>
      <c r="R34" s="364"/>
      <c r="S34" s="364"/>
      <c r="T34" s="365">
        <f t="shared" ref="T34:T52" si="6">IF($A34="","",SUM(D34:S34))</f>
        <v>0</v>
      </c>
      <c r="U34" s="366">
        <f>IF($A34="","",SUM(PT!U58,PT!U59))</f>
        <v>0</v>
      </c>
      <c r="V34" s="367" t="str">
        <f>IF($A34="","",PT!AJ59)</f>
        <v/>
      </c>
      <c r="W34" s="368">
        <f>'Game Summary'!F29</f>
        <v>2</v>
      </c>
      <c r="X34" s="369">
        <f t="shared" si="5"/>
        <v>0</v>
      </c>
    </row>
    <row r="35" spans="1:24" ht="25.05" customHeight="1" x14ac:dyDescent="0.3">
      <c r="A35" s="351" t="str">
        <f>IF(IGRF!I16="","",IGRF!I16)</f>
        <v>17</v>
      </c>
      <c r="B35" s="1109" t="str">
        <f>IF(IGRF!J16="","",IGRF!J16)</f>
        <v>Yinzey Lohan</v>
      </c>
      <c r="C35" s="1110"/>
      <c r="D35" s="352">
        <f>IF($A35="","",SUM(PT!E60,PT!E61))</f>
        <v>0</v>
      </c>
      <c r="E35" s="353">
        <f>IF($A35="","",SUM(PT!F60,PT!F61))</f>
        <v>0</v>
      </c>
      <c r="F35" s="353">
        <f>IF($A35="","",SUM(PT!G60,PT!G61))</f>
        <v>0</v>
      </c>
      <c r="G35" s="353">
        <f>IF($A35="","",SUM(PT!H60,PT!H61))</f>
        <v>0</v>
      </c>
      <c r="H35" s="353">
        <f>IF($A35="","",SUM(PT!I60,PT!I61))</f>
        <v>0</v>
      </c>
      <c r="I35" s="353">
        <f>IF($A35="","",SUM(PT!J60,PT!J61))</f>
        <v>0</v>
      </c>
      <c r="J35" s="353">
        <f>IF($A35="","",SUM(PT!K60,PT!K61))</f>
        <v>0</v>
      </c>
      <c r="K35" s="353">
        <f>IF($A35="","",SUM(PT!L60,PT!L61))</f>
        <v>0</v>
      </c>
      <c r="L35" s="353">
        <f>IF($A35="","",SUM(PT!M60,PT!M61))</f>
        <v>0</v>
      </c>
      <c r="M35" s="353">
        <f>IF($A35="","",SUM(PT!N60,PT!N61))</f>
        <v>1</v>
      </c>
      <c r="N35" s="353">
        <f>IF($A35="","",SUM(PT!O60,PT!O61))</f>
        <v>0</v>
      </c>
      <c r="O35" s="353">
        <f>IF($A35="","",SUM(PT!P60,PT!P61))</f>
        <v>0</v>
      </c>
      <c r="P35" s="353">
        <f>IF($A35="","",SUM(PT!Q60,PT!Q61))</f>
        <v>0</v>
      </c>
      <c r="Q35" s="353">
        <f>IF($A35="","",SUM(PT!R60,PT!R61))</f>
        <v>0</v>
      </c>
      <c r="R35" s="353"/>
      <c r="S35" s="354"/>
      <c r="T35" s="355">
        <f t="shared" si="6"/>
        <v>1</v>
      </c>
      <c r="U35" s="356">
        <f>IF($A35="","",SUM(PT!U60,PT!U61))</f>
        <v>1</v>
      </c>
      <c r="V35" s="357" t="str">
        <f>IF($A35="","",PT!AJ61)</f>
        <v/>
      </c>
      <c r="W35" s="358">
        <f>'Game Summary'!F30</f>
        <v>13</v>
      </c>
      <c r="X35" s="359">
        <f t="shared" si="5"/>
        <v>7.6923076923076927E-2</v>
      </c>
    </row>
    <row r="36" spans="1:24" ht="25.05" customHeight="1" x14ac:dyDescent="0.3">
      <c r="A36" s="360" t="str">
        <f>IF(IGRF!I17="","",IGRF!I17)</f>
        <v>2</v>
      </c>
      <c r="B36" s="1107" t="str">
        <f>IF(IGRF!J17="","",IGRF!J17)</f>
        <v>Stark Raven</v>
      </c>
      <c r="C36" s="1108"/>
      <c r="D36" s="361">
        <f>IF($A36="","",SUM(PT!E62,PT!E63))</f>
        <v>0</v>
      </c>
      <c r="E36" s="362">
        <f>IF($A36="","",SUM(PT!F62,PT!F63))</f>
        <v>0</v>
      </c>
      <c r="F36" s="363">
        <f>IF($A36="","",SUM(PT!G62,PT!G63))</f>
        <v>0</v>
      </c>
      <c r="G36" s="364">
        <f>IF($A36="","",SUM(PT!H62,PT!H63))</f>
        <v>0</v>
      </c>
      <c r="H36" s="364">
        <f>IF($A36="","",SUM(PT!I62,PT!I63))</f>
        <v>0</v>
      </c>
      <c r="I36" s="364">
        <f>IF($A36="","",SUM(PT!J62,PT!J63))</f>
        <v>0</v>
      </c>
      <c r="J36" s="364">
        <f>IF($A36="","",SUM(PT!K62,PT!K63))</f>
        <v>0</v>
      </c>
      <c r="K36" s="364">
        <f>IF($A36="","",SUM(PT!L62,PT!L63))</f>
        <v>0</v>
      </c>
      <c r="L36" s="364">
        <f>IF($A36="","",SUM(PT!M62,PT!M63))</f>
        <v>0</v>
      </c>
      <c r="M36" s="364">
        <f>IF($A36="","",SUM(PT!N62,PT!N63))</f>
        <v>1</v>
      </c>
      <c r="N36" s="364">
        <f>IF($A36="","",SUM(PT!O62,PT!O63))</f>
        <v>0</v>
      </c>
      <c r="O36" s="364">
        <f>IF($A36="","",SUM(PT!P62,PT!P63))</f>
        <v>0</v>
      </c>
      <c r="P36" s="364">
        <f>IF($A36="","",SUM(PT!Q62,PT!Q63))</f>
        <v>0</v>
      </c>
      <c r="Q36" s="364">
        <f>IF($A36="","",SUM(PT!R62,PT!R63))</f>
        <v>0</v>
      </c>
      <c r="R36" s="364"/>
      <c r="S36" s="364"/>
      <c r="T36" s="365">
        <f t="shared" si="6"/>
        <v>1</v>
      </c>
      <c r="U36" s="366">
        <f>IF($A36="","",SUM(PT!U62,PT!U63))</f>
        <v>1</v>
      </c>
      <c r="V36" s="367" t="str">
        <f>IF($A36="","",PT!AJ63)</f>
        <v/>
      </c>
      <c r="W36" s="368">
        <f>'Game Summary'!F31</f>
        <v>18</v>
      </c>
      <c r="X36" s="369">
        <f t="shared" si="5"/>
        <v>5.5555555555555552E-2</v>
      </c>
    </row>
    <row r="37" spans="1:24" ht="25.05" customHeight="1" x14ac:dyDescent="0.3">
      <c r="A37" s="351" t="str">
        <f>IF(IGRF!I18="","",IGRF!I18)</f>
        <v>219</v>
      </c>
      <c r="B37" s="1109" t="str">
        <f>IF(IGRF!J18="","",IGRF!J18)</f>
        <v>Dakota Slamming</v>
      </c>
      <c r="C37" s="1110"/>
      <c r="D37" s="352">
        <f>IF($A37="","",SUM(PT!E64,PT!E65))</f>
        <v>0</v>
      </c>
      <c r="E37" s="353">
        <f>IF($A37="","",SUM(PT!F64,PT!F65))</f>
        <v>0</v>
      </c>
      <c r="F37" s="353">
        <f>IF($A37="","",SUM(PT!G64,PT!G65))</f>
        <v>0</v>
      </c>
      <c r="G37" s="353">
        <f>IF($A37="","",SUM(PT!H64,PT!H65))</f>
        <v>0</v>
      </c>
      <c r="H37" s="353">
        <f>IF($A37="","",SUM(PT!I64,PT!I65))</f>
        <v>0</v>
      </c>
      <c r="I37" s="353">
        <f>IF($A37="","",SUM(PT!J64,PT!J65))</f>
        <v>0</v>
      </c>
      <c r="J37" s="353">
        <f>IF($A37="","",SUM(PT!K64,PT!K65))</f>
        <v>0</v>
      </c>
      <c r="K37" s="353">
        <f>IF($A37="","",SUM(PT!L64,PT!L65))</f>
        <v>0</v>
      </c>
      <c r="L37" s="353">
        <f>IF($A37="","",SUM(PT!M64,PT!M65))</f>
        <v>0</v>
      </c>
      <c r="M37" s="353">
        <f>IF($A37="","",SUM(PT!N64,PT!N65))</f>
        <v>0</v>
      </c>
      <c r="N37" s="353">
        <f>IF($A37="","",SUM(PT!O64,PT!O65))</f>
        <v>1</v>
      </c>
      <c r="O37" s="353">
        <f>IF($A37="","",SUM(PT!P64,PT!P65))</f>
        <v>0</v>
      </c>
      <c r="P37" s="353">
        <f>IF($A37="","",SUM(PT!Q64,PT!Q65))</f>
        <v>0</v>
      </c>
      <c r="Q37" s="353">
        <f>IF($A37="","",SUM(PT!R64,PT!R65))</f>
        <v>0</v>
      </c>
      <c r="R37" s="353"/>
      <c r="S37" s="354"/>
      <c r="T37" s="355">
        <f t="shared" si="6"/>
        <v>1</v>
      </c>
      <c r="U37" s="356">
        <f>IF($A37="","",SUM(PT!U64,PT!U65))</f>
        <v>1</v>
      </c>
      <c r="V37" s="357" t="str">
        <f>IF($A37="","",PT!AJ65)</f>
        <v/>
      </c>
      <c r="W37" s="358">
        <f>'Game Summary'!F32</f>
        <v>18</v>
      </c>
      <c r="X37" s="359">
        <f t="shared" si="5"/>
        <v>5.5555555555555552E-2</v>
      </c>
    </row>
    <row r="38" spans="1:24" ht="25.05" customHeight="1" x14ac:dyDescent="0.3">
      <c r="A38" s="360" t="str">
        <f>IF(IGRF!I19="","",IGRF!I19)</f>
        <v>22</v>
      </c>
      <c r="B38" s="1107" t="str">
        <f>IF(IGRF!J19="","",IGRF!J19)</f>
        <v>Dammit Jammit</v>
      </c>
      <c r="C38" s="1108"/>
      <c r="D38" s="361">
        <f>IF($A38="","",SUM(PT!E66,PT!E67))</f>
        <v>0</v>
      </c>
      <c r="E38" s="362">
        <f>IF($A38="","",SUM(PT!F66,PT!F67))</f>
        <v>0</v>
      </c>
      <c r="F38" s="363">
        <f>IF($A38="","",SUM(PT!G66,PT!G67))</f>
        <v>0</v>
      </c>
      <c r="G38" s="364">
        <f>IF($A38="","",SUM(PT!H66,PT!H67))</f>
        <v>0</v>
      </c>
      <c r="H38" s="364">
        <f>IF($A38="","",SUM(PT!I66,PT!I67))</f>
        <v>0</v>
      </c>
      <c r="I38" s="364">
        <f>IF($A38="","",SUM(PT!J66,PT!J67))</f>
        <v>0</v>
      </c>
      <c r="J38" s="364">
        <f>IF($A38="","",SUM(PT!K66,PT!K67))</f>
        <v>0</v>
      </c>
      <c r="K38" s="364">
        <f>IF($A38="","",SUM(PT!L66,PT!L67))</f>
        <v>0</v>
      </c>
      <c r="L38" s="364">
        <f>IF($A38="","",SUM(PT!M66,PT!M67))</f>
        <v>0</v>
      </c>
      <c r="M38" s="364">
        <f>IF($A38="","",SUM(PT!N66,PT!N67))</f>
        <v>2</v>
      </c>
      <c r="N38" s="364">
        <f>IF($A38="","",SUM(PT!O66,PT!O67))</f>
        <v>0</v>
      </c>
      <c r="O38" s="364">
        <f>IF($A38="","",SUM(PT!P66,PT!P67))</f>
        <v>0</v>
      </c>
      <c r="P38" s="364">
        <f>IF($A38="","",SUM(PT!Q66,PT!Q67))</f>
        <v>0</v>
      </c>
      <c r="Q38" s="364">
        <f>IF($A38="","",SUM(PT!R66,PT!R67))</f>
        <v>0</v>
      </c>
      <c r="R38" s="364"/>
      <c r="S38" s="364"/>
      <c r="T38" s="365">
        <f t="shared" si="6"/>
        <v>2</v>
      </c>
      <c r="U38" s="366">
        <f>IF($A38="","",SUM(PT!U66,PT!U67))</f>
        <v>2</v>
      </c>
      <c r="V38" s="367" t="str">
        <f>IF($A38="","",PT!AJ67)</f>
        <v/>
      </c>
      <c r="W38" s="368">
        <f>'Game Summary'!F33</f>
        <v>16</v>
      </c>
      <c r="X38" s="369">
        <f t="shared" si="5"/>
        <v>0.125</v>
      </c>
    </row>
    <row r="39" spans="1:24" ht="25.05" customHeight="1" x14ac:dyDescent="0.3">
      <c r="A39" s="351" t="str">
        <f>IF(IGRF!I20="","",IGRF!I20)</f>
        <v>223</v>
      </c>
      <c r="B39" s="1109" t="str">
        <f>IF(IGRF!J20="","",IGRF!J20)</f>
        <v>Frida Killah</v>
      </c>
      <c r="C39" s="1110"/>
      <c r="D39" s="352">
        <f>IF($A39="","",SUM(PT!E68,PT!E69))</f>
        <v>0</v>
      </c>
      <c r="E39" s="353">
        <f>IF($A39="","",SUM(PT!F68,PT!F69))</f>
        <v>0</v>
      </c>
      <c r="F39" s="353">
        <f>IF($A39="","",SUM(PT!G68,PT!G69))</f>
        <v>0</v>
      </c>
      <c r="G39" s="353">
        <f>IF($A39="","",SUM(PT!H68,PT!H69))</f>
        <v>0</v>
      </c>
      <c r="H39" s="353">
        <f>IF($A39="","",SUM(PT!I68,PT!I69))</f>
        <v>0</v>
      </c>
      <c r="I39" s="353">
        <f>IF($A39="","",SUM(PT!J68,PT!J69))</f>
        <v>0</v>
      </c>
      <c r="J39" s="353">
        <f>IF($A39="","",SUM(PT!K68,PT!K69))</f>
        <v>0</v>
      </c>
      <c r="K39" s="353">
        <f>IF($A39="","",SUM(PT!L68,PT!L69))</f>
        <v>0</v>
      </c>
      <c r="L39" s="353">
        <f>IF($A39="","",SUM(PT!M68,PT!M69))</f>
        <v>0</v>
      </c>
      <c r="M39" s="353">
        <f>IF($A39="","",SUM(PT!N68,PT!N69))</f>
        <v>0</v>
      </c>
      <c r="N39" s="353">
        <f>IF($A39="","",SUM(PT!O68,PT!O69))</f>
        <v>0</v>
      </c>
      <c r="O39" s="353">
        <f>IF($A39="","",SUM(PT!P68,PT!P69))</f>
        <v>0</v>
      </c>
      <c r="P39" s="353">
        <f>IF($A39="","",SUM(PT!Q68,PT!Q69))</f>
        <v>0</v>
      </c>
      <c r="Q39" s="353">
        <f>IF($A39="","",SUM(PT!R68,PT!R69))</f>
        <v>0</v>
      </c>
      <c r="R39" s="353"/>
      <c r="S39" s="354"/>
      <c r="T39" s="355">
        <f t="shared" si="6"/>
        <v>0</v>
      </c>
      <c r="U39" s="356">
        <f>IF($A39="","",SUM(PT!U68,PT!U69))</f>
        <v>0</v>
      </c>
      <c r="V39" s="357" t="str">
        <f>IF($A39="","",PT!AJ69)</f>
        <v/>
      </c>
      <c r="W39" s="358">
        <f>'Game Summary'!F34</f>
        <v>3</v>
      </c>
      <c r="X39" s="359">
        <f t="shared" si="5"/>
        <v>0</v>
      </c>
    </row>
    <row r="40" spans="1:24" ht="25.05" customHeight="1" x14ac:dyDescent="0.3">
      <c r="A40" s="360" t="str">
        <f>IF(IGRF!I21="","",IGRF!I21)</f>
        <v>23</v>
      </c>
      <c r="B40" s="1107" t="str">
        <f>IF(IGRF!J21="","",IGRF!J21)</f>
        <v>Towanda Woman</v>
      </c>
      <c r="C40" s="1108"/>
      <c r="D40" s="361">
        <f>IF($A40="","",SUM(PT!E70,PT!E71))</f>
        <v>0</v>
      </c>
      <c r="E40" s="362">
        <f>IF($A40="","",SUM(PT!F70,PT!F71))</f>
        <v>0</v>
      </c>
      <c r="F40" s="363">
        <f>IF($A40="","",SUM(PT!G70,PT!G71))</f>
        <v>0</v>
      </c>
      <c r="G40" s="364">
        <f>IF($A40="","",SUM(PT!H70,PT!H71))</f>
        <v>0</v>
      </c>
      <c r="H40" s="364">
        <f>IF($A40="","",SUM(PT!I70,PT!I71))</f>
        <v>0</v>
      </c>
      <c r="I40" s="364">
        <f>IF($A40="","",SUM(PT!J70,PT!J71))</f>
        <v>0</v>
      </c>
      <c r="J40" s="364">
        <f>IF($A40="","",SUM(PT!K70,PT!K71))</f>
        <v>0</v>
      </c>
      <c r="K40" s="364">
        <f>IF($A40="","",SUM(PT!L70,PT!L71))</f>
        <v>0</v>
      </c>
      <c r="L40" s="364">
        <f>IF($A40="","",SUM(PT!M70,PT!M71))</f>
        <v>0</v>
      </c>
      <c r="M40" s="364">
        <f>IF($A40="","",SUM(PT!N70,PT!N71))</f>
        <v>0</v>
      </c>
      <c r="N40" s="364">
        <f>IF($A40="","",SUM(PT!O70,PT!O71))</f>
        <v>0</v>
      </c>
      <c r="O40" s="364">
        <f>IF($A40="","",SUM(PT!P70,PT!P71))</f>
        <v>0</v>
      </c>
      <c r="P40" s="364">
        <f>IF($A40="","",SUM(PT!Q70,PT!Q71))</f>
        <v>0</v>
      </c>
      <c r="Q40" s="364">
        <f>IF($A40="","",SUM(PT!R70,PT!R71))</f>
        <v>0</v>
      </c>
      <c r="R40" s="364"/>
      <c r="S40" s="364"/>
      <c r="T40" s="365">
        <f t="shared" si="6"/>
        <v>0</v>
      </c>
      <c r="U40" s="366">
        <f>IF($A40="","",SUM(PT!U70,PT!U71))</f>
        <v>0</v>
      </c>
      <c r="V40" s="367" t="str">
        <f>IF($A40="","",PT!AJ71)</f>
        <v/>
      </c>
      <c r="W40" s="368">
        <f>'Game Summary'!F35</f>
        <v>10</v>
      </c>
      <c r="X40" s="369">
        <f t="shared" si="5"/>
        <v>0</v>
      </c>
    </row>
    <row r="41" spans="1:24" ht="25.05" customHeight="1" x14ac:dyDescent="0.3">
      <c r="A41" s="351" t="str">
        <f>IF(IGRF!I22="","",IGRF!I22)</f>
        <v>25</v>
      </c>
      <c r="B41" s="1109" t="str">
        <f>IF(IGRF!J22="","",IGRF!J22)</f>
        <v>Ally McKill</v>
      </c>
      <c r="C41" s="1110"/>
      <c r="D41" s="352">
        <f>IF($A41="","",SUM(PT!E72,PT!E73))</f>
        <v>0</v>
      </c>
      <c r="E41" s="353">
        <f>IF($A41="","",SUM(PT!F72,PT!F73))</f>
        <v>0</v>
      </c>
      <c r="F41" s="353">
        <f>IF($A41="","",SUM(PT!G72,PT!G73))</f>
        <v>0</v>
      </c>
      <c r="G41" s="353">
        <f>IF($A41="","",SUM(PT!H72,PT!H73))</f>
        <v>0</v>
      </c>
      <c r="H41" s="353">
        <f>IF($A41="","",SUM(PT!I72,PT!I73))</f>
        <v>0</v>
      </c>
      <c r="I41" s="353">
        <f>IF($A41="","",SUM(PT!J72,PT!J73))</f>
        <v>2</v>
      </c>
      <c r="J41" s="353">
        <f>IF($A41="","",SUM(PT!K72,PT!K73))</f>
        <v>0</v>
      </c>
      <c r="K41" s="353">
        <f>IF($A41="","",SUM(PT!L72,PT!L73))</f>
        <v>0</v>
      </c>
      <c r="L41" s="353">
        <f>IF($A41="","",SUM(PT!M72,PT!M73))</f>
        <v>0</v>
      </c>
      <c r="M41" s="353">
        <f>IF($A41="","",SUM(PT!N72,PT!N73))</f>
        <v>0</v>
      </c>
      <c r="N41" s="353">
        <f>IF($A41="","",SUM(PT!O72,PT!O73))</f>
        <v>0</v>
      </c>
      <c r="O41" s="353">
        <f>IF($A41="","",SUM(PT!P72,PT!P73))</f>
        <v>0</v>
      </c>
      <c r="P41" s="353">
        <f>IF($A41="","",SUM(PT!Q72,PT!Q73))</f>
        <v>0</v>
      </c>
      <c r="Q41" s="353">
        <f>IF($A41="","",SUM(PT!R72,PT!R73))</f>
        <v>0</v>
      </c>
      <c r="R41" s="353"/>
      <c r="S41" s="354"/>
      <c r="T41" s="355">
        <f t="shared" si="6"/>
        <v>2</v>
      </c>
      <c r="U41" s="356">
        <f>IF($A41="","",SUM(PT!U72,PT!U73))</f>
        <v>2</v>
      </c>
      <c r="V41" s="357" t="str">
        <f>IF($A41="","",PT!AJ73)</f>
        <v/>
      </c>
      <c r="W41" s="358">
        <f>'Game Summary'!F36</f>
        <v>19</v>
      </c>
      <c r="X41" s="359">
        <f t="shared" si="5"/>
        <v>0.10526315789473684</v>
      </c>
    </row>
    <row r="42" spans="1:24" ht="25.05" customHeight="1" x14ac:dyDescent="0.3">
      <c r="A42" s="360" t="str">
        <f>IF(IGRF!I23="","",IGRF!I23)</f>
        <v>26</v>
      </c>
      <c r="B42" s="1107" t="str">
        <f>IF(IGRF!J23="","",IGRF!J23)</f>
        <v>Strange</v>
      </c>
      <c r="C42" s="1108"/>
      <c r="D42" s="361">
        <f>IF($A42="","",SUM(PT!E74,PT!E75))</f>
        <v>0</v>
      </c>
      <c r="E42" s="362">
        <f>IF($A42="","",SUM(PT!F74,PT!F75))</f>
        <v>0</v>
      </c>
      <c r="F42" s="363">
        <f>IF($A42="","",SUM(PT!G74,PT!G75))</f>
        <v>1</v>
      </c>
      <c r="G42" s="364">
        <f>IF($A42="","",SUM(PT!H74,PT!H75))</f>
        <v>0</v>
      </c>
      <c r="H42" s="364">
        <f>IF($A42="","",SUM(PT!I74,PT!I75))</f>
        <v>0</v>
      </c>
      <c r="I42" s="364">
        <f>IF($A42="","",SUM(PT!J74,PT!J75))</f>
        <v>0</v>
      </c>
      <c r="J42" s="364">
        <f>IF($A42="","",SUM(PT!K74,PT!K75))</f>
        <v>0</v>
      </c>
      <c r="K42" s="364">
        <f>IF($A42="","",SUM(PT!L74,PT!L75))</f>
        <v>0</v>
      </c>
      <c r="L42" s="364">
        <f>IF($A42="","",SUM(PT!M74,PT!M75))</f>
        <v>0</v>
      </c>
      <c r="M42" s="364">
        <f>IF($A42="","",SUM(PT!N74,PT!N75))</f>
        <v>0</v>
      </c>
      <c r="N42" s="364">
        <f>IF($A42="","",SUM(PT!O74,PT!O75))</f>
        <v>0</v>
      </c>
      <c r="O42" s="364">
        <f>IF($A42="","",SUM(PT!P74,PT!P75))</f>
        <v>0</v>
      </c>
      <c r="P42" s="364">
        <f>IF($A42="","",SUM(PT!Q74,PT!Q75))</f>
        <v>0</v>
      </c>
      <c r="Q42" s="364">
        <f>IF($A42="","",SUM(PT!R74,PT!R75))</f>
        <v>0</v>
      </c>
      <c r="R42" s="364"/>
      <c r="S42" s="364"/>
      <c r="T42" s="365">
        <f t="shared" si="6"/>
        <v>1</v>
      </c>
      <c r="U42" s="366">
        <f>IF($A42="","",SUM(PT!U74,PT!U75))</f>
        <v>1</v>
      </c>
      <c r="V42" s="367" t="str">
        <f>IF($A42="","",PT!AJ75)</f>
        <v/>
      </c>
      <c r="W42" s="368">
        <f>'Game Summary'!F37</f>
        <v>18</v>
      </c>
      <c r="X42" s="369">
        <f t="shared" si="5"/>
        <v>5.5555555555555552E-2</v>
      </c>
    </row>
    <row r="43" spans="1:24" ht="25.05" customHeight="1" x14ac:dyDescent="0.3">
      <c r="A43" s="351" t="str">
        <f>IF(IGRF!I24="","",IGRF!I24)</f>
        <v>49</v>
      </c>
      <c r="B43" s="1109" t="str">
        <f>IF(IGRF!J24="","",IGRF!J24)</f>
        <v>Gnarly Manson</v>
      </c>
      <c r="C43" s="1110"/>
      <c r="D43" s="352">
        <f>IF($A43="","",SUM(PT!E76,PT!E77))</f>
        <v>0</v>
      </c>
      <c r="E43" s="353">
        <f>IF($A43="","",SUM(PT!F76,PT!F77))</f>
        <v>2</v>
      </c>
      <c r="F43" s="353">
        <f>IF($A43="","",SUM(PT!G76,PT!G77))</f>
        <v>0</v>
      </c>
      <c r="G43" s="353">
        <f>IF($A43="","",SUM(PT!H76,PT!H77))</f>
        <v>0</v>
      </c>
      <c r="H43" s="353">
        <f>IF($A43="","",SUM(PT!I76,PT!I77))</f>
        <v>0</v>
      </c>
      <c r="I43" s="353">
        <f>IF($A43="","",SUM(PT!J76,PT!J77))</f>
        <v>0</v>
      </c>
      <c r="J43" s="353">
        <f>IF($A43="","",SUM(PT!K76,PT!K77))</f>
        <v>0</v>
      </c>
      <c r="K43" s="353">
        <f>IF($A43="","",SUM(PT!L76,PT!L77))</f>
        <v>0</v>
      </c>
      <c r="L43" s="353">
        <f>IF($A43="","",SUM(PT!M76,PT!M77))</f>
        <v>0</v>
      </c>
      <c r="M43" s="353">
        <f>IF($A43="","",SUM(PT!N76,PT!N77))</f>
        <v>0</v>
      </c>
      <c r="N43" s="353">
        <f>IF($A43="","",SUM(PT!O76,PT!O77))</f>
        <v>0</v>
      </c>
      <c r="O43" s="353">
        <f>IF($A43="","",SUM(PT!P76,PT!P77))</f>
        <v>0</v>
      </c>
      <c r="P43" s="353">
        <f>IF($A43="","",SUM(PT!Q76,PT!Q77))</f>
        <v>0</v>
      </c>
      <c r="Q43" s="353">
        <f>IF($A43="","",SUM(PT!R76,PT!R77))</f>
        <v>0</v>
      </c>
      <c r="R43" s="353"/>
      <c r="S43" s="354"/>
      <c r="T43" s="355">
        <f t="shared" si="6"/>
        <v>2</v>
      </c>
      <c r="U43" s="356">
        <f>IF($A43="","",SUM(PT!U76,PT!U77))</f>
        <v>2</v>
      </c>
      <c r="V43" s="357" t="str">
        <f>IF($A43="","",PT!AJ77)</f>
        <v/>
      </c>
      <c r="W43" s="358">
        <f>'Game Summary'!F38</f>
        <v>10</v>
      </c>
      <c r="X43" s="359">
        <f t="shared" si="5"/>
        <v>0.2</v>
      </c>
    </row>
    <row r="44" spans="1:24" ht="25.05" customHeight="1" x14ac:dyDescent="0.3">
      <c r="A44" s="360" t="str">
        <f>IF(IGRF!I25="","",IGRF!I25)</f>
        <v>78</v>
      </c>
      <c r="B44" s="1107" t="str">
        <f>IF(IGRF!J25="","",IGRF!J25)</f>
        <v>Debbie Scary</v>
      </c>
      <c r="C44" s="1108"/>
      <c r="D44" s="361">
        <f>IF($A44="","",SUM(PT!E78,PT!E79))</f>
        <v>0</v>
      </c>
      <c r="E44" s="362">
        <f>IF($A44="","",SUM(PT!F78,PT!F79))</f>
        <v>0</v>
      </c>
      <c r="F44" s="363">
        <f>IF($A44="","",SUM(PT!G78,PT!G79))</f>
        <v>0</v>
      </c>
      <c r="G44" s="364">
        <f>IF($A44="","",SUM(PT!H78,PT!H79))</f>
        <v>0</v>
      </c>
      <c r="H44" s="364">
        <f>IF($A44="","",SUM(PT!I78,PT!I79))</f>
        <v>0</v>
      </c>
      <c r="I44" s="364">
        <f>IF($A44="","",SUM(PT!J78,PT!J79))</f>
        <v>0</v>
      </c>
      <c r="J44" s="364">
        <f>IF($A44="","",SUM(PT!K78,PT!K79))</f>
        <v>0</v>
      </c>
      <c r="K44" s="364">
        <f>IF($A44="","",SUM(PT!L78,PT!L79))</f>
        <v>0</v>
      </c>
      <c r="L44" s="364">
        <f>IF($A44="","",SUM(PT!M78,PT!M79))</f>
        <v>0</v>
      </c>
      <c r="M44" s="364">
        <f>IF($A44="","",SUM(PT!N78,PT!N79))</f>
        <v>0</v>
      </c>
      <c r="N44" s="364">
        <f>IF($A44="","",SUM(PT!O78,PT!O79))</f>
        <v>0</v>
      </c>
      <c r="O44" s="364">
        <f>IF($A44="","",SUM(PT!P78,PT!P79))</f>
        <v>0</v>
      </c>
      <c r="P44" s="364">
        <f>IF($A44="","",SUM(PT!Q78,PT!Q79))</f>
        <v>0</v>
      </c>
      <c r="Q44" s="364">
        <f>IF($A44="","",SUM(PT!R78,PT!R79))</f>
        <v>0</v>
      </c>
      <c r="R44" s="364"/>
      <c r="S44" s="364"/>
      <c r="T44" s="365">
        <f t="shared" si="6"/>
        <v>0</v>
      </c>
      <c r="U44" s="366">
        <f>IF($A44="","",SUM(PT!U78,PT!U79))</f>
        <v>0</v>
      </c>
      <c r="V44" s="367" t="str">
        <f>IF($A44="","",PT!AJ79)</f>
        <v/>
      </c>
      <c r="W44" s="368">
        <f>'Game Summary'!F39</f>
        <v>1</v>
      </c>
      <c r="X44" s="369">
        <f t="shared" si="5"/>
        <v>0</v>
      </c>
    </row>
    <row r="45" spans="1:24" ht="25.05" customHeight="1" x14ac:dyDescent="0.3">
      <c r="A45" s="351" t="str">
        <f>IF(IGRF!I26="","",IGRF!I26)</f>
        <v>8*</v>
      </c>
      <c r="B45" s="1109" t="str">
        <f>IF(IGRF!J26="","",IGRF!J26)</f>
        <v>Venus Thigh Trap</v>
      </c>
      <c r="C45" s="1110"/>
      <c r="D45" s="352">
        <f>IF($A45="","",SUM(PT!E80,PT!E81))</f>
        <v>0</v>
      </c>
      <c r="E45" s="353">
        <f>IF($A45="","",SUM(PT!F80,PT!F81))</f>
        <v>0</v>
      </c>
      <c r="F45" s="353">
        <f>IF($A45="","",SUM(PT!G80,PT!G81))</f>
        <v>0</v>
      </c>
      <c r="G45" s="353">
        <f>IF($A45="","",SUM(PT!H80,PT!H81))</f>
        <v>0</v>
      </c>
      <c r="H45" s="353">
        <f>IF($A45="","",SUM(PT!I80,PT!I81))</f>
        <v>0</v>
      </c>
      <c r="I45" s="353">
        <f>IF($A45="","",SUM(PT!J80,PT!J81))</f>
        <v>0</v>
      </c>
      <c r="J45" s="353">
        <f>IF($A45="","",SUM(PT!K80,PT!K81))</f>
        <v>0</v>
      </c>
      <c r="K45" s="353">
        <f>IF($A45="","",SUM(PT!L80,PT!L81))</f>
        <v>0</v>
      </c>
      <c r="L45" s="353">
        <f>IF($A45="","",SUM(PT!M80,PT!M81))</f>
        <v>0</v>
      </c>
      <c r="M45" s="353">
        <f>IF($A45="","",SUM(PT!N80,PT!N81))</f>
        <v>0</v>
      </c>
      <c r="N45" s="353">
        <f>IF($A45="","",SUM(PT!O80,PT!O81))</f>
        <v>0</v>
      </c>
      <c r="O45" s="353">
        <f>IF($A45="","",SUM(PT!P80,PT!P81))</f>
        <v>0</v>
      </c>
      <c r="P45" s="353">
        <f>IF($A45="","",SUM(PT!Q80,PT!Q81))</f>
        <v>0</v>
      </c>
      <c r="Q45" s="353">
        <f>IF($A45="","",SUM(PT!R80,PT!R81))</f>
        <v>0</v>
      </c>
      <c r="R45" s="353"/>
      <c r="S45" s="354"/>
      <c r="T45" s="355">
        <f t="shared" si="6"/>
        <v>0</v>
      </c>
      <c r="U45" s="356">
        <f>IF($A45="","",SUM(PT!U80,PT!U81))</f>
        <v>0</v>
      </c>
      <c r="V45" s="357" t="str">
        <f>IF($A45="","",PT!AJ81)</f>
        <v/>
      </c>
      <c r="W45" s="358">
        <f>'Game Summary'!F40</f>
        <v>0</v>
      </c>
      <c r="X45" s="359" t="str">
        <f t="shared" si="5"/>
        <v/>
      </c>
    </row>
    <row r="46" spans="1:24" ht="25.05" customHeight="1" x14ac:dyDescent="0.3">
      <c r="A46" s="360" t="str">
        <f>IF(IGRF!I27="","",IGRF!I27)</f>
        <v>800</v>
      </c>
      <c r="B46" s="1107" t="str">
        <f>IF(IGRF!J27="","",IGRF!J27)</f>
        <v>Terminate Her</v>
      </c>
      <c r="C46" s="1108"/>
      <c r="D46" s="361">
        <f>IF($A46="","",SUM(PT!E82,PT!E83))</f>
        <v>0</v>
      </c>
      <c r="E46" s="362">
        <f>IF($A46="","",SUM(PT!F82,PT!F83))</f>
        <v>0</v>
      </c>
      <c r="F46" s="363">
        <f>IF($A46="","",SUM(PT!G82,PT!G83))</f>
        <v>0</v>
      </c>
      <c r="G46" s="364">
        <f>IF($A46="","",SUM(PT!H82,PT!H83))</f>
        <v>0</v>
      </c>
      <c r="H46" s="364">
        <f>IF($A46="","",SUM(PT!I82,PT!I83))</f>
        <v>0</v>
      </c>
      <c r="I46" s="364">
        <f>IF($A46="","",SUM(PT!J82,PT!J83))</f>
        <v>0</v>
      </c>
      <c r="J46" s="364">
        <f>IF($A46="","",SUM(PT!K82,PT!K83))</f>
        <v>0</v>
      </c>
      <c r="K46" s="364">
        <f>IF($A46="","",SUM(PT!L82,PT!L83))</f>
        <v>0</v>
      </c>
      <c r="L46" s="364">
        <f>IF($A46="","",SUM(PT!M82,PT!M83))</f>
        <v>0</v>
      </c>
      <c r="M46" s="364">
        <f>IF($A46="","",SUM(PT!N82,PT!N83))</f>
        <v>0</v>
      </c>
      <c r="N46" s="364">
        <f>IF($A46="","",SUM(PT!O82,PT!O83))</f>
        <v>0</v>
      </c>
      <c r="O46" s="364">
        <f>IF($A46="","",SUM(PT!P82,PT!P83))</f>
        <v>0</v>
      </c>
      <c r="P46" s="364">
        <f>IF($A46="","",SUM(PT!Q82,PT!Q83))</f>
        <v>0</v>
      </c>
      <c r="Q46" s="364">
        <f>IF($A46="","",SUM(PT!R82,PT!R83))</f>
        <v>0</v>
      </c>
      <c r="R46" s="364"/>
      <c r="S46" s="364"/>
      <c r="T46" s="365">
        <f t="shared" si="6"/>
        <v>0</v>
      </c>
      <c r="U46" s="366">
        <f>IF($A46="","",SUM(PT!U82,PT!U83))</f>
        <v>0</v>
      </c>
      <c r="V46" s="367" t="str">
        <f>IF($A46="","",PT!AJ83)</f>
        <v/>
      </c>
      <c r="W46" s="368">
        <f>'Game Summary'!F41</f>
        <v>18</v>
      </c>
      <c r="X46" s="369">
        <f t="shared" si="5"/>
        <v>0</v>
      </c>
    </row>
    <row r="47" spans="1:24" ht="25.05" customHeight="1" x14ac:dyDescent="0.3">
      <c r="A47" s="351" t="str">
        <f>IF(IGRF!I28="","",IGRF!I28)</f>
        <v>88*</v>
      </c>
      <c r="B47" s="1109" t="str">
        <f>IF(IGRF!J28="","",IGRF!J28)</f>
        <v>Flux</v>
      </c>
      <c r="C47" s="1110"/>
      <c r="D47" s="352">
        <f>IF($A47="","",SUM(PT!E84,PT!E85))</f>
        <v>0</v>
      </c>
      <c r="E47" s="353">
        <f>IF($A47="","",SUM(PT!F84,PT!F85))</f>
        <v>0</v>
      </c>
      <c r="F47" s="353">
        <f>IF($A47="","",SUM(PT!G84,PT!G85))</f>
        <v>0</v>
      </c>
      <c r="G47" s="353">
        <f>IF($A47="","",SUM(PT!H84,PT!H85))</f>
        <v>0</v>
      </c>
      <c r="H47" s="353">
        <f>IF($A47="","",SUM(PT!I84,PT!I85))</f>
        <v>0</v>
      </c>
      <c r="I47" s="353">
        <f>IF($A47="","",SUM(PT!J84,PT!J85))</f>
        <v>0</v>
      </c>
      <c r="J47" s="353">
        <f>IF($A47="","",SUM(PT!K84,PT!K85))</f>
        <v>0</v>
      </c>
      <c r="K47" s="353">
        <f>IF($A47="","",SUM(PT!L84,PT!L85))</f>
        <v>0</v>
      </c>
      <c r="L47" s="353">
        <f>IF($A47="","",SUM(PT!M84,PT!M85))</f>
        <v>0</v>
      </c>
      <c r="M47" s="353">
        <f>IF($A47="","",SUM(PT!N84,PT!N85))</f>
        <v>0</v>
      </c>
      <c r="N47" s="353">
        <f>IF($A47="","",SUM(PT!O84,PT!O85))</f>
        <v>0</v>
      </c>
      <c r="O47" s="353">
        <f>IF($A47="","",SUM(PT!P84,PT!P85))</f>
        <v>0</v>
      </c>
      <c r="P47" s="353">
        <f>IF($A47="","",SUM(PT!Q84,PT!Q85))</f>
        <v>0</v>
      </c>
      <c r="Q47" s="353">
        <f>IF($A47="","",SUM(PT!R84,PT!R85))</f>
        <v>0</v>
      </c>
      <c r="R47" s="353"/>
      <c r="S47" s="354"/>
      <c r="T47" s="355">
        <f t="shared" si="6"/>
        <v>0</v>
      </c>
      <c r="U47" s="356">
        <f>IF($A47="","",SUM(PT!U84,PT!U85))</f>
        <v>0</v>
      </c>
      <c r="V47" s="357" t="str">
        <f>IF($A47="","",PT!AJ85)</f>
        <v/>
      </c>
      <c r="W47" s="358">
        <f>'Game Summary'!F42</f>
        <v>0</v>
      </c>
      <c r="X47" s="359" t="str">
        <f t="shared" si="5"/>
        <v/>
      </c>
    </row>
    <row r="48" spans="1:24" ht="25.05" customHeight="1" x14ac:dyDescent="0.3">
      <c r="A48" s="360" t="str">
        <f>IF(IGRF!I29="","",IGRF!I29)</f>
        <v>911</v>
      </c>
      <c r="B48" s="1107" t="str">
        <f>IF(IGRF!J29="","",IGRF!J29)</f>
        <v>Annie Mergency</v>
      </c>
      <c r="C48" s="1108"/>
      <c r="D48" s="361">
        <f>IF($A48="","",SUM(PT!E86,PT!E87))</f>
        <v>0</v>
      </c>
      <c r="E48" s="362">
        <f>IF($A48="","",SUM(PT!F86,PT!F87))</f>
        <v>0</v>
      </c>
      <c r="F48" s="363">
        <f>IF($A48="","",SUM(PT!G86,PT!G87))</f>
        <v>0</v>
      </c>
      <c r="G48" s="364">
        <f>IF($A48="","",SUM(PT!H86,PT!H87))</f>
        <v>0</v>
      </c>
      <c r="H48" s="364">
        <f>IF($A48="","",SUM(PT!I86,PT!I87))</f>
        <v>0</v>
      </c>
      <c r="I48" s="364">
        <f>IF($A48="","",SUM(PT!J86,PT!J87))</f>
        <v>0</v>
      </c>
      <c r="J48" s="364">
        <f>IF($A48="","",SUM(PT!K86,PT!K87))</f>
        <v>0</v>
      </c>
      <c r="K48" s="364">
        <f>IF($A48="","",SUM(PT!L86,PT!L87))</f>
        <v>0</v>
      </c>
      <c r="L48" s="364">
        <f>IF($A48="","",SUM(PT!M86,PT!M87))</f>
        <v>1</v>
      </c>
      <c r="M48" s="364">
        <f>IF($A48="","",SUM(PT!N86,PT!N87))</f>
        <v>0</v>
      </c>
      <c r="N48" s="364">
        <f>IF($A48="","",SUM(PT!O86,PT!O87))</f>
        <v>0</v>
      </c>
      <c r="O48" s="364">
        <f>IF($A48="","",SUM(PT!P86,PT!P87))</f>
        <v>0</v>
      </c>
      <c r="P48" s="364">
        <f>IF($A48="","",SUM(PT!Q86,PT!Q87))</f>
        <v>0</v>
      </c>
      <c r="Q48" s="364">
        <f>IF($A48="","",SUM(PT!R86,PT!R87))</f>
        <v>0</v>
      </c>
      <c r="R48" s="364"/>
      <c r="S48" s="364"/>
      <c r="T48" s="365">
        <f t="shared" si="6"/>
        <v>1</v>
      </c>
      <c r="U48" s="366">
        <f>IF($A48="","",SUM(PT!U86,PT!U87))</f>
        <v>1</v>
      </c>
      <c r="V48" s="367" t="str">
        <f>IF($A48="","",PT!AJ87)</f>
        <v/>
      </c>
      <c r="W48" s="368">
        <f>'Game Summary'!F43</f>
        <v>15</v>
      </c>
      <c r="X48" s="369">
        <f t="shared" si="5"/>
        <v>6.6666666666666666E-2</v>
      </c>
    </row>
    <row r="49" spans="1:24" ht="25.05" customHeight="1" x14ac:dyDescent="0.3">
      <c r="A49" s="351" t="str">
        <f>IF(IGRF!I30="","",IGRF!I30)</f>
        <v>94</v>
      </c>
      <c r="B49" s="1109" t="str">
        <f>IF(IGRF!J30="","",IGRF!J30)</f>
        <v>The Kraken</v>
      </c>
      <c r="C49" s="1110"/>
      <c r="D49" s="352">
        <f>IF($A49="","",SUM(PT!E88,PT!E89))</f>
        <v>0</v>
      </c>
      <c r="E49" s="353">
        <f>IF($A49="","",SUM(PT!F88,PT!F89))</f>
        <v>0</v>
      </c>
      <c r="F49" s="353">
        <f>IF($A49="","",SUM(PT!G88,PT!G89))</f>
        <v>0</v>
      </c>
      <c r="G49" s="353">
        <f>IF($A49="","",SUM(PT!H88,PT!H89))</f>
        <v>0</v>
      </c>
      <c r="H49" s="353">
        <f>IF($A49="","",SUM(PT!I88,PT!I89))</f>
        <v>0</v>
      </c>
      <c r="I49" s="353">
        <f>IF($A49="","",SUM(PT!J88,PT!J89))</f>
        <v>2</v>
      </c>
      <c r="J49" s="353">
        <f>IF($A49="","",SUM(PT!K88,PT!K89))</f>
        <v>0</v>
      </c>
      <c r="K49" s="353">
        <f>IF($A49="","",SUM(PT!L88,PT!L89))</f>
        <v>0</v>
      </c>
      <c r="L49" s="353">
        <f>IF($A49="","",SUM(PT!M88,PT!M89))</f>
        <v>0</v>
      </c>
      <c r="M49" s="353">
        <f>IF($A49="","",SUM(PT!N88,PT!N89))</f>
        <v>0</v>
      </c>
      <c r="N49" s="353">
        <f>IF($A49="","",SUM(PT!O88,PT!O89))</f>
        <v>0</v>
      </c>
      <c r="O49" s="353">
        <f>IF($A49="","",SUM(PT!P88,PT!P89))</f>
        <v>0</v>
      </c>
      <c r="P49" s="353">
        <f>IF($A49="","",SUM(PT!Q88,PT!Q89))</f>
        <v>0</v>
      </c>
      <c r="Q49" s="353">
        <f>IF($A49="","",SUM(PT!R88,PT!R89))</f>
        <v>0</v>
      </c>
      <c r="R49" s="353"/>
      <c r="S49" s="354"/>
      <c r="T49" s="355">
        <f t="shared" si="6"/>
        <v>2</v>
      </c>
      <c r="U49" s="356">
        <f>IF($A49="","",SUM(PT!U88,PT!U89))</f>
        <v>2</v>
      </c>
      <c r="V49" s="357" t="str">
        <f>IF($A49="","",PT!AJ89)</f>
        <v/>
      </c>
      <c r="W49" s="358">
        <f>'Game Summary'!F44</f>
        <v>4</v>
      </c>
      <c r="X49" s="359">
        <f t="shared" si="5"/>
        <v>0.5</v>
      </c>
    </row>
    <row r="50" spans="1:24" ht="25.05" customHeight="1" x14ac:dyDescent="0.3">
      <c r="A50" s="360" t="str">
        <f>IF(IGRF!I31="","",IGRF!I31)</f>
        <v/>
      </c>
      <c r="B50" s="1107" t="str">
        <f>IF(IGRF!J31="","",IGRF!J31)</f>
        <v/>
      </c>
      <c r="C50" s="1108"/>
      <c r="D50" s="361" t="str">
        <f>IF($A50="","",SUM(PT!E90,PT!E91))</f>
        <v/>
      </c>
      <c r="E50" s="362" t="str">
        <f>IF($A50="","",SUM(PT!F90,PT!F91))</f>
        <v/>
      </c>
      <c r="F50" s="363" t="str">
        <f>IF($A50="","",SUM(PT!G90,PT!G91))</f>
        <v/>
      </c>
      <c r="G50" s="364" t="str">
        <f>IF($A50="","",SUM(PT!H90,PT!H91))</f>
        <v/>
      </c>
      <c r="H50" s="364" t="str">
        <f>IF($A50="","",SUM(PT!I90,PT!I91))</f>
        <v/>
      </c>
      <c r="I50" s="364" t="str">
        <f>IF($A50="","",SUM(PT!J90,PT!J91))</f>
        <v/>
      </c>
      <c r="J50" s="364" t="str">
        <f>IF($A50="","",SUM(PT!K90,PT!K91))</f>
        <v/>
      </c>
      <c r="K50" s="364" t="str">
        <f>IF($A50="","",SUM(PT!L90,PT!L91))</f>
        <v/>
      </c>
      <c r="L50" s="364" t="str">
        <f>IF($A50="","",SUM(PT!M90,PT!M91))</f>
        <v/>
      </c>
      <c r="M50" s="364" t="str">
        <f>IF($A50="","",SUM(PT!N90,PT!N91))</f>
        <v/>
      </c>
      <c r="N50" s="364" t="str">
        <f>IF($A50="","",SUM(PT!O90,PT!O91))</f>
        <v/>
      </c>
      <c r="O50" s="364" t="str">
        <f>IF($A50="","",SUM(PT!P90,PT!P91))</f>
        <v/>
      </c>
      <c r="P50" s="364" t="str">
        <f>IF($A50="","",SUM(PT!Q90,PT!Q91))</f>
        <v/>
      </c>
      <c r="Q50" s="364" t="str">
        <f>IF($A50="","",SUM(PT!R90,PT!R91))</f>
        <v/>
      </c>
      <c r="R50" s="364"/>
      <c r="S50" s="364"/>
      <c r="T50" s="365" t="str">
        <f t="shared" si="6"/>
        <v/>
      </c>
      <c r="U50" s="366" t="str">
        <f>IF($A50="","",SUM(PT!U90,PT!U91))</f>
        <v/>
      </c>
      <c r="V50" s="367" t="str">
        <f>IF($A50="","",PT!AJ91)</f>
        <v/>
      </c>
      <c r="W50" s="368" t="str">
        <f>'Game Summary'!F45</f>
        <v/>
      </c>
      <c r="X50" s="369" t="str">
        <f t="shared" si="5"/>
        <v/>
      </c>
    </row>
    <row r="51" spans="1:24" ht="25.05" customHeight="1" x14ac:dyDescent="0.3">
      <c r="A51" s="351" t="str">
        <f>IF(IGRF!I32="","",IGRF!I32)</f>
        <v/>
      </c>
      <c r="B51" s="1109" t="str">
        <f>IF(IGRF!J32="","",IGRF!J32)</f>
        <v/>
      </c>
      <c r="C51" s="1110"/>
      <c r="D51" s="352" t="str">
        <f>IF($A51="","",SUM(PT!E92,PT!E93))</f>
        <v/>
      </c>
      <c r="E51" s="353" t="str">
        <f>IF($A51="","",SUM(PT!F92,PT!F93))</f>
        <v/>
      </c>
      <c r="F51" s="353" t="str">
        <f>IF($A51="","",SUM(PT!G92,PT!G93))</f>
        <v/>
      </c>
      <c r="G51" s="353" t="str">
        <f>IF($A51="","",SUM(PT!H92,PT!H93))</f>
        <v/>
      </c>
      <c r="H51" s="353" t="str">
        <f>IF($A51="","",SUM(PT!I92,PT!I93))</f>
        <v/>
      </c>
      <c r="I51" s="353" t="str">
        <f>IF($A51="","",SUM(PT!J92,PT!J93))</f>
        <v/>
      </c>
      <c r="J51" s="353" t="str">
        <f>IF($A51="","",SUM(PT!K92,PT!K93))</f>
        <v/>
      </c>
      <c r="K51" s="353" t="str">
        <f>IF($A51="","",SUM(PT!L92,PT!L93))</f>
        <v/>
      </c>
      <c r="L51" s="353" t="str">
        <f>IF($A51="","",SUM(PT!M92,PT!M93))</f>
        <v/>
      </c>
      <c r="M51" s="353" t="str">
        <f>IF($A51="","",SUM(PT!N92,PT!N93))</f>
        <v/>
      </c>
      <c r="N51" s="353" t="str">
        <f>IF($A51="","",SUM(PT!O92,PT!O93))</f>
        <v/>
      </c>
      <c r="O51" s="353" t="str">
        <f>IF($A51="","",SUM(PT!P92,PT!P93))</f>
        <v/>
      </c>
      <c r="P51" s="353" t="str">
        <f>IF($A51="","",SUM(PT!Q92,PT!Q93))</f>
        <v/>
      </c>
      <c r="Q51" s="353" t="str">
        <f>IF($A51="","",SUM(PT!R92,PT!R93))</f>
        <v/>
      </c>
      <c r="R51" s="353"/>
      <c r="S51" s="354"/>
      <c r="T51" s="355" t="str">
        <f t="shared" si="6"/>
        <v/>
      </c>
      <c r="U51" s="356" t="str">
        <f>IF($A51="","",SUM(PT!U92,PT!U93))</f>
        <v/>
      </c>
      <c r="V51" s="357" t="str">
        <f>IF($A51="","",PT!AJ93)</f>
        <v/>
      </c>
      <c r="W51" s="358" t="str">
        <f>'Game Summary'!F46</f>
        <v/>
      </c>
      <c r="X51" s="359" t="str">
        <f t="shared" si="5"/>
        <v/>
      </c>
    </row>
    <row r="52" spans="1:24" ht="25.05" customHeight="1" thickBot="1" x14ac:dyDescent="0.35">
      <c r="A52" s="360" t="str">
        <f>IF(IGRF!I33="","",IGRF!I33)</f>
        <v/>
      </c>
      <c r="B52" s="1107" t="str">
        <f>IF(IGRF!J33="","",IGRF!J33)</f>
        <v/>
      </c>
      <c r="C52" s="1108"/>
      <c r="D52" s="361" t="str">
        <f>IF($A52="","",SUM(PT!E94,PT!E95))</f>
        <v/>
      </c>
      <c r="E52" s="362" t="str">
        <f>IF($A52="","",SUM(PT!F94,PT!F95))</f>
        <v/>
      </c>
      <c r="F52" s="363" t="str">
        <f>IF($A52="","",SUM(PT!G94,PT!G95))</f>
        <v/>
      </c>
      <c r="G52" s="364" t="str">
        <f>IF($A52="","",SUM(PT!H94,PT!H95))</f>
        <v/>
      </c>
      <c r="H52" s="364" t="str">
        <f>IF($A52="","",SUM(PT!I94,PT!I95))</f>
        <v/>
      </c>
      <c r="I52" s="364" t="str">
        <f>IF($A52="","",SUM(PT!J94,PT!J95))</f>
        <v/>
      </c>
      <c r="J52" s="364" t="str">
        <f>IF($A52="","",SUM(PT!K94,PT!K95))</f>
        <v/>
      </c>
      <c r="K52" s="364" t="str">
        <f>IF($A52="","",SUM(PT!L94,PT!L95))</f>
        <v/>
      </c>
      <c r="L52" s="364" t="str">
        <f>IF($A52="","",SUM(PT!M94,PT!M95))</f>
        <v/>
      </c>
      <c r="M52" s="364" t="str">
        <f>IF($A52="","",SUM(PT!N94,PT!N95))</f>
        <v/>
      </c>
      <c r="N52" s="364" t="str">
        <f>IF($A52="","",SUM(PT!O94,PT!O95))</f>
        <v/>
      </c>
      <c r="O52" s="364" t="str">
        <f>IF($A52="","",SUM(PT!P94,PT!P95))</f>
        <v/>
      </c>
      <c r="P52" s="364" t="str">
        <f>IF($A52="","",SUM(PT!Q94,PT!Q95))</f>
        <v/>
      </c>
      <c r="Q52" s="364" t="str">
        <f>IF($A52="","",SUM(PT!R94,PT!R95))</f>
        <v/>
      </c>
      <c r="R52" s="364"/>
      <c r="S52" s="364"/>
      <c r="T52" s="365" t="str">
        <f t="shared" si="6"/>
        <v/>
      </c>
      <c r="U52" s="366" t="str">
        <f>IF($A52="","",SUM(PT!U94,PT!U95))</f>
        <v/>
      </c>
      <c r="V52" s="367" t="str">
        <f>IF($A52="","",PT!AJ95)</f>
        <v/>
      </c>
      <c r="W52" s="368" t="str">
        <f>'Game Summary'!F47</f>
        <v/>
      </c>
      <c r="X52" s="369" t="str">
        <f t="shared" si="5"/>
        <v/>
      </c>
    </row>
    <row r="53" spans="1:24" ht="21.75" customHeight="1" x14ac:dyDescent="0.3">
      <c r="A53" s="1111" t="s">
        <v>274</v>
      </c>
      <c r="B53" s="1112"/>
      <c r="C53" s="371" t="str">
        <f>PT!AJ97</f>
        <v/>
      </c>
      <c r="D53" s="1095" t="str">
        <f t="shared" ref="D53:Q53" si="7">D3</f>
        <v>Misconduct</v>
      </c>
      <c r="E53" s="1095" t="str">
        <f t="shared" si="7"/>
        <v>High Block</v>
      </c>
      <c r="F53" s="1095" t="str">
        <f t="shared" si="7"/>
        <v>Back Block</v>
      </c>
      <c r="G53" s="1095" t="str">
        <f t="shared" si="7"/>
        <v>Low Block</v>
      </c>
      <c r="H53" s="1095" t="str">
        <f t="shared" si="7"/>
        <v>Leg Block</v>
      </c>
      <c r="I53" s="1095" t="str">
        <f t="shared" si="7"/>
        <v>Forearms</v>
      </c>
      <c r="J53" s="1095" t="str">
        <f t="shared" si="7"/>
        <v>Head Block</v>
      </c>
      <c r="K53" s="1095" t="str">
        <f t="shared" si="7"/>
        <v>Multiplayer</v>
      </c>
      <c r="L53" s="1095" t="str">
        <f t="shared" si="7"/>
        <v>Illegal Contact</v>
      </c>
      <c r="M53" s="1095" t="str">
        <f t="shared" si="7"/>
        <v>Direction</v>
      </c>
      <c r="N53" s="1095" t="str">
        <f t="shared" si="7"/>
        <v>Illegal Position</v>
      </c>
      <c r="O53" s="1095" t="str">
        <f t="shared" si="7"/>
        <v>Cut</v>
      </c>
      <c r="P53" s="1095" t="str">
        <f t="shared" si="7"/>
        <v>Interference</v>
      </c>
      <c r="Q53" s="1095" t="str">
        <f t="shared" si="7"/>
        <v>Illegal Procedure</v>
      </c>
      <c r="R53" s="1095"/>
      <c r="S53" s="1095"/>
      <c r="T53" s="1098" t="s">
        <v>59</v>
      </c>
      <c r="U53" s="372"/>
      <c r="V53" s="373">
        <f>SUM(PT!X102:AI102,C53,C54)</f>
        <v>0</v>
      </c>
      <c r="W53" s="374">
        <f>IF(COUNT(W33:W52)=0,"-",SUM(W33:W52)/COUNT(W33:W52))</f>
        <v>10.588235294117647</v>
      </c>
      <c r="X53" s="375">
        <f>IF(COUNT(X33:X52)=0,"-",SUM(X33:X52)/COUNT(X33:X52))</f>
        <v>9.6034637876743142E-2</v>
      </c>
    </row>
    <row r="54" spans="1:24" ht="21" customHeight="1" thickBot="1" x14ac:dyDescent="0.35">
      <c r="A54" s="1101" t="s">
        <v>274</v>
      </c>
      <c r="B54" s="1102"/>
      <c r="C54" s="376" t="str">
        <f>PT!AJ99</f>
        <v/>
      </c>
      <c r="D54" s="1096"/>
      <c r="E54" s="1096"/>
      <c r="F54" s="1096"/>
      <c r="G54" s="1096"/>
      <c r="H54" s="1096"/>
      <c r="I54" s="1096"/>
      <c r="J54" s="1096"/>
      <c r="K54" s="1096"/>
      <c r="L54" s="1096"/>
      <c r="M54" s="1096"/>
      <c r="N54" s="1096"/>
      <c r="O54" s="1096"/>
      <c r="P54" s="1096"/>
      <c r="Q54" s="1096"/>
      <c r="R54" s="1096"/>
      <c r="S54" s="1096"/>
      <c r="T54" s="1099"/>
      <c r="U54" s="377"/>
      <c r="V54" s="1103" t="s">
        <v>61</v>
      </c>
      <c r="W54" s="1105"/>
      <c r="X54" s="1105"/>
    </row>
    <row r="55" spans="1:24" ht="19.95" customHeight="1" thickBot="1" x14ac:dyDescent="0.35">
      <c r="A55" s="1079"/>
      <c r="B55" s="1106"/>
      <c r="C55" s="1106"/>
      <c r="D55" s="1097"/>
      <c r="E55" s="1097"/>
      <c r="F55" s="1097"/>
      <c r="G55" s="1097"/>
      <c r="H55" s="1097"/>
      <c r="I55" s="1097"/>
      <c r="J55" s="1097"/>
      <c r="K55" s="1097"/>
      <c r="L55" s="1097"/>
      <c r="M55" s="1097"/>
      <c r="N55" s="1097"/>
      <c r="O55" s="1097"/>
      <c r="P55" s="1097"/>
      <c r="Q55" s="1097"/>
      <c r="R55" s="1097"/>
      <c r="S55" s="1097"/>
      <c r="T55" s="1100"/>
      <c r="U55" s="377"/>
      <c r="V55" s="1104"/>
      <c r="W55" s="1105"/>
      <c r="X55" s="1105"/>
    </row>
    <row r="56" spans="1:24" ht="12.75" customHeight="1" thickBot="1" x14ac:dyDescent="0.35">
      <c r="A56" s="1079" t="s">
        <v>275</v>
      </c>
      <c r="B56" s="1079"/>
      <c r="C56" s="1079"/>
      <c r="D56" s="378">
        <f>SUM(D33:D52)</f>
        <v>0</v>
      </c>
      <c r="E56" s="378">
        <f t="shared" ref="E56:T56" si="8">SUM(E33:E52)</f>
        <v>2</v>
      </c>
      <c r="F56" s="378">
        <f t="shared" si="8"/>
        <v>1</v>
      </c>
      <c r="G56" s="378">
        <f t="shared" si="8"/>
        <v>0</v>
      </c>
      <c r="H56" s="378">
        <f t="shared" si="8"/>
        <v>0</v>
      </c>
      <c r="I56" s="378">
        <f t="shared" si="8"/>
        <v>4</v>
      </c>
      <c r="J56" s="378">
        <f t="shared" si="8"/>
        <v>0</v>
      </c>
      <c r="K56" s="378">
        <f t="shared" si="8"/>
        <v>0</v>
      </c>
      <c r="L56" s="378">
        <f t="shared" si="8"/>
        <v>1</v>
      </c>
      <c r="M56" s="378">
        <f t="shared" si="8"/>
        <v>4</v>
      </c>
      <c r="N56" s="378">
        <f t="shared" si="8"/>
        <v>1</v>
      </c>
      <c r="O56" s="378">
        <f t="shared" si="8"/>
        <v>3</v>
      </c>
      <c r="P56" s="378">
        <f t="shared" si="8"/>
        <v>0</v>
      </c>
      <c r="Q56" s="378">
        <f t="shared" si="8"/>
        <v>0</v>
      </c>
      <c r="R56" s="378"/>
      <c r="S56" s="378"/>
      <c r="T56" s="378">
        <f t="shared" si="8"/>
        <v>16</v>
      </c>
      <c r="U56" s="377">
        <f>SUM(U33:U52,C53,C54)</f>
        <v>16</v>
      </c>
      <c r="V56" s="1080" t="s">
        <v>301</v>
      </c>
      <c r="W56" s="1080"/>
      <c r="X56" s="1081"/>
    </row>
    <row r="57" spans="1:24" ht="12.75" customHeight="1" thickBot="1" x14ac:dyDescent="0.35">
      <c r="A57" s="1079"/>
      <c r="B57" s="1079"/>
      <c r="C57" s="1079"/>
      <c r="D57" s="1082" t="s">
        <v>276</v>
      </c>
      <c r="E57" s="1082"/>
      <c r="F57" s="1082"/>
      <c r="G57" s="1082"/>
      <c r="H57" s="1082"/>
      <c r="I57" s="1082"/>
      <c r="J57" s="1083">
        <f>IF(OR(LU!W3=0,LU!W102=0),"",T56/(LU!W3+LU!W102))</f>
        <v>0.44444444444444442</v>
      </c>
      <c r="K57" s="1083"/>
      <c r="L57" s="1084" t="s">
        <v>303</v>
      </c>
      <c r="M57" s="1084"/>
      <c r="N57" s="1084"/>
      <c r="O57" s="1084"/>
      <c r="P57" s="1084"/>
      <c r="Q57" s="380"/>
      <c r="R57" s="1085">
        <f>IF(T27+T56=0,"",T56/(T27+T56))</f>
        <v>0.36363636363636365</v>
      </c>
      <c r="S57" s="1085"/>
      <c r="T57" s="1093">
        <f>IF(T27+T56=0,"",T56/(T27+T56))</f>
        <v>0.36363636363636365</v>
      </c>
      <c r="U57" s="1086">
        <f>IF(U27+U56=0,"",U56/(U27+U56))</f>
        <v>0.36363636363636365</v>
      </c>
      <c r="V57" s="1087" t="s">
        <v>302</v>
      </c>
      <c r="W57" s="1087"/>
      <c r="X57" s="1088"/>
    </row>
    <row r="58" spans="1:24" ht="13.5" customHeight="1" thickBot="1" x14ac:dyDescent="0.35">
      <c r="A58" s="1079"/>
      <c r="B58" s="1079"/>
      <c r="C58" s="1079"/>
      <c r="D58" s="1091" t="s">
        <v>62</v>
      </c>
      <c r="E58" s="1091"/>
      <c r="F58" s="1091"/>
      <c r="G58" s="1091"/>
      <c r="H58" s="1091"/>
      <c r="I58" s="1091"/>
      <c r="J58" s="1092">
        <f>IF(OR(J28="",J57=""),"",J57-J28)</f>
        <v>-0.33333333333333337</v>
      </c>
      <c r="K58" s="1092"/>
      <c r="L58" s="1084"/>
      <c r="M58" s="1084"/>
      <c r="N58" s="1084"/>
      <c r="O58" s="1084"/>
      <c r="P58" s="1084"/>
      <c r="Q58" s="380"/>
      <c r="R58" s="1085"/>
      <c r="S58" s="1085"/>
      <c r="T58" s="1094"/>
      <c r="U58" s="1086"/>
      <c r="V58" s="1089"/>
      <c r="W58" s="1089"/>
      <c r="X58" s="1090"/>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defaultColWidth="8.77734375" defaultRowHeight="13.2" x14ac:dyDescent="0.25"/>
  <cols>
    <col min="1" max="1" width="8.6640625" customWidth="1"/>
    <col min="2" max="2" width="26.6640625" customWidth="1"/>
    <col min="3" max="3" width="47.44140625" customWidth="1"/>
    <col min="4" max="4" width="12.6640625" customWidth="1"/>
    <col min="5" max="7" width="9.109375" hidden="1" customWidth="1"/>
    <col min="8" max="8" width="8.6640625" customWidth="1"/>
    <col min="9" max="9" width="26.6640625" customWidth="1"/>
    <col min="10" max="10" width="47.44140625" customWidth="1"/>
    <col min="11" max="11" width="12.6640625" customWidth="1"/>
  </cols>
  <sheetData>
    <row r="1" spans="1:11" ht="12.75" customHeight="1" x14ac:dyDescent="0.3">
      <c r="A1" s="1133" t="str">
        <f>Score!$A$1</f>
        <v>Black Rose Rollers / All Stars</v>
      </c>
      <c r="B1" s="1134"/>
      <c r="C1" s="502">
        <f>IF(ISBLANK(IGRF!$B$7), "", IGRF!$B$7)</f>
        <v>45144</v>
      </c>
      <c r="D1" s="1136">
        <v>1</v>
      </c>
      <c r="H1" s="1133" t="str">
        <f>Score!$T$1</f>
        <v>Steel City Roller Derby / Steel Hurtin'</v>
      </c>
      <c r="I1" s="1134"/>
      <c r="J1" s="502">
        <f>IF(ISBLANK(IGRF!$B$7), "", IGRF!$B$7)</f>
        <v>45144</v>
      </c>
      <c r="K1" s="1136">
        <v>1</v>
      </c>
    </row>
    <row r="2" spans="1:11" ht="13.5" customHeight="1" thickBot="1" x14ac:dyDescent="0.3">
      <c r="A2" s="1135"/>
      <c r="B2" s="952"/>
      <c r="C2" s="10" t="s">
        <v>184</v>
      </c>
      <c r="D2" s="1137"/>
      <c r="H2" s="1135"/>
      <c r="I2" s="952"/>
      <c r="J2" s="10" t="s">
        <v>184</v>
      </c>
      <c r="K2" s="1137"/>
    </row>
    <row r="3" spans="1:11" ht="13.95" customHeight="1" thickBot="1" x14ac:dyDescent="0.3">
      <c r="A3" s="496" t="s">
        <v>268</v>
      </c>
      <c r="B3" s="489" t="s">
        <v>327</v>
      </c>
      <c r="C3" s="490" t="s">
        <v>326</v>
      </c>
      <c r="D3" s="495" t="str">
        <f>IF(ISBLANK(IGRF!$L$3), "", "GAME " &amp; IGRF!$L$3)</f>
        <v/>
      </c>
      <c r="H3" s="496" t="s">
        <v>268</v>
      </c>
      <c r="I3" s="489" t="s">
        <v>327</v>
      </c>
      <c r="J3" s="490" t="s">
        <v>326</v>
      </c>
      <c r="K3" s="495" t="str">
        <f>IF(ISBLANK(IGRF!$L$3), "", "GAME " &amp; IGRF!$L$3)</f>
        <v/>
      </c>
    </row>
    <row r="4" spans="1:11" ht="23.4" x14ac:dyDescent="0.45">
      <c r="A4" s="491">
        <f>IF(Score!A4="", "",Score!A4 )</f>
        <v>1</v>
      </c>
      <c r="B4" s="498"/>
      <c r="C4" s="1127"/>
      <c r="D4" s="1128"/>
      <c r="H4" s="491">
        <f>IF(Score!T4="", "",Score!T4 )</f>
        <v>1</v>
      </c>
      <c r="I4" s="498"/>
      <c r="J4" s="1127"/>
      <c r="K4" s="1128"/>
    </row>
    <row r="5" spans="1:11" ht="23.4" x14ac:dyDescent="0.45">
      <c r="A5" s="492" t="str">
        <f>IF(Score!A5="", "",Score!A5 )</f>
        <v>SP</v>
      </c>
      <c r="B5" s="499"/>
      <c r="C5" s="1125"/>
      <c r="D5" s="1126"/>
      <c r="H5" s="492" t="str">
        <f>IF(Score!T5="", "",Score!T5 )</f>
        <v>SP*</v>
      </c>
      <c r="I5" s="499"/>
      <c r="J5" s="1125"/>
      <c r="K5" s="1126"/>
    </row>
    <row r="6" spans="1:11" ht="23.4" x14ac:dyDescent="0.45">
      <c r="A6" s="493">
        <f>IF(Score!A6="", "",Score!A6 )</f>
        <v>2</v>
      </c>
      <c r="B6" s="498"/>
      <c r="C6" s="1127"/>
      <c r="D6" s="1128"/>
      <c r="H6" s="493">
        <f>IF(Score!T6="", "",Score!T6 )</f>
        <v>2</v>
      </c>
      <c r="I6" s="498"/>
      <c r="J6" s="1127"/>
      <c r="K6" s="1128"/>
    </row>
    <row r="7" spans="1:11" ht="23.4" x14ac:dyDescent="0.45">
      <c r="A7" s="492">
        <f>IF(Score!A7="", "",Score!A7 )</f>
        <v>3</v>
      </c>
      <c r="B7" s="499"/>
      <c r="C7" s="1125"/>
      <c r="D7" s="1126"/>
      <c r="H7" s="492">
        <f>IF(Score!T7="", "",Score!T7 )</f>
        <v>3</v>
      </c>
      <c r="I7" s="499"/>
      <c r="J7" s="1125"/>
      <c r="K7" s="1126"/>
    </row>
    <row r="8" spans="1:11" ht="23.4" x14ac:dyDescent="0.45">
      <c r="A8" s="493">
        <f>IF(Score!A8="", "",Score!A8 )</f>
        <v>4</v>
      </c>
      <c r="B8" s="498"/>
      <c r="C8" s="1127"/>
      <c r="D8" s="1128"/>
      <c r="H8" s="493">
        <f>IF(Score!T8="", "",Score!T8 )</f>
        <v>4</v>
      </c>
      <c r="I8" s="498"/>
      <c r="J8" s="1127"/>
      <c r="K8" s="1128"/>
    </row>
    <row r="9" spans="1:11" ht="23.4" x14ac:dyDescent="0.45">
      <c r="A9" s="492" t="str">
        <f>IF(Score!A9="", "",Score!A9 )</f>
        <v>SP*</v>
      </c>
      <c r="B9" s="499"/>
      <c r="C9" s="1125"/>
      <c r="D9" s="1126"/>
      <c r="H9" s="492" t="str">
        <f>IF(Score!T9="", "",Score!T9 )</f>
        <v>SP</v>
      </c>
      <c r="I9" s="499"/>
      <c r="J9" s="1125"/>
      <c r="K9" s="1126"/>
    </row>
    <row r="10" spans="1:11" ht="23.4" x14ac:dyDescent="0.45">
      <c r="A10" s="493">
        <f>IF(Score!A10="", "",Score!A10 )</f>
        <v>5</v>
      </c>
      <c r="B10" s="498"/>
      <c r="C10" s="1127"/>
      <c r="D10" s="1128"/>
      <c r="H10" s="493">
        <f>IF(Score!T10="", "",Score!T10 )</f>
        <v>5</v>
      </c>
      <c r="I10" s="498"/>
      <c r="J10" s="1127"/>
      <c r="K10" s="1128"/>
    </row>
    <row r="11" spans="1:11" ht="23.4" x14ac:dyDescent="0.45">
      <c r="A11" s="492">
        <f>IF(Score!A11="", "",Score!A11 )</f>
        <v>6</v>
      </c>
      <c r="B11" s="499"/>
      <c r="C11" s="1125"/>
      <c r="D11" s="1126"/>
      <c r="H11" s="492">
        <f>IF(Score!T11="", "",Score!T11 )</f>
        <v>6</v>
      </c>
      <c r="I11" s="499"/>
      <c r="J11" s="1125"/>
      <c r="K11" s="1126"/>
    </row>
    <row r="12" spans="1:11" ht="23.4" x14ac:dyDescent="0.45">
      <c r="A12" s="493">
        <f>IF(Score!A12="", "",Score!A12 )</f>
        <v>7</v>
      </c>
      <c r="B12" s="498"/>
      <c r="C12" s="1127"/>
      <c r="D12" s="1128"/>
      <c r="H12" s="493">
        <f>IF(Score!T12="", "",Score!T12 )</f>
        <v>7</v>
      </c>
      <c r="I12" s="498"/>
      <c r="J12" s="1127"/>
      <c r="K12" s="1128"/>
    </row>
    <row r="13" spans="1:11" ht="23.4" x14ac:dyDescent="0.45">
      <c r="A13" s="492" t="str">
        <f>IF(Score!A13="", "",Score!A13 )</f>
        <v>SP*</v>
      </c>
      <c r="B13" s="499"/>
      <c r="C13" s="1125"/>
      <c r="D13" s="1126"/>
      <c r="H13" s="492" t="str">
        <f>IF(Score!T13="", "",Score!T13 )</f>
        <v>SP</v>
      </c>
      <c r="I13" s="499"/>
      <c r="J13" s="1125"/>
      <c r="K13" s="1126"/>
    </row>
    <row r="14" spans="1:11" ht="23.4" x14ac:dyDescent="0.45">
      <c r="A14" s="493">
        <f>IF(Score!A14="", "",Score!A14 )</f>
        <v>8</v>
      </c>
      <c r="B14" s="498"/>
      <c r="C14" s="1127"/>
      <c r="D14" s="1128"/>
      <c r="H14" s="493">
        <f>IF(Score!T14="", "",Score!T14 )</f>
        <v>8</v>
      </c>
      <c r="I14" s="498"/>
      <c r="J14" s="1127"/>
      <c r="K14" s="1128"/>
    </row>
    <row r="15" spans="1:11" ht="23.4" x14ac:dyDescent="0.45">
      <c r="A15" s="492" t="str">
        <f>IF(Score!A15="", "",Score!A15 )</f>
        <v>SP</v>
      </c>
      <c r="B15" s="499"/>
      <c r="C15" s="1125"/>
      <c r="D15" s="1126"/>
      <c r="H15" s="492" t="str">
        <f>IF(Score!T15="", "",Score!T15 )</f>
        <v>SP*</v>
      </c>
      <c r="I15" s="499"/>
      <c r="J15" s="1125"/>
      <c r="K15" s="1126"/>
    </row>
    <row r="16" spans="1:11" ht="23.4" x14ac:dyDescent="0.45">
      <c r="A16" s="493">
        <f>IF(Score!A16="", "",Score!A16 )</f>
        <v>9</v>
      </c>
      <c r="B16" s="498"/>
      <c r="C16" s="1127"/>
      <c r="D16" s="1128"/>
      <c r="H16" s="493">
        <f>IF(Score!T16="", "",Score!T16 )</f>
        <v>9</v>
      </c>
      <c r="I16" s="498"/>
      <c r="J16" s="1127"/>
      <c r="K16" s="1128"/>
    </row>
    <row r="17" spans="1:11" ht="23.4" x14ac:dyDescent="0.45">
      <c r="A17" s="492">
        <f>IF(Score!A17="", "",Score!A17 )</f>
        <v>10</v>
      </c>
      <c r="B17" s="499"/>
      <c r="C17" s="1125"/>
      <c r="D17" s="1126"/>
      <c r="H17" s="492">
        <f>IF(Score!T17="", "",Score!T17 )</f>
        <v>10</v>
      </c>
      <c r="I17" s="499"/>
      <c r="J17" s="1125"/>
      <c r="K17" s="1126"/>
    </row>
    <row r="18" spans="1:11" ht="23.4" x14ac:dyDescent="0.45">
      <c r="A18" s="493" t="str">
        <f>IF(Score!A18="", "",Score!A18 )</f>
        <v>SP*</v>
      </c>
      <c r="B18" s="498"/>
      <c r="C18" s="1127"/>
      <c r="D18" s="1128"/>
      <c r="H18" s="493" t="str">
        <f>IF(Score!T18="", "",Score!T18 )</f>
        <v>SP</v>
      </c>
      <c r="I18" s="498"/>
      <c r="J18" s="1127"/>
      <c r="K18" s="1128"/>
    </row>
    <row r="19" spans="1:11" ht="23.4" x14ac:dyDescent="0.45">
      <c r="A19" s="492">
        <f>IF(Score!A19="", "",Score!A19 )</f>
        <v>11</v>
      </c>
      <c r="B19" s="499"/>
      <c r="C19" s="1125"/>
      <c r="D19" s="1126"/>
      <c r="H19" s="492">
        <f>IF(Score!T19="", "",Score!T19 )</f>
        <v>11</v>
      </c>
      <c r="I19" s="499"/>
      <c r="J19" s="1125"/>
      <c r="K19" s="1126"/>
    </row>
    <row r="20" spans="1:11" ht="23.4" x14ac:dyDescent="0.45">
      <c r="A20" s="493">
        <f>IF(Score!A20="", "",Score!A20 )</f>
        <v>12</v>
      </c>
      <c r="B20" s="498"/>
      <c r="C20" s="1127"/>
      <c r="D20" s="1128"/>
      <c r="H20" s="493">
        <f>IF(Score!T20="", "",Score!T20 )</f>
        <v>12</v>
      </c>
      <c r="I20" s="498"/>
      <c r="J20" s="1127"/>
      <c r="K20" s="1128"/>
    </row>
    <row r="21" spans="1:11" ht="23.4" x14ac:dyDescent="0.45">
      <c r="A21" s="492">
        <f>IF(Score!A21="", "",Score!A21 )</f>
        <v>13</v>
      </c>
      <c r="B21" s="499"/>
      <c r="C21" s="1125"/>
      <c r="D21" s="1126"/>
      <c r="H21" s="492">
        <f>IF(Score!T21="", "",Score!T21 )</f>
        <v>13</v>
      </c>
      <c r="I21" s="499"/>
      <c r="J21" s="1125"/>
      <c r="K21" s="1126"/>
    </row>
    <row r="22" spans="1:11" ht="23.4" x14ac:dyDescent="0.45">
      <c r="A22" s="493" t="str">
        <f>IF(Score!A22="", "",Score!A22 )</f>
        <v>SP</v>
      </c>
      <c r="B22" s="498"/>
      <c r="C22" s="1127"/>
      <c r="D22" s="1128"/>
      <c r="H22" s="493" t="str">
        <f>IF(Score!T22="", "",Score!T22 )</f>
        <v>SP*</v>
      </c>
      <c r="I22" s="498"/>
      <c r="J22" s="1127"/>
      <c r="K22" s="1128"/>
    </row>
    <row r="23" spans="1:11" ht="23.4" x14ac:dyDescent="0.45">
      <c r="A23" s="492">
        <f>IF(Score!A23="", "",Score!A23 )</f>
        <v>14</v>
      </c>
      <c r="B23" s="499"/>
      <c r="C23" s="1125"/>
      <c r="D23" s="1126"/>
      <c r="H23" s="492">
        <f>IF(Score!T23="", "",Score!T23 )</f>
        <v>14</v>
      </c>
      <c r="I23" s="499"/>
      <c r="J23" s="1125"/>
      <c r="K23" s="1126"/>
    </row>
    <row r="24" spans="1:11" ht="23.4" x14ac:dyDescent="0.45">
      <c r="A24" s="493" t="str">
        <f>IF(Score!A24="", "",Score!A24 )</f>
        <v>SP*</v>
      </c>
      <c r="B24" s="498"/>
      <c r="C24" s="1127"/>
      <c r="D24" s="1128"/>
      <c r="H24" s="493" t="str">
        <f>IF(Score!T24="", "",Score!T24 )</f>
        <v>SP</v>
      </c>
      <c r="I24" s="498"/>
      <c r="J24" s="1127"/>
      <c r="K24" s="1128"/>
    </row>
    <row r="25" spans="1:11" ht="23.4" x14ac:dyDescent="0.45">
      <c r="A25" s="492">
        <f>IF(Score!A25="", "",Score!A25 )</f>
        <v>15</v>
      </c>
      <c r="B25" s="499"/>
      <c r="C25" s="1125"/>
      <c r="D25" s="1126"/>
      <c r="H25" s="492">
        <f>IF(Score!T25="", "",Score!T25 )</f>
        <v>15</v>
      </c>
      <c r="I25" s="499"/>
      <c r="J25" s="1125"/>
      <c r="K25" s="1126"/>
    </row>
    <row r="26" spans="1:11" ht="23.4" x14ac:dyDescent="0.45">
      <c r="A26" s="493">
        <f>IF(Score!A26="", "",Score!A26 )</f>
        <v>16</v>
      </c>
      <c r="B26" s="498"/>
      <c r="C26" s="1127"/>
      <c r="D26" s="1128"/>
      <c r="H26" s="493">
        <f>IF(Score!T26="", "",Score!T26 )</f>
        <v>16</v>
      </c>
      <c r="I26" s="498"/>
      <c r="J26" s="1127"/>
      <c r="K26" s="1128"/>
    </row>
    <row r="27" spans="1:11" ht="23.4" x14ac:dyDescent="0.45">
      <c r="A27" s="492" t="str">
        <f>IF(Score!A27="", "",Score!A27 )</f>
        <v>SP*</v>
      </c>
      <c r="B27" s="499"/>
      <c r="C27" s="1125"/>
      <c r="D27" s="1126"/>
      <c r="H27" s="492" t="str">
        <f>IF(Score!T27="", "",Score!T27 )</f>
        <v>SP</v>
      </c>
      <c r="I27" s="499"/>
      <c r="J27" s="1125"/>
      <c r="K27" s="1126"/>
    </row>
    <row r="28" spans="1:11" ht="23.4" x14ac:dyDescent="0.45">
      <c r="A28" s="493">
        <f>IF(Score!A28="", "",Score!A28 )</f>
        <v>17</v>
      </c>
      <c r="B28" s="498"/>
      <c r="C28" s="1127"/>
      <c r="D28" s="1128"/>
      <c r="H28" s="493">
        <f>IF(Score!T28="", "",Score!T28 )</f>
        <v>17</v>
      </c>
      <c r="I28" s="498"/>
      <c r="J28" s="1127"/>
      <c r="K28" s="1128"/>
    </row>
    <row r="29" spans="1:11" ht="23.4" x14ac:dyDescent="0.45">
      <c r="A29" s="492">
        <f>IF(Score!A29="", "",Score!A29 )</f>
        <v>18</v>
      </c>
      <c r="B29" s="499"/>
      <c r="C29" s="1125"/>
      <c r="D29" s="1126"/>
      <c r="H29" s="492">
        <f>IF(Score!T29="", "",Score!T29 )</f>
        <v>18</v>
      </c>
      <c r="I29" s="499"/>
      <c r="J29" s="1125"/>
      <c r="K29" s="1126"/>
    </row>
    <row r="30" spans="1:11" ht="23.4" x14ac:dyDescent="0.45">
      <c r="A30" s="493">
        <f>IF(Score!A30="", "",Score!A30 )</f>
        <v>19</v>
      </c>
      <c r="B30" s="498"/>
      <c r="C30" s="1127"/>
      <c r="D30" s="1128"/>
      <c r="H30" s="493">
        <f>IF(Score!T30="", "",Score!T30 )</f>
        <v>19</v>
      </c>
      <c r="I30" s="498"/>
      <c r="J30" s="1127"/>
      <c r="K30" s="1128"/>
    </row>
    <row r="31" spans="1:11" ht="23.4" x14ac:dyDescent="0.45">
      <c r="A31" s="492">
        <f>IF(Score!A31="", "",Score!A31 )</f>
        <v>20</v>
      </c>
      <c r="B31" s="499"/>
      <c r="C31" s="1125"/>
      <c r="D31" s="1126"/>
      <c r="H31" s="492">
        <f>IF(Score!T31="", "",Score!T31 )</f>
        <v>20</v>
      </c>
      <c r="I31" s="499"/>
      <c r="J31" s="1125"/>
      <c r="K31" s="1126"/>
    </row>
    <row r="32" spans="1:11" ht="23.4" x14ac:dyDescent="0.45">
      <c r="A32" s="493" t="str">
        <f>IF(Score!A32="", "",Score!A32 )</f>
        <v/>
      </c>
      <c r="B32" s="498"/>
      <c r="C32" s="1127"/>
      <c r="D32" s="1128"/>
      <c r="H32" s="493" t="str">
        <f>IF(Score!T32="", "",Score!T32 )</f>
        <v/>
      </c>
      <c r="I32" s="498"/>
      <c r="J32" s="1127"/>
      <c r="K32" s="1128"/>
    </row>
    <row r="33" spans="1:11" ht="23.4" x14ac:dyDescent="0.45">
      <c r="A33" s="492" t="str">
        <f>IF(Score!A33="", "",Score!A33 )</f>
        <v/>
      </c>
      <c r="B33" s="499"/>
      <c r="C33" s="1125"/>
      <c r="D33" s="1126"/>
      <c r="H33" s="492" t="str">
        <f>IF(Score!T33="", "",Score!T33 )</f>
        <v/>
      </c>
      <c r="I33" s="499"/>
      <c r="J33" s="1125"/>
      <c r="K33" s="1126"/>
    </row>
    <row r="34" spans="1:11" ht="23.4" x14ac:dyDescent="0.45">
      <c r="A34" s="493" t="str">
        <f>IF(Score!A34="", "",Score!A34 )</f>
        <v/>
      </c>
      <c r="B34" s="498"/>
      <c r="C34" s="1127"/>
      <c r="D34" s="1128"/>
      <c r="H34" s="493" t="str">
        <f>IF(Score!T34="", "",Score!T34 )</f>
        <v/>
      </c>
      <c r="I34" s="498"/>
      <c r="J34" s="1127"/>
      <c r="K34" s="1128"/>
    </row>
    <row r="35" spans="1:11" ht="23.4" x14ac:dyDescent="0.45">
      <c r="A35" s="492" t="str">
        <f>IF(Score!A35="", "",Score!A35 )</f>
        <v/>
      </c>
      <c r="B35" s="499"/>
      <c r="C35" s="1125"/>
      <c r="D35" s="1126"/>
      <c r="H35" s="492" t="str">
        <f>IF(Score!T35="", "",Score!T35 )</f>
        <v/>
      </c>
      <c r="I35" s="499"/>
      <c r="J35" s="1125"/>
      <c r="K35" s="1126"/>
    </row>
    <row r="36" spans="1:11" ht="23.4" x14ac:dyDescent="0.45">
      <c r="A36" s="493" t="str">
        <f>IF(Score!A36="", "",Score!A36 )</f>
        <v/>
      </c>
      <c r="B36" s="498"/>
      <c r="C36" s="1127"/>
      <c r="D36" s="1128"/>
      <c r="H36" s="493" t="str">
        <f>IF(Score!T36="", "",Score!T36 )</f>
        <v/>
      </c>
      <c r="I36" s="498"/>
      <c r="J36" s="1127"/>
      <c r="K36" s="1128"/>
    </row>
    <row r="37" spans="1:11" ht="23.4" x14ac:dyDescent="0.45">
      <c r="A37" s="492" t="str">
        <f>IF(Score!A37="", "",Score!A37 )</f>
        <v/>
      </c>
      <c r="B37" s="499"/>
      <c r="C37" s="1125"/>
      <c r="D37" s="1126"/>
      <c r="H37" s="492" t="str">
        <f>IF(Score!T37="", "",Score!T37 )</f>
        <v/>
      </c>
      <c r="I37" s="499"/>
      <c r="J37" s="1125"/>
      <c r="K37" s="1126"/>
    </row>
    <row r="38" spans="1:11" ht="23.4" x14ac:dyDescent="0.45">
      <c r="A38" s="493" t="str">
        <f>IF(Score!A38="", "",Score!A38 )</f>
        <v/>
      </c>
      <c r="B38" s="498"/>
      <c r="C38" s="1127"/>
      <c r="D38" s="1128"/>
      <c r="H38" s="493" t="str">
        <f>IF(Score!T38="", "",Score!T38 )</f>
        <v/>
      </c>
      <c r="I38" s="498"/>
      <c r="J38" s="1127"/>
      <c r="K38" s="1128"/>
    </row>
    <row r="39" spans="1:11" ht="23.4" x14ac:dyDescent="0.45">
      <c r="A39" s="492" t="str">
        <f>IF(Score!A39="", "",Score!A39 )</f>
        <v/>
      </c>
      <c r="B39" s="499"/>
      <c r="C39" s="1125"/>
      <c r="D39" s="1126"/>
      <c r="H39" s="492" t="str">
        <f>IF(Score!T39="", "",Score!T39 )</f>
        <v/>
      </c>
      <c r="I39" s="499"/>
      <c r="J39" s="1125"/>
      <c r="K39" s="1126"/>
    </row>
    <row r="40" spans="1:11" ht="23.4" x14ac:dyDescent="0.45">
      <c r="A40" s="493" t="str">
        <f>IF(Score!A40="", "",Score!A40 )</f>
        <v/>
      </c>
      <c r="B40" s="498"/>
      <c r="C40" s="1127"/>
      <c r="D40" s="1128"/>
      <c r="H40" s="493" t="str">
        <f>IF(Score!T40="", "",Score!T40 )</f>
        <v/>
      </c>
      <c r="I40" s="498"/>
      <c r="J40" s="1127"/>
      <c r="K40" s="1128"/>
    </row>
    <row r="41" spans="1:11" ht="24" thickBot="1" x14ac:dyDescent="0.5">
      <c r="A41" s="494" t="str">
        <f>IF(Score!A41="", "",Score!A41 )</f>
        <v/>
      </c>
      <c r="B41" s="500"/>
      <c r="C41" s="1129"/>
      <c r="D41" s="1130"/>
      <c r="H41" s="494" t="str">
        <f>IF(Score!T41="", "",Score!T41 )</f>
        <v/>
      </c>
      <c r="I41" s="500"/>
      <c r="J41" s="1129"/>
      <c r="K41" s="1130"/>
    </row>
    <row r="42" spans="1:11" ht="28.05" customHeight="1" thickTop="1" thickBot="1" x14ac:dyDescent="0.3">
      <c r="A42" s="501" t="s">
        <v>328</v>
      </c>
      <c r="B42" s="497">
        <f>SUM(B4:B41)</f>
        <v>0</v>
      </c>
      <c r="C42" s="1131"/>
      <c r="D42" s="1132"/>
      <c r="H42" s="501" t="str">
        <f>A42</f>
        <v>Period Offset</v>
      </c>
      <c r="I42" s="497">
        <f>SUM(I4:I41)</f>
        <v>0</v>
      </c>
      <c r="J42" s="1131"/>
      <c r="K42" s="1132"/>
    </row>
    <row r="43" spans="1:11" ht="12.75" customHeight="1" x14ac:dyDescent="0.3">
      <c r="A43" s="1133" t="str">
        <f>A1</f>
        <v>Black Rose Rollers / All Stars</v>
      </c>
      <c r="B43" s="1134"/>
      <c r="C43" s="502">
        <f>IF(ISBLANK(IGRF!$B$7), "", IGRF!$B$7)</f>
        <v>45144</v>
      </c>
      <c r="D43" s="1136">
        <v>2</v>
      </c>
      <c r="H43" s="1133" t="str">
        <f>H1</f>
        <v>Steel City Roller Derby / Steel Hurtin'</v>
      </c>
      <c r="I43" s="1134"/>
      <c r="J43" s="502">
        <f>IF(ISBLANK(IGRF!$B$7), "", IGRF!$B$7)</f>
        <v>45144</v>
      </c>
      <c r="K43" s="1136">
        <v>2</v>
      </c>
    </row>
    <row r="44" spans="1:11" ht="13.5" customHeight="1" thickBot="1" x14ac:dyDescent="0.3">
      <c r="A44" s="1135"/>
      <c r="B44" s="952"/>
      <c r="C44" s="10" t="s">
        <v>184</v>
      </c>
      <c r="D44" s="1137"/>
      <c r="H44" s="1135"/>
      <c r="I44" s="952"/>
      <c r="J44" s="10" t="s">
        <v>184</v>
      </c>
      <c r="K44" s="1137"/>
    </row>
    <row r="45" spans="1:11" ht="13.95" customHeight="1" thickBot="1" x14ac:dyDescent="0.3">
      <c r="A45" s="496" t="s">
        <v>268</v>
      </c>
      <c r="B45" s="489" t="s">
        <v>327</v>
      </c>
      <c r="C45" s="490" t="s">
        <v>326</v>
      </c>
      <c r="D45" s="495" t="str">
        <f>IF(ISBLANK(IGRF!$L$3), "", "GAME " &amp; IGRF!$L$3)</f>
        <v/>
      </c>
      <c r="H45" s="496" t="s">
        <v>268</v>
      </c>
      <c r="I45" s="489" t="s">
        <v>327</v>
      </c>
      <c r="J45" s="490" t="s">
        <v>326</v>
      </c>
      <c r="K45" s="495" t="str">
        <f>IF(ISBLANK(IGRF!$L$3), "", "GAME " &amp; IGRF!$L$3)</f>
        <v/>
      </c>
    </row>
    <row r="46" spans="1:11" ht="23.4" x14ac:dyDescent="0.45">
      <c r="A46" s="491">
        <f>IF(Score!A46="", "",Score!A46 )</f>
        <v>1</v>
      </c>
      <c r="B46" s="498"/>
      <c r="C46" s="1127"/>
      <c r="D46" s="1128"/>
      <c r="H46" s="491">
        <f>IF(Score!T46="", "",Score!T46 )</f>
        <v>1</v>
      </c>
      <c r="I46" s="498"/>
      <c r="J46" s="1127"/>
      <c r="K46" s="1128"/>
    </row>
    <row r="47" spans="1:11" ht="23.4" x14ac:dyDescent="0.45">
      <c r="A47" s="492" t="str">
        <f>IF(Score!A47="", "",Score!A47 )</f>
        <v>SP*</v>
      </c>
      <c r="B47" s="499"/>
      <c r="C47" s="1125"/>
      <c r="D47" s="1126"/>
      <c r="H47" s="492" t="str">
        <f>IF(Score!T47="", "",Score!T47 )</f>
        <v>SP</v>
      </c>
      <c r="I47" s="499"/>
      <c r="J47" s="1125"/>
      <c r="K47" s="1126"/>
    </row>
    <row r="48" spans="1:11" ht="23.4" x14ac:dyDescent="0.45">
      <c r="A48" s="493">
        <f>IF(Score!A48="", "",Score!A48 )</f>
        <v>2</v>
      </c>
      <c r="B48" s="498"/>
      <c r="C48" s="1127"/>
      <c r="D48" s="1128"/>
      <c r="H48" s="493">
        <f>IF(Score!T48="", "",Score!T48 )</f>
        <v>2</v>
      </c>
      <c r="I48" s="498"/>
      <c r="J48" s="1127"/>
      <c r="K48" s="1128"/>
    </row>
    <row r="49" spans="1:11" ht="23.4" x14ac:dyDescent="0.45">
      <c r="A49" s="492" t="str">
        <f>IF(Score!A49="", "",Score!A49 )</f>
        <v>SP</v>
      </c>
      <c r="B49" s="499"/>
      <c r="C49" s="1125"/>
      <c r="D49" s="1126"/>
      <c r="H49" s="492" t="str">
        <f>IF(Score!T49="", "",Score!T49 )</f>
        <v>SP*</v>
      </c>
      <c r="I49" s="499"/>
      <c r="J49" s="1125"/>
      <c r="K49" s="1126"/>
    </row>
    <row r="50" spans="1:11" ht="23.4" x14ac:dyDescent="0.45">
      <c r="A50" s="493">
        <f>IF(Score!A50="", "",Score!A50 )</f>
        <v>3</v>
      </c>
      <c r="B50" s="498"/>
      <c r="C50" s="1127"/>
      <c r="D50" s="1128"/>
      <c r="H50" s="493">
        <f>IF(Score!T50="", "",Score!T50 )</f>
        <v>3</v>
      </c>
      <c r="I50" s="498"/>
      <c r="J50" s="1127"/>
      <c r="K50" s="1128"/>
    </row>
    <row r="51" spans="1:11" ht="23.4" x14ac:dyDescent="0.45">
      <c r="A51" s="492">
        <f>IF(Score!A51="", "",Score!A51 )</f>
        <v>4</v>
      </c>
      <c r="B51" s="499"/>
      <c r="C51" s="1125"/>
      <c r="D51" s="1126"/>
      <c r="H51" s="492">
        <f>IF(Score!T51="", "",Score!T51 )</f>
        <v>4</v>
      </c>
      <c r="I51" s="499"/>
      <c r="J51" s="1125"/>
      <c r="K51" s="1126"/>
    </row>
    <row r="52" spans="1:11" ht="23.4" x14ac:dyDescent="0.45">
      <c r="A52" s="493" t="str">
        <f>IF(Score!A52="", "",Score!A52 )</f>
        <v>SP</v>
      </c>
      <c r="B52" s="498"/>
      <c r="C52" s="1127"/>
      <c r="D52" s="1128"/>
      <c r="H52" s="493" t="str">
        <f>IF(Score!T52="", "",Score!T52 )</f>
        <v>SP*</v>
      </c>
      <c r="I52" s="498"/>
      <c r="J52" s="1127"/>
      <c r="K52" s="1128"/>
    </row>
    <row r="53" spans="1:11" ht="23.4" x14ac:dyDescent="0.45">
      <c r="A53" s="492">
        <f>IF(Score!A53="", "",Score!A53 )</f>
        <v>5</v>
      </c>
      <c r="B53" s="499"/>
      <c r="C53" s="1125"/>
      <c r="D53" s="1126"/>
      <c r="H53" s="492">
        <f>IF(Score!T53="", "",Score!T53 )</f>
        <v>5</v>
      </c>
      <c r="I53" s="499"/>
      <c r="J53" s="1125"/>
      <c r="K53" s="1126"/>
    </row>
    <row r="54" spans="1:11" ht="23.4" x14ac:dyDescent="0.45">
      <c r="A54" s="493">
        <f>IF(Score!A54="", "",Score!A54 )</f>
        <v>6</v>
      </c>
      <c r="B54" s="498"/>
      <c r="C54" s="1127"/>
      <c r="D54" s="1128"/>
      <c r="H54" s="493">
        <f>IF(Score!T54="", "",Score!T54 )</f>
        <v>6</v>
      </c>
      <c r="I54" s="498"/>
      <c r="J54" s="1127"/>
      <c r="K54" s="1128"/>
    </row>
    <row r="55" spans="1:11" ht="23.4" x14ac:dyDescent="0.45">
      <c r="A55" s="492">
        <f>IF(Score!A55="", "",Score!A55 )</f>
        <v>7</v>
      </c>
      <c r="B55" s="499"/>
      <c r="C55" s="1125"/>
      <c r="D55" s="1126"/>
      <c r="H55" s="492">
        <f>IF(Score!T55="", "",Score!T55 )</f>
        <v>7</v>
      </c>
      <c r="I55" s="499"/>
      <c r="J55" s="1125"/>
      <c r="K55" s="1126"/>
    </row>
    <row r="56" spans="1:11" ht="23.4" x14ac:dyDescent="0.45">
      <c r="A56" s="493" t="str">
        <f>IF(Score!A56="", "",Score!A56 )</f>
        <v>SP*</v>
      </c>
      <c r="B56" s="498"/>
      <c r="C56" s="1127"/>
      <c r="D56" s="1128"/>
      <c r="H56" s="493" t="str">
        <f>IF(Score!T56="", "",Score!T56 )</f>
        <v>SP</v>
      </c>
      <c r="I56" s="498"/>
      <c r="J56" s="1127"/>
      <c r="K56" s="1128"/>
    </row>
    <row r="57" spans="1:11" ht="23.4" x14ac:dyDescent="0.45">
      <c r="A57" s="492">
        <f>IF(Score!A57="", "",Score!A57 )</f>
        <v>8</v>
      </c>
      <c r="B57" s="499"/>
      <c r="C57" s="1125"/>
      <c r="D57" s="1126"/>
      <c r="H57" s="492">
        <f>IF(Score!T57="", "",Score!T57 )</f>
        <v>8</v>
      </c>
      <c r="I57" s="499"/>
      <c r="J57" s="1125"/>
      <c r="K57" s="1126"/>
    </row>
    <row r="58" spans="1:11" ht="23.4" x14ac:dyDescent="0.45">
      <c r="A58" s="493">
        <f>IF(Score!A58="", "",Score!A58 )</f>
        <v>9</v>
      </c>
      <c r="B58" s="498"/>
      <c r="C58" s="1127"/>
      <c r="D58" s="1128"/>
      <c r="H58" s="493">
        <f>IF(Score!T58="", "",Score!T58 )</f>
        <v>9</v>
      </c>
      <c r="I58" s="498"/>
      <c r="J58" s="1127"/>
      <c r="K58" s="1128"/>
    </row>
    <row r="59" spans="1:11" ht="23.4" x14ac:dyDescent="0.45">
      <c r="A59" s="492">
        <f>IF(Score!A59="", "",Score!A59 )</f>
        <v>10</v>
      </c>
      <c r="B59" s="499"/>
      <c r="C59" s="1125"/>
      <c r="D59" s="1126"/>
      <c r="H59" s="492">
        <f>IF(Score!T59="", "",Score!T59 )</f>
        <v>10</v>
      </c>
      <c r="I59" s="499"/>
      <c r="J59" s="1125"/>
      <c r="K59" s="1126"/>
    </row>
    <row r="60" spans="1:11" ht="23.4" x14ac:dyDescent="0.45">
      <c r="A60" s="493" t="str">
        <f>IF(Score!A60="", "",Score!A60 )</f>
        <v>SP*</v>
      </c>
      <c r="B60" s="498"/>
      <c r="C60" s="1127"/>
      <c r="D60" s="1128"/>
      <c r="H60" s="493" t="str">
        <f>IF(Score!T60="", "",Score!T60 )</f>
        <v>SP</v>
      </c>
      <c r="I60" s="498"/>
      <c r="J60" s="1127"/>
      <c r="K60" s="1128"/>
    </row>
    <row r="61" spans="1:11" ht="23.4" x14ac:dyDescent="0.45">
      <c r="A61" s="492">
        <f>IF(Score!A61="", "",Score!A61 )</f>
        <v>11</v>
      </c>
      <c r="B61" s="499"/>
      <c r="C61" s="1125"/>
      <c r="D61" s="1126"/>
      <c r="H61" s="492">
        <f>IF(Score!T61="", "",Score!T61 )</f>
        <v>11</v>
      </c>
      <c r="I61" s="499"/>
      <c r="J61" s="1125"/>
      <c r="K61" s="1126"/>
    </row>
    <row r="62" spans="1:11" ht="23.4" x14ac:dyDescent="0.45">
      <c r="A62" s="493" t="str">
        <f>IF(Score!A62="", "",Score!A62 )</f>
        <v>SP*</v>
      </c>
      <c r="B62" s="498"/>
      <c r="C62" s="1127"/>
      <c r="D62" s="1128"/>
      <c r="H62" s="493" t="str">
        <f>IF(Score!T62="", "",Score!T62 )</f>
        <v>SP</v>
      </c>
      <c r="I62" s="498"/>
      <c r="J62" s="1127"/>
      <c r="K62" s="1128"/>
    </row>
    <row r="63" spans="1:11" ht="23.4" x14ac:dyDescent="0.45">
      <c r="A63" s="492">
        <f>IF(Score!A63="", "",Score!A63 )</f>
        <v>12</v>
      </c>
      <c r="B63" s="499"/>
      <c r="C63" s="1125"/>
      <c r="D63" s="1126"/>
      <c r="H63" s="492">
        <f>IF(Score!T63="", "",Score!T63 )</f>
        <v>12</v>
      </c>
      <c r="I63" s="499"/>
      <c r="J63" s="1125"/>
      <c r="K63" s="1126"/>
    </row>
    <row r="64" spans="1:11" ht="23.4" x14ac:dyDescent="0.45">
      <c r="A64" s="493">
        <f>IF(Score!A64="", "",Score!A64 )</f>
        <v>13</v>
      </c>
      <c r="B64" s="498"/>
      <c r="C64" s="1127"/>
      <c r="D64" s="1128"/>
      <c r="H64" s="493">
        <f>IF(Score!T64="", "",Score!T64 )</f>
        <v>13</v>
      </c>
      <c r="I64" s="498"/>
      <c r="J64" s="1127"/>
      <c r="K64" s="1128"/>
    </row>
    <row r="65" spans="1:11" ht="23.4" x14ac:dyDescent="0.45">
      <c r="A65" s="492">
        <f>IF(Score!A65="", "",Score!A65 )</f>
        <v>14</v>
      </c>
      <c r="B65" s="499"/>
      <c r="C65" s="1125"/>
      <c r="D65" s="1126"/>
      <c r="H65" s="492">
        <f>IF(Score!T65="", "",Score!T65 )</f>
        <v>14</v>
      </c>
      <c r="I65" s="499"/>
      <c r="J65" s="1125"/>
      <c r="K65" s="1126"/>
    </row>
    <row r="66" spans="1:11" ht="23.4" x14ac:dyDescent="0.45">
      <c r="A66" s="493" t="str">
        <f>IF(Score!A66="", "",Score!A66 )</f>
        <v>SP*</v>
      </c>
      <c r="B66" s="498"/>
      <c r="C66" s="1127"/>
      <c r="D66" s="1128"/>
      <c r="H66" s="493" t="str">
        <f>IF(Score!T66="", "",Score!T66 )</f>
        <v>SP</v>
      </c>
      <c r="I66" s="498"/>
      <c r="J66" s="1127"/>
      <c r="K66" s="1128"/>
    </row>
    <row r="67" spans="1:11" ht="23.4" x14ac:dyDescent="0.45">
      <c r="A67" s="492">
        <f>IF(Score!A67="", "",Score!A67 )</f>
        <v>15</v>
      </c>
      <c r="B67" s="499"/>
      <c r="C67" s="1125"/>
      <c r="D67" s="1126"/>
      <c r="H67" s="492">
        <f>IF(Score!T67="", "",Score!T67 )</f>
        <v>15</v>
      </c>
      <c r="I67" s="499"/>
      <c r="J67" s="1125"/>
      <c r="K67" s="1126"/>
    </row>
    <row r="68" spans="1:11" ht="23.4" x14ac:dyDescent="0.45">
      <c r="A68" s="493">
        <f>IF(Score!A68="", "",Score!A68 )</f>
        <v>16</v>
      </c>
      <c r="B68" s="498"/>
      <c r="C68" s="1127"/>
      <c r="D68" s="1128"/>
      <c r="H68" s="493">
        <f>IF(Score!T68="", "",Score!T68 )</f>
        <v>16</v>
      </c>
      <c r="I68" s="498"/>
      <c r="J68" s="1127"/>
      <c r="K68" s="1128"/>
    </row>
    <row r="69" spans="1:11" ht="23.4" x14ac:dyDescent="0.45">
      <c r="A69" s="492" t="str">
        <f>IF(Score!A69="", "",Score!A69 )</f>
        <v/>
      </c>
      <c r="B69" s="499"/>
      <c r="C69" s="1125"/>
      <c r="D69" s="1126"/>
      <c r="H69" s="492" t="str">
        <f>IF(Score!T69="", "",Score!T69 )</f>
        <v/>
      </c>
      <c r="I69" s="499"/>
      <c r="J69" s="1125"/>
      <c r="K69" s="1126"/>
    </row>
    <row r="70" spans="1:11" ht="23.4" x14ac:dyDescent="0.45">
      <c r="A70" s="493" t="str">
        <f>IF(Score!A70="", "",Score!A70 )</f>
        <v/>
      </c>
      <c r="B70" s="498"/>
      <c r="C70" s="1127"/>
      <c r="D70" s="1128"/>
      <c r="H70" s="493" t="str">
        <f>IF(Score!T70="", "",Score!T70 )</f>
        <v/>
      </c>
      <c r="I70" s="498"/>
      <c r="J70" s="1127"/>
      <c r="K70" s="1128"/>
    </row>
    <row r="71" spans="1:11" ht="23.4" x14ac:dyDescent="0.45">
      <c r="A71" s="492" t="str">
        <f>IF(Score!A71="", "",Score!A71 )</f>
        <v/>
      </c>
      <c r="B71" s="499"/>
      <c r="C71" s="1125"/>
      <c r="D71" s="1126"/>
      <c r="H71" s="492" t="str">
        <f>IF(Score!T71="", "",Score!T71 )</f>
        <v/>
      </c>
      <c r="I71" s="499"/>
      <c r="J71" s="1125"/>
      <c r="K71" s="1126"/>
    </row>
    <row r="72" spans="1:11" ht="23.4" x14ac:dyDescent="0.45">
      <c r="A72" s="493" t="str">
        <f>IF(Score!A72="", "",Score!A72 )</f>
        <v/>
      </c>
      <c r="B72" s="498"/>
      <c r="C72" s="1127"/>
      <c r="D72" s="1128"/>
      <c r="H72" s="493" t="str">
        <f>IF(Score!T72="", "",Score!T72 )</f>
        <v/>
      </c>
      <c r="I72" s="498"/>
      <c r="J72" s="1127"/>
      <c r="K72" s="1128"/>
    </row>
    <row r="73" spans="1:11" ht="23.4" x14ac:dyDescent="0.45">
      <c r="A73" s="492" t="str">
        <f>IF(Score!A73="", "",Score!A73 )</f>
        <v/>
      </c>
      <c r="B73" s="499"/>
      <c r="C73" s="1125"/>
      <c r="D73" s="1126"/>
      <c r="H73" s="492" t="str">
        <f>IF(Score!T73="", "",Score!T73 )</f>
        <v/>
      </c>
      <c r="I73" s="499"/>
      <c r="J73" s="1125"/>
      <c r="K73" s="1126"/>
    </row>
    <row r="74" spans="1:11" ht="23.4" x14ac:dyDescent="0.45">
      <c r="A74" s="493" t="str">
        <f>IF(Score!A74="", "",Score!A74 )</f>
        <v/>
      </c>
      <c r="B74" s="498"/>
      <c r="C74" s="1127"/>
      <c r="D74" s="1128"/>
      <c r="H74" s="493" t="str">
        <f>IF(Score!T74="", "",Score!T74 )</f>
        <v/>
      </c>
      <c r="I74" s="498"/>
      <c r="J74" s="1127"/>
      <c r="K74" s="1128"/>
    </row>
    <row r="75" spans="1:11" ht="23.4" x14ac:dyDescent="0.45">
      <c r="A75" s="492" t="str">
        <f>IF(Score!A75="", "",Score!A75 )</f>
        <v/>
      </c>
      <c r="B75" s="499"/>
      <c r="C75" s="1125"/>
      <c r="D75" s="1126"/>
      <c r="H75" s="492" t="str">
        <f>IF(Score!T75="", "",Score!T75 )</f>
        <v/>
      </c>
      <c r="I75" s="499"/>
      <c r="J75" s="1125"/>
      <c r="K75" s="1126"/>
    </row>
    <row r="76" spans="1:11" ht="23.4" x14ac:dyDescent="0.45">
      <c r="A76" s="493" t="str">
        <f>IF(Score!A76="", "",Score!A76 )</f>
        <v/>
      </c>
      <c r="B76" s="498"/>
      <c r="C76" s="1127"/>
      <c r="D76" s="1128"/>
      <c r="H76" s="493" t="str">
        <f>IF(Score!T76="", "",Score!T76 )</f>
        <v/>
      </c>
      <c r="I76" s="498"/>
      <c r="J76" s="1127"/>
      <c r="K76" s="1128"/>
    </row>
    <row r="77" spans="1:11" ht="23.4" x14ac:dyDescent="0.45">
      <c r="A77" s="492" t="str">
        <f>IF(Score!A77="", "",Score!A77 )</f>
        <v/>
      </c>
      <c r="B77" s="499"/>
      <c r="C77" s="1125"/>
      <c r="D77" s="1126"/>
      <c r="H77" s="492" t="str">
        <f>IF(Score!T77="", "",Score!T77 )</f>
        <v/>
      </c>
      <c r="I77" s="499"/>
      <c r="J77" s="1125"/>
      <c r="K77" s="1126"/>
    </row>
    <row r="78" spans="1:11" ht="23.4" x14ac:dyDescent="0.45">
      <c r="A78" s="493" t="str">
        <f>IF(Score!A78="", "",Score!A78 )</f>
        <v/>
      </c>
      <c r="B78" s="498"/>
      <c r="C78" s="1127"/>
      <c r="D78" s="1128"/>
      <c r="H78" s="493" t="str">
        <f>IF(Score!T78="", "",Score!T78 )</f>
        <v/>
      </c>
      <c r="I78" s="498"/>
      <c r="J78" s="1127"/>
      <c r="K78" s="1128"/>
    </row>
    <row r="79" spans="1:11" ht="23.4" x14ac:dyDescent="0.45">
      <c r="A79" s="492" t="str">
        <f>IF(Score!A79="", "",Score!A79 )</f>
        <v/>
      </c>
      <c r="B79" s="499"/>
      <c r="C79" s="1125"/>
      <c r="D79" s="1126"/>
      <c r="H79" s="492" t="str">
        <f>IF(Score!T79="", "",Score!T79 )</f>
        <v/>
      </c>
      <c r="I79" s="499"/>
      <c r="J79" s="1125"/>
      <c r="K79" s="1126"/>
    </row>
    <row r="80" spans="1:11" ht="23.4" x14ac:dyDescent="0.45">
      <c r="A80" s="493" t="str">
        <f>IF(Score!A80="", "",Score!A80 )</f>
        <v/>
      </c>
      <c r="B80" s="498"/>
      <c r="C80" s="1127"/>
      <c r="D80" s="1128"/>
      <c r="H80" s="493" t="str">
        <f>IF(Score!T80="", "",Score!T80 )</f>
        <v/>
      </c>
      <c r="I80" s="498"/>
      <c r="J80" s="1127"/>
      <c r="K80" s="1128"/>
    </row>
    <row r="81" spans="1:11" ht="23.4" x14ac:dyDescent="0.45">
      <c r="A81" s="492" t="str">
        <f>IF(Score!A81="", "",Score!A81 )</f>
        <v/>
      </c>
      <c r="B81" s="499"/>
      <c r="C81" s="1125"/>
      <c r="D81" s="1126"/>
      <c r="H81" s="492" t="str">
        <f>IF(Score!T81="", "",Score!T81 )</f>
        <v/>
      </c>
      <c r="I81" s="499"/>
      <c r="J81" s="1125"/>
      <c r="K81" s="1126"/>
    </row>
    <row r="82" spans="1:11" ht="23.4" x14ac:dyDescent="0.45">
      <c r="A82" s="493" t="str">
        <f>IF(Score!A82="", "",Score!A82 )</f>
        <v/>
      </c>
      <c r="B82" s="498"/>
      <c r="C82" s="1127"/>
      <c r="D82" s="1128"/>
      <c r="H82" s="493" t="str">
        <f>IF(Score!T82="", "",Score!T82 )</f>
        <v/>
      </c>
      <c r="I82" s="498"/>
      <c r="J82" s="1127"/>
      <c r="K82" s="1128"/>
    </row>
    <row r="83" spans="1:11" ht="24" thickBot="1" x14ac:dyDescent="0.5">
      <c r="A83" s="494" t="str">
        <f>IF(Score!A83="", "",Score!A83 )</f>
        <v/>
      </c>
      <c r="B83" s="500"/>
      <c r="C83" s="1129"/>
      <c r="D83" s="1130"/>
      <c r="H83" s="494" t="str">
        <f>IF(Score!T83="", "",Score!T83 )</f>
        <v/>
      </c>
      <c r="I83" s="500"/>
      <c r="J83" s="1129"/>
      <c r="K83" s="1130"/>
    </row>
    <row r="84" spans="1:11" ht="27.6" thickTop="1" thickBot="1" x14ac:dyDescent="0.3">
      <c r="A84" s="501" t="str">
        <f>A42</f>
        <v>Period Offset</v>
      </c>
      <c r="B84" s="497">
        <f>SUM(B46:B83)</f>
        <v>0</v>
      </c>
      <c r="C84" s="1131"/>
      <c r="D84" s="1132"/>
      <c r="H84" s="501" t="str">
        <f>A42</f>
        <v>Period Offset</v>
      </c>
      <c r="I84" s="497">
        <f>SUM(I46:I83)</f>
        <v>0</v>
      </c>
      <c r="J84" s="1131"/>
      <c r="K84" s="1132"/>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6" type="noConversion"/>
  <pageMargins left="0.7" right="0.7" top="0.75" bottom="0.75" header="0.3" footer="0.3"/>
  <pageSetup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B0D998D-5930-4DC8-8A9F-6A32FC7EA694}">
  <ds:schemaRefs>
    <ds:schemaRef ds:uri="http://schemas.microsoft.com/office/2006/documentManagement/types"/>
    <ds:schemaRef ds:uri="f0d1fba5-b851-4fbb-ad26-6f3fee8e9285"/>
    <ds:schemaRef ds:uri="http://purl.org/dc/elements/1.1/"/>
    <ds:schemaRef ds:uri="http://schemas.microsoft.com/office/2006/metadata/properties"/>
    <ds:schemaRef ds:uri="1650dc55-6804-4c8f-aa3c-5e816bdd9c33"/>
    <ds:schemaRef ds:uri="http://purl.org/dc/terms/"/>
    <ds:schemaRef ds:uri="http://schemas.openxmlformats.org/package/2006/metadata/core-properties"/>
    <ds:schemaRef ds:uri="c201eecb-b093-46ba-b276-c6fd26ee6b78"/>
    <ds:schemaRef ds:uri="http://www.w3.org/XML/1998/namespace"/>
    <ds:schemaRef ds:uri="http://purl.org/dc/dcmitype/"/>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11</vt:i4>
      </vt:variant>
    </vt:vector>
  </HeadingPairs>
  <TitlesOfParts>
    <vt:vector size="28" baseType="lpstr">
      <vt:lpstr>Read Me</vt:lpstr>
      <vt:lpstr>IGRF</vt:lpstr>
      <vt:lpstr>Score</vt:lpstr>
      <vt:lpstr>Penalties</vt:lpstr>
      <vt:lpstr>Lineups</vt:lpstr>
      <vt:lpstr>Penalties-Lineups</vt:lpstr>
      <vt:lpstr>Game Summary</vt:lpstr>
      <vt:lpstr>Penalty Summary</vt:lpstr>
      <vt:lpstr>OS Offset</vt:lpstr>
      <vt:lpstr>Penalty Box</vt:lpstr>
      <vt:lpstr>Rosters</vt:lpstr>
      <vt:lpstr>Game Clock</vt:lpstr>
      <vt:lpstr>LU</vt:lpstr>
      <vt:lpstr>PT</vt:lpstr>
      <vt:lpstr>SK</vt:lpstr>
      <vt:lpstr>Credits</vt:lpstr>
      <vt:lpstr>Colophon</vt:lpstr>
      <vt:lpstr>'Game Clock'!Print_Area</vt:lpstr>
      <vt:lpstr>'Game Summary'!Print_Area</vt:lpstr>
      <vt:lpstr>IGRF!Print_Area</vt:lpstr>
      <vt:lpstr>Lineups!Print_Area</vt:lpstr>
      <vt:lpstr>'OS Offset'!Print_Area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Zack Boyd</cp:lastModifiedBy>
  <cp:lastPrinted>2018-12-14T21:35:59Z</cp:lastPrinted>
  <dcterms:created xsi:type="dcterms:W3CDTF">2012-01-20T00:04:57Z</dcterms:created>
  <dcterms:modified xsi:type="dcterms:W3CDTF">2023-08-13T15:39:02Z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