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V65wCd8tEPnJ/T4nPJA/87TvB0fBoTOzWBtnR1ySMI="/>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ID#AAABDmtyt_U
Anon    (2024-01-04 12:22:22)
Total penalties must include any Non-Skater Expulsions, too.</t>
      </text>
    </comment>
    <comment authorId="0" ref="K59">
      <text>
        <t xml:space="preserve">======
ID#AAABDmtyt_E
G Hanek    (2024-01-04 12:22:22)
Leave blank if Official is not certified.</t>
      </text>
    </comment>
    <comment authorId="0" ref="D36">
      <text>
        <t xml:space="preserve">======
ID#AAABDmtyt-Y
Anon    (2024-01-04 12:22:22)
Total penalties must include any Non-Skater Expulsions, too.</t>
      </text>
    </comment>
    <comment authorId="0" ref="B14">
      <text>
        <t xml:space="preserve">======
ID#AAABDmtyt-U
Hint    (2024-01-04 12:22:22)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ID#AAABDmtyt8w
G Hanek    (2024-01-04 12:22:22)
Enter "yes" if an adjustment was made to the Official Score of this game.</t>
      </text>
    </comment>
    <comment authorId="0" ref="L3">
      <text>
        <t xml:space="preserve">======
ID#AAABDmtyt8M
Hint    (2024-01-04 12:22:22)
Use this for doubleheaders or multi-game events. It will print on other sheets. 
Does not have to be entered as "A" or "B"; alphanumeric and multiple characters are honored.</t>
      </text>
    </comment>
    <comment authorId="0" ref="L41">
      <text>
        <t xml:space="preserve">======
ID#AAABDmtyt78
G Hanek    (2024-01-04 12:22:22)
Mark YES if there was an Expulsion and a suspension was recommended.
Mark YES if there was any suspension recommended.
Mark NO if there was an Expulsion and no one recommended a suspension.</t>
      </text>
    </comment>
    <comment authorId="0" ref="L7">
      <text>
        <t xml:space="preserve">======
ID#AAABDmtyt7s
For use in Sanctioned games only    (2024-01-04 12:22:22)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ID#AAABDmtyt7g
Hint    (2024-01-04 12:22:22)
Enter date here in yyyy-mm-dd format, and it will be displayed on all pages.</t>
      </text>
    </comment>
  </commentList>
  <extLst>
    <ext uri="GoogleSheetsCustomDataVersion2">
      <go:sheetsCustomData xmlns:go="http://customooxmlschemas.google.com/" r:id="rId1" roundtripDataSignature="AMtx7mj+tGwslq9akjnQYRv6AiwMo74G+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ID#AAABDmtyt_M
Hint    (2024-01-04 12:22:22)
Use "X" rather than 1. If the jammer isn't Lead, leave blank..</t>
      </text>
    </comment>
    <comment authorId="0" ref="G4">
      <text>
        <t xml:space="preserve">======
ID#AAABDmtyt-I
Hint    (2024-01-04 12:22:22)
Mark with an "X" if jammer never completed initial pass.</t>
      </text>
    </comment>
    <comment authorId="0" ref="F4">
      <text>
        <t xml:space="preserve">======
ID#AAABDmtyt9s
Hint    (2024-01-04 12:22:22)
Mark with an "X" if jam ended for injury to anyone.</t>
      </text>
    </comment>
    <comment authorId="0" ref="B4">
      <text>
        <t xml:space="preserve">======
ID#AAABDmtyt9c
Hint    (2024-01-04 12:22:22)
Skater roster NUMBER, not name.</t>
      </text>
    </comment>
    <comment authorId="0" ref="C4">
      <text>
        <t xml:space="preserve">======
ID#AAABDmtyt9A
Hint    (2024-01-04 12:22:22)
Mark with an "X" if jammer lost eligibility for lead jammer, first pass or afterward.</t>
      </text>
    </comment>
    <comment authorId="0" ref="E4">
      <text>
        <t xml:space="preserve">======
ID#AAABDmtyt8s
Hint    (2024-01-04 12:22:22)
Mark with "X" if when the listed jammer successfully calls off the jam before jam time runs out, legal call off or not.</t>
      </text>
    </comment>
    <comment authorId="0" ref="A4">
      <text>
        <t xml:space="preserve">======
ID#AAABDmtyt7o
Hint    (2024-01-04 12:22:22)
Write in jam number as you go, and make sure to add SP or SP* for star pass lines.</t>
      </text>
    </comment>
  </commentList>
  <extLst>
    <ext uri="GoogleSheetsCustomDataVersion2">
      <go:sheetsCustomData xmlns:go="http://customooxmlschemas.google.com/" r:id="rId1" roundtripDataSignature="AMtx7mg8NG7KpXVSnSU9jpQ7MSi7eVaeo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ID#AAABDmtyt-8
Tip    (2024-01-04 12:22:22)
Write in jam number as you go. For Star Passes,  write SP on next line and rewrite the lineup with Jammer and Pivot swapped.</t>
      </text>
    </comment>
    <comment authorId="0" ref="W4">
      <text>
        <t xml:space="preserve">======
ID#AAABDmtyt-A
Katie    (2024-01-04 12:22:22)
This column exists to allow blocker/pivot +/- data to be calculated</t>
      </text>
    </comment>
    <comment authorId="0" ref="C4">
      <text>
        <t xml:space="preserve">======
ID#AAABDmtyt94
Katie    (2024-01-04 12:22:22)
Jammer numbers arrive here from the Score sheet. Make any corrections on the Score sheet, not here. 
Always double check your jams played on the "Game Summary" page when done.</t>
      </text>
    </comment>
    <comment authorId="0" ref="AW4">
      <text>
        <t xml:space="preserve">======
ID#AAABDmtyt80
Katie    (2024-01-04 12:22:22)
This column exists to allow blocker/pivot +/- data to be calculated</t>
      </text>
    </comment>
    <comment authorId="0" ref="B4">
      <text>
        <t xml:space="preserve">======
ID#AAABDmtyt8U
Katie    (2024-01-04 12:22:22)
Put an "X" in this box if the team did not field a pivot for this jam.</t>
      </text>
    </comment>
  </commentList>
  <extLst>
    <ext uri="GoogleSheetsCustomDataVersion2">
      <go:sheetsCustomData xmlns:go="http://customooxmlschemas.google.com/" r:id="rId1" roundtripDataSignature="AMtx7mhmGtYoovXGjA5sEYzwRrSRpPoT7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ID#AAABDmtyt_A
Tip    (2024-01-04 12:22:22)
Write in jam number as you go. For Star Passes,  write SP on next line and rewrite the lineup with Jammer and Pivot swapped.</t>
      </text>
    </comment>
    <comment authorId="0" ref="B48">
      <text>
        <t xml:space="preserve">======
ID#AAABDmtyt-o
Katie    (2024-01-04 12:22:22)
Put an "X" in this box if the team did not field a pivot for this jam.</t>
      </text>
    </comment>
    <comment authorId="0" ref="A4">
      <text>
        <t xml:space="preserve">======
ID#AAABDmtyt-g
Tip    (2024-01-04 12:22:22)
Write in jam number as you go. For Star Passes,  write SP on next line and rewrite the lineup with Jammer and Pivot swapped.</t>
      </text>
    </comment>
    <comment authorId="0" ref="AJ48">
      <text>
        <t xml:space="preserve">======
ID#AAABDmtyt-M
Tip    (2024-01-04 12:22:22)
Write in jam number as you go. For Star Passes,  write SP on next line and rewrite the lineup with Jammer and Pivot swapped.</t>
      </text>
    </comment>
    <comment authorId="0" ref="AL4">
      <text>
        <t xml:space="preserve">======
ID#AAABDmtyt9k
Katie    (2024-01-04 12:22:22)
Jammer numbers arrive here from the Score sheet. Make any corrections on the Score sheet, not here. 
Always double check your jams played on the "Game Summary" page when done.</t>
      </text>
    </comment>
    <comment authorId="0" ref="AK48">
      <text>
        <t xml:space="preserve">======
ID#AAABDmtyt9U
Katie    (2024-01-04 12:22:22)
Put an "X" in this box if the team did not field a pivot for this jam.</t>
      </text>
    </comment>
    <comment authorId="0" ref="AL48">
      <text>
        <t xml:space="preserve">======
ID#AAABDmtyt9Q
Katie    (2024-01-04 12:22:22)
Jammer numbers arrive here from the Score sheet. Make any corrections on the Score sheet, not here. 
Always double check your jams played on the "Game Summary" page when done.</t>
      </text>
    </comment>
    <comment authorId="0" ref="AK4">
      <text>
        <t xml:space="preserve">======
ID#AAABDmtyt9M
Katie    (2024-01-04 12:22:22)
Put an "X" in this box if the team did not field a pivot for this jam.</t>
      </text>
    </comment>
    <comment authorId="0" ref="B4">
      <text>
        <t xml:space="preserve">======
ID#AAABDmtyt88
Katie    (2024-01-04 12:22:22)
Put an "X" in this box if the team did not field a pivot for this jam.</t>
      </text>
    </comment>
    <comment authorId="0" ref="C4">
      <text>
        <t xml:space="preserve">======
ID#AAABDmtyt8o
Katie    (2024-01-04 12:22:22)
Jammer numbers arrive here from the Score sheet. Make any corrections on the Score sheet, not here. 
Always double check your jams played on the "Game Summary" page when done.</t>
      </text>
    </comment>
    <comment authorId="0" ref="C48">
      <text>
        <t xml:space="preserve">======
ID#AAABDmtyt8Q
Katie    (2024-01-04 12:22:22)
Jammer numbers arrive here from the Score sheet. Make any corrections on the Score sheet, not here. 
Always double check your jams played on the "Game Summary" page when done.</t>
      </text>
    </comment>
    <comment authorId="0" ref="A48">
      <text>
        <t xml:space="preserve">======
ID#AAABDmtyt7k
Tip    (2024-01-04 12:22:22)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yiok5GZwzFzvNpjJvKWetQqBHeg=="/>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ID#AAABDmtyt_Q
Hint    (2024-01-04 12:22:22)
Performance in comparison to own team's other jammers</t>
      </text>
    </comment>
    <comment authorId="0" ref="AK27">
      <text>
        <t xml:space="preserve">======
ID#AAABDmtyt_I
G Hanek    (2024-01-04 12:22:22)
Average number of VTAR points scored for (+ number) or against (- number) the team when this skater was playing.</t>
      </text>
    </comment>
    <comment authorId="0" ref="AF5">
      <text>
        <t xml:space="preserve">======
ID#AAABDmtyt-0
G Hanek    (2024-01-04 12:22:22)
Total number of VTAR points scored for (+ number) or against (- number) the team when this skater was playing.
May vary wildly due to power jams.</t>
      </text>
    </comment>
    <comment authorId="0" ref="AI5">
      <text>
        <t xml:space="preserve">======
ID#AAABDmtyt-E
Hint    (2024-01-04 12:22:22)
Performance in comparison to own team's other blockers.</t>
      </text>
    </comment>
    <comment authorId="0" ref="AD4">
      <text>
        <t xml:space="preserve">======
ID#AAABDmtyt9w
    (2024-01-04 12:22:22)
VTAR: "Versus Team Average Rating"
Skater's stats as compared to their team's average in that category.
Team's average is the average of each skater's average.</t>
      </text>
    </comment>
    <comment authorId="0" ref="AG27">
      <text>
        <t xml:space="preserve">======
ID#AAABDmtyt9o
Hint    (2024-01-04 12:22:22)
Performance in comparison to own team's other jammers</t>
      </text>
    </comment>
    <comment authorId="0" ref="AE27">
      <text>
        <t xml:space="preserve">======
ID#AAABDmtyt9g
G Hanek    (2024-01-04 12:22:22)
How the team did defensively (lower being better) while this skater was playing.</t>
      </text>
    </comment>
    <comment authorId="0" ref="AH27">
      <text>
        <t xml:space="preserve">======
ID#AAABDmtyt9Y
Hint    (2024-01-04 12:22:22)
Performance in comparison to own team's other pivots.</t>
      </text>
    </comment>
    <comment authorId="0" ref="AJ5">
      <text>
        <t xml:space="preserve">======
ID#AAABDmtyt9E
Hint    (2024-01-04 12:22:22)
Performance in comparison to own team's other blockers and pivots.</t>
      </text>
    </comment>
    <comment authorId="0" ref="AI27">
      <text>
        <t xml:space="preserve">======
ID#AAABDmtyt8c
Hint    (2024-01-04 12:22:22)
Performance in comparison to own team's other blockers.</t>
      </text>
    </comment>
    <comment authorId="0" ref="AF27">
      <text>
        <t xml:space="preserve">======
ID#AAABDmtyt8g
G Hanek    (2024-01-04 12:22:22)
Total number of VTAR points scored for (+ number) or against (- number) the team when this skater was playing.</t>
      </text>
    </comment>
    <comment authorId="0" ref="AD5">
      <text>
        <t xml:space="preserve">======
ID#AAABDmtyt8Y
G Hanek    (2024-01-04 12:22:22)
How the team did offensively (higher being better)while this skater was playing.</t>
      </text>
    </comment>
    <comment authorId="0" ref="AD27">
      <text>
        <t xml:space="preserve">======
ID#AAABDmtyt8I
G Hanek    (2024-01-04 12:22:22)
How the team did offensively (higher being better)while this skater was playing.</t>
      </text>
    </comment>
    <comment authorId="0" ref="AH5">
      <text>
        <t xml:space="preserve">======
ID#AAABDmtyt8A
Hint    (2024-01-04 12:22:22)
Performance in comparison to own team's other pivots.</t>
      </text>
    </comment>
    <comment authorId="0" ref="AK5">
      <text>
        <t xml:space="preserve">======
ID#AAABDmtyt74
G Hanek    (2024-01-04 12:22:22)
Average number of VTAR points scored for (+ number) or against (- number) the team when this skater was playing.</t>
      </text>
    </comment>
    <comment authorId="0" ref="AE5">
      <text>
        <t xml:space="preserve">======
ID#AAABDmtyt70
G Hanek    (2024-01-04 12:22:22)
How the team did defensively (lower being better) while this skater was playing.</t>
      </text>
    </comment>
    <comment authorId="0" ref="AJ27">
      <text>
        <t xml:space="preserve">======
ID#AAABDmtyt7w
Hint    (2024-01-04 12:22:22)
Performance in comparison to own team's other blockers and pivots.</t>
      </text>
    </comment>
  </commentList>
  <extLst>
    <ext uri="GoogleSheetsCustomDataVersion2">
      <go:sheetsCustomData xmlns:go="http://customooxmlschemas.google.com/" r:id="rId1" roundtripDataSignature="AMtx7miCxcXfHO0v8qdFDx4aGS1IGnKcu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ID#AAABDmtyt-s
Anon    (2024-01-04 12:22:22)
This total includes bench staff expulsions.</t>
      </text>
    </comment>
    <comment authorId="0" ref="X3">
      <text>
        <t xml:space="preserve">======
ID#AAABDmtyt-c
Hint    (2024-01-04 12:22:22)
Smaller is better</t>
      </text>
    </comment>
    <comment authorId="0" ref="V25">
      <text>
        <t xml:space="preserve">======
ID#AAABDmtyt-Q
Anon    (2024-01-04 12:22:22)
This total includes bench staff expulsions.</t>
      </text>
    </comment>
    <comment authorId="0" ref="V27">
      <text>
        <t xml:space="preserve">======
ID#AAABDmtyt8k
Anon    (2024-01-04 12:22:22)
This total includes bench staff expulsions.</t>
      </text>
    </comment>
    <comment authorId="0" ref="X32">
      <text>
        <t xml:space="preserve">======
ID#AAABDmtyt7c
Hint    (2024-01-04 12:22:22)
Smaller is better</t>
      </text>
    </comment>
  </commentList>
  <extLst>
    <ext uri="GoogleSheetsCustomDataVersion2">
      <go:sheetsCustomData xmlns:go="http://customooxmlschemas.google.com/" r:id="rId1" roundtripDataSignature="AMtx7mhXy5CB9dnaNq3cgWedC2NBDmwDD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ID#AAABDmtyt-4
G Hanek    (2024-01-04 12:22:22)
Enter a description of the reason for the offset change to the Official Score.</t>
      </text>
    </comment>
    <comment authorId="0" ref="J45">
      <text>
        <t xml:space="preserve">======
ID#AAABDmtyt-w
G Hanek    (2024-01-04 12:22:22)
Enter a description of the reason for the offset change to the Official Score.</t>
      </text>
    </comment>
    <comment authorId="0" ref="J3">
      <text>
        <t xml:space="preserve">======
ID#AAABDmtyt-k
G Hanek    (2024-01-04 12:22:22)
Enter a description of the reason for the offset change to the Official Score.</t>
      </text>
    </comment>
    <comment authorId="0" ref="I45">
      <text>
        <t xml:space="preserve">======
ID#AAABDmtyt98
G Hanek    (2024-01-04 12:22:22)
Enter an increment to the Official Score as a positive whole number (e.g., "2").
Subtractions should be entered as negative numbers (e.g., "-2"). Negative values will be displayed in parenthesis in red.</t>
      </text>
    </comment>
    <comment authorId="0" ref="B3">
      <text>
        <t xml:space="preserve">======
ID#AAABDmtyt90
G Hanek    (2024-01-04 12:22:22)
Enter an increment to the Official Score as a positive whole number (e.g., "2").
Subtractions should be entered as negative numbers (e.g., "-2"). Negative values will be displayed in parenthesis in red.</t>
      </text>
    </comment>
    <comment authorId="0" ref="I3">
      <text>
        <t xml:space="preserve">======
ID#AAABDmtyt9I
G Hanek    (2024-01-04 12:22:22)
Enter an increment to the Official Score as a positive whole number (e.g., "2").
Subtractions should be entered as negative numbers (e.g., "-2"). Negative values will be displayed in parenthesis in red.</t>
      </text>
    </comment>
    <comment authorId="0" ref="B45">
      <text>
        <t xml:space="preserve">======
ID#AAABDmtyt84
G Hanek    (2024-01-04 12:22:22)
Enter an increment to the Official Score as a positive whole number (e.g., "2").
Subtractions should be entered as negative numbers (e.g., "-2"). Negative values will be displayed in parenthesis in red.</t>
      </text>
    </comment>
    <comment authorId="0" ref="C3">
      <text>
        <t xml:space="preserve">======
ID#AAABDmtyt8E
G Hanek    (2024-01-04 12:22:22)
Enter a description of the reason for the offset change to the Official Score.</t>
      </text>
    </comment>
  </commentList>
  <extLst>
    <ext uri="GoogleSheetsCustomDataVersion2">
      <go:sheetsCustomData xmlns:go="http://customooxmlschemas.google.com/" r:id="rId1" roundtripDataSignature="AMtx7mjT1Gj7hzhXnbsIEihINhOLdNUFRQ=="/>
    </ext>
  </extLst>
</comments>
</file>

<file path=xl/sharedStrings.xml><?xml version="1.0" encoding="utf-8"?>
<sst xmlns="http://schemas.openxmlformats.org/spreadsheetml/2006/main" count="2581" uniqueCount="663">
  <si>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</si>
  <si>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</si>
  <si>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</si>
  <si>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</si>
  <si>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</si>
  <si>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</si>
  <si>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</si>
  <si>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</si>
  <si>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</si>
  <si>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</si>
  <si>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</si>
  <si>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</si>
  <si>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</si>
  <si>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</si>
  <si>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</si>
  <si>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</si>
  <si>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</si>
  <si>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</si>
  <si>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</si>
  <si>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</si>
  <si>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</si>
  <si>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</si>
  <si>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</si>
  <si>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</si>
  <si>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</si>
  <si>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Merthyr Tidfil Leisure Centre</t>
  </si>
  <si>
    <t>Merthyr Tidfil</t>
  </si>
  <si>
    <t>Wales</t>
  </si>
  <si>
    <t xml:space="preserve"> VENUE NAME</t>
  </si>
  <si>
    <t xml:space="preserve"> CITY</t>
  </si>
  <si>
    <t>ST/PRV</t>
  </si>
  <si>
    <t>GAME #</t>
  </si>
  <si>
    <t>Tournament/
Multi-Day Event:</t>
  </si>
  <si>
    <t>Celtic Cup</t>
  </si>
  <si>
    <t>Tiger Bay Brawlers</t>
  </si>
  <si>
    <t xml:space="preserve"> TOURNAMENT/MULTI-DAY EVENT NAME</t>
  </si>
  <si>
    <t xml:space="preserve"> HOST LEAGUE NAME</t>
  </si>
  <si>
    <t>Date:</t>
  </si>
  <si>
    <t>Start Time:</t>
  </si>
  <si>
    <t>10:25am</t>
  </si>
  <si>
    <t>Suspension:</t>
  </si>
  <si>
    <t>YES  |  NO</t>
  </si>
  <si>
    <t>TEAM ROSTERS - List in order of Skater number</t>
  </si>
  <si>
    <t>H O M E    T E A M</t>
  </si>
  <si>
    <t>V I S I T I N G    T E A M</t>
  </si>
  <si>
    <t>LEAGUE</t>
  </si>
  <si>
    <t>Dublin Roller Derby</t>
  </si>
  <si>
    <t>TEAM</t>
  </si>
  <si>
    <t>Challengers</t>
  </si>
  <si>
    <t>The Be Grands</t>
  </si>
  <si>
    <t>COLOR</t>
  </si>
  <si>
    <t>Orange</t>
  </si>
  <si>
    <t>Blue</t>
  </si>
  <si>
    <t># of players</t>
  </si>
  <si>
    <t xml:space="preserve"> Skater #</t>
  </si>
  <si>
    <t xml:space="preserve"> Skater Name</t>
  </si>
  <si>
    <t>04</t>
  </si>
  <si>
    <t>Nina</t>
  </si>
  <si>
    <t>040</t>
  </si>
  <si>
    <t>Ruff Rackelhahn</t>
  </si>
  <si>
    <t>16</t>
  </si>
  <si>
    <t>Saabor</t>
  </si>
  <si>
    <t>101</t>
  </si>
  <si>
    <t>Powell</t>
  </si>
  <si>
    <t>177</t>
  </si>
  <si>
    <t>Phoenix</t>
  </si>
  <si>
    <t>11</t>
  </si>
  <si>
    <t>Bambi Deerdevil</t>
  </si>
  <si>
    <t>215</t>
  </si>
  <si>
    <t>Pollock</t>
  </si>
  <si>
    <t>33</t>
  </si>
  <si>
    <t>Fox Mauler</t>
  </si>
  <si>
    <t>27</t>
  </si>
  <si>
    <t>MegaHurtz</t>
  </si>
  <si>
    <t>1337</t>
  </si>
  <si>
    <t>8Bit Betty</t>
  </si>
  <si>
    <t>271</t>
  </si>
  <si>
    <t>Peb Canary</t>
  </si>
  <si>
    <t>150</t>
  </si>
  <si>
    <t>Cooney</t>
  </si>
  <si>
    <t>220</t>
  </si>
  <si>
    <t>Cerosene</t>
  </si>
  <si>
    <t>Jemerald</t>
  </si>
  <si>
    <t>3556</t>
  </si>
  <si>
    <t>Crystal Beth</t>
  </si>
  <si>
    <t>3110</t>
  </si>
  <si>
    <t>Grand DAM</t>
  </si>
  <si>
    <t>360</t>
  </si>
  <si>
    <t>Baxter</t>
  </si>
  <si>
    <t>333</t>
  </si>
  <si>
    <t>Yonic Cyclonic</t>
  </si>
  <si>
    <t>40</t>
  </si>
  <si>
    <t>Kid</t>
  </si>
  <si>
    <t>4</t>
  </si>
  <si>
    <t>Stabba</t>
  </si>
  <si>
    <t>42</t>
  </si>
  <si>
    <t>Bosh</t>
  </si>
  <si>
    <t>Pretty Carless</t>
  </si>
  <si>
    <t>44</t>
  </si>
  <si>
    <t>Esparcieux</t>
  </si>
  <si>
    <t>48</t>
  </si>
  <si>
    <t>Tini from the Bloc</t>
  </si>
  <si>
    <t>45</t>
  </si>
  <si>
    <t>Hawk</t>
  </si>
  <si>
    <t>167</t>
  </si>
  <si>
    <t>Rile E Coyote</t>
  </si>
  <si>
    <t>Ward</t>
  </si>
  <si>
    <t>602</t>
  </si>
  <si>
    <t>Fearidum</t>
  </si>
  <si>
    <t>565</t>
  </si>
  <si>
    <t>Melyn</t>
  </si>
  <si>
    <t>777</t>
  </si>
  <si>
    <t>Des</t>
  </si>
  <si>
    <t>50</t>
  </si>
  <si>
    <t>Gray</t>
  </si>
  <si>
    <t>88</t>
  </si>
  <si>
    <t>diamond WEAPON</t>
  </si>
  <si>
    <t>808</t>
  </si>
  <si>
    <t>Morganator</t>
  </si>
  <si>
    <t>912</t>
  </si>
  <si>
    <t>Battered Sausage</t>
  </si>
  <si>
    <t>93</t>
  </si>
  <si>
    <t>Sangria</t>
  </si>
  <si>
    <t>999</t>
  </si>
  <si>
    <t>Angel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</si>
  <si>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</si>
  <si>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</si>
  <si>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</si>
  <si>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</si>
  <si>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</si>
  <si>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</si>
  <si>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</si>
  <si>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</si>
  <si>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</si>
  <si>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</si>
  <si>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</si>
  <si>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</si>
  <si>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</si>
  <si>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</si>
  <si>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</si>
  <si>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</si>
  <si>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</si>
  <si>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</si>
  <si>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</si>
  <si>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Laura Morgan</t>
  </si>
  <si>
    <t>Marie Kodetova</t>
  </si>
  <si>
    <t xml:space="preserve">Signature: </t>
  </si>
  <si>
    <t>Head Referee</t>
  </si>
  <si>
    <t>Head NSO</t>
  </si>
  <si>
    <t>Becks Ashton Macfarlane</t>
  </si>
  <si>
    <t>Lucy Kelly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</si>
  <si>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</si>
  <si>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</si>
  <si>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</si>
  <si>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</si>
  <si>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</si>
  <si>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</si>
  <si>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</si>
  <si>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</si>
  <si>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Lula</t>
  </si>
  <si>
    <t>Railtown L:oco Rollers</t>
  </si>
  <si>
    <t>Penalty Tracker</t>
  </si>
  <si>
    <t>Penalty Wrangler</t>
  </si>
  <si>
    <t>Gaston</t>
  </si>
  <si>
    <t>Bristol Roller Derby</t>
  </si>
  <si>
    <t>Inside Whiteboard Operator</t>
  </si>
  <si>
    <t>Jam Timer</t>
  </si>
  <si>
    <t>CassieCruel</t>
  </si>
  <si>
    <t>Scorekeeper</t>
  </si>
  <si>
    <t>Jugger Naught</t>
  </si>
  <si>
    <t>Anna Bomination</t>
  </si>
  <si>
    <t>ScoreBoard Operator</t>
  </si>
  <si>
    <t>Mr Trick</t>
  </si>
  <si>
    <t>Penalty Box Manager</t>
  </si>
  <si>
    <t>Ginger Witch</t>
  </si>
  <si>
    <t>Penalty Box Timer</t>
  </si>
  <si>
    <t>Jelly Tots</t>
  </si>
  <si>
    <t>Badger</t>
  </si>
  <si>
    <t>Lineup Tracker</t>
  </si>
  <si>
    <t>Siany</t>
  </si>
  <si>
    <t>Lily La Vida Loca</t>
  </si>
  <si>
    <t>Non-Skating Official Alternate</t>
  </si>
  <si>
    <t>Period Timer</t>
  </si>
  <si>
    <t>Macfarlane</t>
  </si>
  <si>
    <t>Inside Pack Referee</t>
  </si>
  <si>
    <t>Razor</t>
  </si>
  <si>
    <t>Independent</t>
  </si>
  <si>
    <t>Jammer Referee</t>
  </si>
  <si>
    <t>Julius Seesya</t>
  </si>
  <si>
    <t>Thembo Party Killer</t>
  </si>
  <si>
    <t>Outside Pack Referee</t>
  </si>
  <si>
    <t>Carysmatic</t>
  </si>
  <si>
    <t>Max Pain</t>
  </si>
  <si>
    <t>Wonder Zebra</t>
  </si>
  <si>
    <t>Referee Alternate</t>
  </si>
  <si>
    <t>Grand Reffed Auto</t>
  </si>
  <si>
    <t>Positions may be left blank, and role names can be changed or added based on actual staffing. Head officials' names must stay in their current place.</t>
  </si>
  <si>
    <t>Juggernaught</t>
  </si>
  <si>
    <t>Anna bomination</t>
  </si>
  <si>
    <t>razor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</si>
  <si>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</si>
  <si>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</si>
  <si>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</si>
  <si>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</si>
  <si>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</si>
  <si>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</si>
  <si>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</si>
  <si>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</si>
  <si>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</si>
  <si>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</si>
  <si>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</si>
  <si>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</si>
  <si>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</si>
  <si>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</si>
  <si>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</si>
  <si>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</si>
  <si>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</si>
  <si>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</si>
  <si>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</si>
  <si>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</si>
  <si>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</si>
  <si>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</si>
  <si>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</si>
  <si>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</si>
  <si>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</si>
  <si>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</si>
  <si>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anna bomination</t>
  </si>
  <si>
    <t>LILY LA VIDA LOVA</t>
  </si>
  <si>
    <t>#</t>
  </si>
  <si>
    <t xml:space="preserve"> PENALTY / JAM #</t>
  </si>
  <si>
    <t>FO/EXP</t>
  </si>
  <si>
    <t>TOTAL</t>
  </si>
  <si>
    <t>NOTES</t>
  </si>
  <si>
    <t>Codes</t>
  </si>
  <si>
    <t>L</t>
  </si>
  <si>
    <t>G</t>
  </si>
  <si>
    <t>(Gross)</t>
  </si>
  <si>
    <t>C</t>
  </si>
  <si>
    <t>B</t>
  </si>
  <si>
    <t>Misconduct</t>
  </si>
  <si>
    <t>Insubordination</t>
  </si>
  <si>
    <t>D</t>
  </si>
  <si>
    <t>M</t>
  </si>
  <si>
    <t>A</t>
  </si>
  <si>
    <t>High Block</t>
  </si>
  <si>
    <t>Back Block</t>
  </si>
  <si>
    <t>Low Block</t>
  </si>
  <si>
    <t>E</t>
  </si>
  <si>
    <t>Leg Block</t>
  </si>
  <si>
    <t>F</t>
  </si>
  <si>
    <t>Forearms</t>
  </si>
  <si>
    <t>H</t>
  </si>
  <si>
    <t>P</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</si>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</sst>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b/>
      <sz val="10.0"/>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86" fillId="0" fontId="16" numFmtId="0" xfId="0" applyAlignment="1" applyBorder="1" applyFont="1">
      <alignment shrinkToFit="0" wrapText="1"/>
    </xf>
    <xf borderId="0" fillId="0" fontId="5" numFmtId="0" xfId="0" applyAlignment="1" applyFont="1">
      <alignment shrinkToFit="0" wrapText="1"/>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0" fillId="0" fontId="16" numFmtId="0" xfId="0" applyAlignment="1" applyFont="1">
      <alignment shrinkToFit="0" wrapText="1"/>
    </xf>
    <xf borderId="59" fillId="4" fontId="13" numFmtId="0" xfId="0" applyAlignment="1" applyBorder="1" applyFont="1">
      <alignment vertical="center"/>
    </xf>
    <xf borderId="59" fillId="7" fontId="13" numFmtId="0" xfId="0" applyAlignment="1" applyBorder="1" applyFont="1">
      <alignment vertical="center"/>
    </xf>
    <xf borderId="60" fillId="7" fontId="3" numFmtId="0" xfId="0" applyAlignment="1" applyBorder="1" applyFont="1">
      <alignment vertical="center"/>
    </xf>
    <xf borderId="60" fillId="4" fontId="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16" numFmtId="0" xfId="0" applyAlignment="1" applyBorder="1" applyFont="1">
      <alignment shrinkToFit="0" wrapText="1"/>
    </xf>
    <xf borderId="12" fillId="0" fontId="16"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2"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3" numFmtId="0" xfId="0" applyAlignment="1" applyFont="1">
      <alignment horizontal="right" vertical="center"/>
    </xf>
    <xf borderId="0" fillId="0" fontId="17" numFmtId="0" xfId="0" applyAlignment="1" applyFont="1">
      <alignment horizontal="left"/>
    </xf>
    <xf borderId="0" fillId="0" fontId="44"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45220.0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34</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60</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95</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100</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117</v>
      </c>
      <c r="C30" s="98" t="s">
        <v>118</v>
      </c>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119</v>
      </c>
      <c r="C31" s="98" t="s">
        <v>120</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121</v>
      </c>
      <c r="C32" s="98" t="s">
        <v>122</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123</v>
      </c>
      <c r="C33" s="98" t="s">
        <v>124</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126</v>
      </c>
      <c r="B35" s="49"/>
      <c r="C35" s="49"/>
      <c r="D35" s="49"/>
      <c r="E35" s="49"/>
      <c r="F35" s="49"/>
      <c r="G35" s="50"/>
      <c r="H35" s="119" t="s">
        <v>127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128</v>
      </c>
      <c r="B36" s="121" t="s">
        <v>129</v>
      </c>
      <c r="C36" s="122">
        <f>IF(COUNT(Score!A4:A41)=0,"",Score!R42)</f>
        <v>58</v>
      </c>
      <c r="D36" s="123" t="s">
        <v>130</v>
      </c>
      <c r="E36" s="124"/>
      <c r="F36" s="125">
        <f>IF(COUNT(Score!A4:A41)=0,"",Penalties!L44)</f>
        <v>13</v>
      </c>
      <c r="G36" s="87"/>
      <c r="H36" s="120" t="s">
        <v>128</v>
      </c>
      <c r="I36" s="121" t="s">
        <v>129</v>
      </c>
      <c r="J36" s="122">
        <f>IF(COUNT(Score!T4:T41)=0,"",Score!AK42)</f>
        <v>188</v>
      </c>
      <c r="K36" s="123" t="s">
        <v>130</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131</v>
      </c>
      <c r="B37" s="121" t="s">
        <v>129</v>
      </c>
      <c r="C37" s="122">
        <f>IF(COUNT(Score!A46:A83)=0,"",Score!R84-C36)</f>
        <v>62</v>
      </c>
      <c r="D37" s="123" t="s">
        <v>130</v>
      </c>
      <c r="E37" s="124"/>
      <c r="F37" s="125">
        <f>IF(COUNT(Score!A46:A83)=0,"",Penalties!AN44)</f>
        <v>11</v>
      </c>
      <c r="G37" s="87"/>
      <c r="H37" s="120" t="s">
        <v>131</v>
      </c>
      <c r="I37" s="121" t="s">
        <v>129</v>
      </c>
      <c r="J37" s="122">
        <f>IF(COUNT(Score!T46:T83)=0,"",Score!AK84-J36)</f>
        <v>149</v>
      </c>
      <c r="K37" s="123" t="s">
        <v>130</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132</v>
      </c>
      <c r="B38" s="61"/>
      <c r="C38" s="127">
        <f>IF(COUNT(Score!A4:A41)=0,"",SUM(C36:C37))</f>
        <v>120</v>
      </c>
      <c r="D38" s="128" t="s">
        <v>133</v>
      </c>
      <c r="E38" s="129"/>
      <c r="F38" s="130">
        <f>IF(COUNT(Score!A4:A41)=0,"",SUM(F36:F37))</f>
        <v>24</v>
      </c>
      <c r="G38" s="64"/>
      <c r="H38" s="131" t="s">
        <v>132</v>
      </c>
      <c r="I38" s="61"/>
      <c r="J38" s="127">
        <f>IF(COUNT(Score!T4:T41)=0,"",SUM(J36:J37))</f>
        <v>337</v>
      </c>
      <c r="K38" s="128" t="s">
        <v>133</v>
      </c>
      <c r="L38" s="130">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134</v>
      </c>
      <c r="B39" s="133"/>
      <c r="C39" s="134"/>
      <c r="D39" s="135"/>
      <c r="E39" s="136"/>
      <c r="F39" s="137" t="s">
        <v>135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136</v>
      </c>
      <c r="B40" s="141"/>
      <c r="C40" s="142" t="s">
        <v>137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138</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138</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138</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140</v>
      </c>
      <c r="B48" s="49"/>
      <c r="C48" s="49"/>
      <c r="D48" s="49"/>
      <c r="E48" s="49"/>
      <c r="F48" s="50"/>
      <c r="G48" s="161"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142</v>
      </c>
      <c r="B49" s="85" t="s">
        <v>118</v>
      </c>
      <c r="C49" s="86"/>
      <c r="D49" s="86"/>
      <c r="E49" s="86"/>
      <c r="F49" s="87"/>
      <c r="G49" s="162" t="s">
        <v>142</v>
      </c>
      <c r="H49" s="55"/>
      <c r="I49" s="85" t="s">
        <v>67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143</v>
      </c>
      <c r="B50" s="85" t="s">
        <v>144</v>
      </c>
      <c r="C50" s="86"/>
      <c r="D50" s="86"/>
      <c r="E50" s="86"/>
      <c r="F50" s="87"/>
      <c r="G50" s="162" t="s">
        <v>143</v>
      </c>
      <c r="H50" s="55"/>
      <c r="I50" s="85" t="s">
        <v>145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146</v>
      </c>
      <c r="B51" s="164"/>
      <c r="C51" s="71"/>
      <c r="D51" s="71"/>
      <c r="E51" s="71"/>
      <c r="F51" s="73"/>
      <c r="G51" s="165" t="s">
        <v>146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147</v>
      </c>
      <c r="B52" s="168"/>
      <c r="C52" s="168"/>
      <c r="D52" s="168"/>
      <c r="E52" s="168"/>
      <c r="F52" s="169"/>
      <c r="G52" s="170" t="s">
        <v>148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142</v>
      </c>
      <c r="B53" s="85" t="str">
        <f>IF(ISBLANK(C80), "", C80)</f>
        <v>Macfarlane</v>
      </c>
      <c r="C53" s="86"/>
      <c r="D53" s="86"/>
      <c r="E53" s="86"/>
      <c r="F53" s="87"/>
      <c r="G53" s="162" t="s">
        <v>142</v>
      </c>
      <c r="H53" s="55"/>
      <c r="I53" s="85" t="str">
        <f>IF(ISBLANK(C60), "", C60)</f>
        <v>Lula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143</v>
      </c>
      <c r="B54" s="85" t="s">
        <v>149</v>
      </c>
      <c r="C54" s="86"/>
      <c r="D54" s="86"/>
      <c r="E54" s="86"/>
      <c r="F54" s="87"/>
      <c r="G54" s="162" t="s">
        <v>143</v>
      </c>
      <c r="H54" s="55"/>
      <c r="I54" s="85" t="s">
        <v>150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146</v>
      </c>
      <c r="B55" s="164"/>
      <c r="C55" s="71"/>
      <c r="D55" s="71"/>
      <c r="E55" s="71"/>
      <c r="F55" s="73"/>
      <c r="G55" s="165" t="s">
        <v>146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158</v>
      </c>
      <c r="B60" s="177"/>
      <c r="C60" s="178" t="s">
        <v>159</v>
      </c>
      <c r="D60" s="177"/>
      <c r="E60" s="177"/>
      <c r="F60" s="177"/>
      <c r="G60" s="177"/>
      <c r="H60" s="178" t="s">
        <v>160</v>
      </c>
      <c r="I60" s="177"/>
      <c r="J60" s="179"/>
      <c r="K60" s="178"/>
      <c r="L60" s="177"/>
      <c r="M60" s="177"/>
      <c r="N60" s="180"/>
      <c r="O60" s="181"/>
      <c r="P60" s="182"/>
      <c r="Q60" s="182"/>
      <c r="R60" s="182"/>
      <c r="S60" s="182"/>
      <c r="T60" s="182"/>
      <c r="U60" s="182"/>
      <c r="V60" s="182"/>
      <c r="W60" s="182"/>
      <c r="X60" s="182"/>
      <c r="Y60" s="182"/>
      <c r="Z60" s="182"/>
      <c r="AA60" s="182"/>
      <c r="AB60" s="182"/>
      <c r="AC60" s="182"/>
      <c r="AD60" s="182"/>
      <c r="AE60" s="182"/>
      <c r="AF60" s="182"/>
    </row>
    <row r="61" ht="16.5" customHeight="1">
      <c r="A61" s="183" t="s">
        <v>161</v>
      </c>
      <c r="B61" s="184"/>
      <c r="C61" s="185"/>
      <c r="D61" s="184"/>
      <c r="E61" s="184"/>
      <c r="F61" s="184"/>
      <c r="G61" s="184"/>
      <c r="H61" s="185"/>
      <c r="I61" s="184"/>
      <c r="J61" s="186"/>
      <c r="K61" s="185"/>
      <c r="L61" s="184"/>
      <c r="M61" s="184"/>
      <c r="N61" s="187"/>
      <c r="O61" s="181"/>
      <c r="P61" s="182"/>
      <c r="Q61" s="182"/>
      <c r="R61" s="182"/>
      <c r="S61" s="182"/>
      <c r="T61" s="182"/>
      <c r="U61" s="182"/>
      <c r="V61" s="182"/>
      <c r="W61" s="182"/>
      <c r="X61" s="182"/>
      <c r="Y61" s="182"/>
      <c r="Z61" s="182"/>
      <c r="AA61" s="182"/>
      <c r="AB61" s="182"/>
      <c r="AC61" s="182"/>
      <c r="AD61" s="182"/>
      <c r="AE61" s="182"/>
      <c r="AF61" s="182"/>
    </row>
    <row r="62" ht="16.5" customHeight="1">
      <c r="A62" s="176" t="s">
        <v>162</v>
      </c>
      <c r="B62" s="177"/>
      <c r="C62" s="178" t="s">
        <v>163</v>
      </c>
      <c r="D62" s="188"/>
      <c r="E62" s="188"/>
      <c r="F62" s="177"/>
      <c r="G62" s="177"/>
      <c r="H62" s="178" t="s">
        <v>164</v>
      </c>
      <c r="I62" s="177"/>
      <c r="J62" s="179"/>
      <c r="K62" s="178"/>
      <c r="L62" s="177"/>
      <c r="M62" s="177"/>
      <c r="N62" s="187"/>
      <c r="O62" s="181"/>
      <c r="P62" s="182"/>
      <c r="Q62" s="182"/>
      <c r="R62" s="182"/>
      <c r="S62" s="182"/>
      <c r="T62" s="182"/>
      <c r="U62" s="182"/>
      <c r="V62" s="182"/>
      <c r="W62" s="182"/>
      <c r="X62" s="182"/>
      <c r="Y62" s="182"/>
      <c r="Z62" s="182"/>
      <c r="AA62" s="182"/>
      <c r="AB62" s="182"/>
      <c r="AC62" s="182"/>
      <c r="AD62" s="182"/>
      <c r="AE62" s="182"/>
      <c r="AF62" s="182"/>
    </row>
    <row r="63" ht="16.5" customHeight="1">
      <c r="A63" s="183" t="s">
        <v>165</v>
      </c>
      <c r="B63" s="184"/>
      <c r="C63" s="185"/>
      <c r="D63" s="189"/>
      <c r="E63" s="189"/>
      <c r="F63" s="184"/>
      <c r="G63" s="184"/>
      <c r="H63" s="185"/>
      <c r="I63" s="184"/>
      <c r="J63" s="186"/>
      <c r="K63" s="185"/>
      <c r="L63" s="184"/>
      <c r="M63" s="184"/>
      <c r="N63" s="187"/>
      <c r="O63" s="181"/>
      <c r="P63" s="182"/>
      <c r="Q63" s="182"/>
      <c r="R63" s="182"/>
      <c r="S63" s="182"/>
      <c r="T63" s="182"/>
      <c r="U63" s="182"/>
      <c r="V63" s="182"/>
      <c r="W63" s="182"/>
      <c r="X63" s="182"/>
      <c r="Y63" s="182"/>
      <c r="Z63" s="182"/>
      <c r="AA63" s="182"/>
      <c r="AB63" s="182"/>
      <c r="AC63" s="182"/>
      <c r="AD63" s="182"/>
      <c r="AE63" s="182"/>
      <c r="AF63" s="182"/>
    </row>
    <row r="64" ht="16.5" customHeight="1">
      <c r="A64" s="176" t="s">
        <v>166</v>
      </c>
      <c r="B64" s="177"/>
      <c r="C64" s="178" t="s">
        <v>167</v>
      </c>
      <c r="D64" s="177"/>
      <c r="E64" s="177"/>
      <c r="F64" s="177"/>
      <c r="G64" s="177"/>
      <c r="H64" s="178"/>
      <c r="I64" s="177"/>
      <c r="J64" s="179"/>
      <c r="K64" s="178"/>
      <c r="L64" s="177"/>
      <c r="M64" s="177"/>
      <c r="N64" s="187"/>
      <c r="O64" s="181"/>
      <c r="P64" s="182"/>
      <c r="Q64" s="182"/>
      <c r="R64" s="182"/>
      <c r="S64" s="182"/>
      <c r="T64" s="182"/>
      <c r="U64" s="182"/>
      <c r="V64" s="182"/>
      <c r="W64" s="182"/>
      <c r="X64" s="182"/>
      <c r="Y64" s="182"/>
      <c r="Z64" s="182"/>
      <c r="AA64" s="182"/>
      <c r="AB64" s="182"/>
      <c r="AC64" s="182"/>
      <c r="AD64" s="182"/>
      <c r="AE64" s="182"/>
      <c r="AF64" s="182"/>
    </row>
    <row r="65" ht="16.5" customHeight="1">
      <c r="A65" s="183" t="s">
        <v>168</v>
      </c>
      <c r="B65" s="184"/>
      <c r="C65" s="185" t="s">
        <v>169</v>
      </c>
      <c r="D65" s="184"/>
      <c r="E65" s="184"/>
      <c r="F65" s="184"/>
      <c r="G65" s="184"/>
      <c r="H65" s="185" t="s">
        <v>46</v>
      </c>
      <c r="I65" s="184"/>
      <c r="J65" s="186"/>
      <c r="K65" s="185"/>
      <c r="L65" s="184"/>
      <c r="M65" s="184"/>
      <c r="N65" s="187"/>
      <c r="O65" s="181"/>
      <c r="P65" s="182"/>
      <c r="Q65" s="182"/>
      <c r="R65" s="182"/>
      <c r="S65" s="182"/>
      <c r="T65" s="182"/>
      <c r="U65" s="182"/>
      <c r="V65" s="182"/>
      <c r="W65" s="182"/>
      <c r="X65" s="182"/>
      <c r="Y65" s="182"/>
      <c r="Z65" s="182"/>
      <c r="AA65" s="182"/>
      <c r="AB65" s="182"/>
      <c r="AC65" s="182"/>
      <c r="AD65" s="182"/>
      <c r="AE65" s="182"/>
      <c r="AF65" s="182"/>
    </row>
    <row r="66" ht="16.5" customHeight="1">
      <c r="A66" s="176" t="s">
        <v>168</v>
      </c>
      <c r="B66" s="177"/>
      <c r="C66" s="178" t="s">
        <v>170</v>
      </c>
      <c r="D66" s="188"/>
      <c r="E66" s="188"/>
      <c r="F66" s="177"/>
      <c r="G66" s="177"/>
      <c r="H66" s="178" t="s">
        <v>46</v>
      </c>
      <c r="I66" s="177"/>
      <c r="J66" s="179"/>
      <c r="K66" s="178"/>
      <c r="L66" s="177"/>
      <c r="M66" s="177"/>
      <c r="N66" s="187"/>
      <c r="O66" s="181"/>
      <c r="P66" s="182"/>
      <c r="Q66" s="182"/>
      <c r="R66" s="182"/>
      <c r="S66" s="182"/>
      <c r="T66" s="182"/>
      <c r="U66" s="182"/>
      <c r="V66" s="182"/>
      <c r="W66" s="182"/>
      <c r="X66" s="182"/>
      <c r="Y66" s="182"/>
      <c r="Z66" s="182"/>
      <c r="AA66" s="182"/>
      <c r="AB66" s="182"/>
      <c r="AC66" s="182"/>
      <c r="AD66" s="182"/>
      <c r="AE66" s="182"/>
      <c r="AF66" s="182"/>
    </row>
    <row r="67" ht="16.5" customHeight="1">
      <c r="A67" s="183" t="s">
        <v>171</v>
      </c>
      <c r="B67" s="184"/>
      <c r="C67" s="185" t="s">
        <v>172</v>
      </c>
      <c r="D67" s="184"/>
      <c r="E67" s="184"/>
      <c r="F67" s="184"/>
      <c r="G67" s="184"/>
      <c r="H67" s="185" t="s">
        <v>164</v>
      </c>
      <c r="I67" s="184"/>
      <c r="J67" s="186"/>
      <c r="K67" s="185"/>
      <c r="L67" s="184"/>
      <c r="M67" s="184"/>
      <c r="N67" s="187"/>
      <c r="O67" s="181"/>
      <c r="P67" s="182"/>
      <c r="Q67" s="182"/>
      <c r="R67" s="182"/>
      <c r="S67" s="182"/>
      <c r="T67" s="182"/>
      <c r="U67" s="182"/>
      <c r="V67" s="182"/>
      <c r="W67" s="182"/>
      <c r="X67" s="182"/>
      <c r="Y67" s="182"/>
      <c r="Z67" s="182"/>
      <c r="AA67" s="182"/>
      <c r="AB67" s="182"/>
      <c r="AC67" s="182"/>
      <c r="AD67" s="182"/>
      <c r="AE67" s="182"/>
      <c r="AF67" s="182"/>
    </row>
    <row r="68" ht="16.5" customHeight="1">
      <c r="A68" s="176" t="s">
        <v>173</v>
      </c>
      <c r="B68" s="177"/>
      <c r="C68" s="178" t="s">
        <v>174</v>
      </c>
      <c r="D68" s="188"/>
      <c r="E68" s="188"/>
      <c r="F68" s="177"/>
      <c r="G68" s="177"/>
      <c r="H68" s="178"/>
      <c r="I68" s="177"/>
      <c r="J68" s="179"/>
      <c r="K68" s="178"/>
      <c r="L68" s="177"/>
      <c r="M68" s="177"/>
      <c r="N68" s="187"/>
      <c r="O68" s="181"/>
      <c r="P68" s="182"/>
      <c r="Q68" s="182"/>
      <c r="R68" s="182"/>
      <c r="S68" s="182"/>
      <c r="T68" s="182"/>
      <c r="U68" s="182"/>
      <c r="V68" s="182"/>
      <c r="W68" s="182"/>
      <c r="X68" s="182"/>
      <c r="Y68" s="182"/>
      <c r="Z68" s="182"/>
      <c r="AA68" s="182"/>
      <c r="AB68" s="182"/>
      <c r="AC68" s="182"/>
      <c r="AD68" s="182"/>
      <c r="AE68" s="182"/>
      <c r="AF68" s="182"/>
    </row>
    <row r="69" ht="16.5" customHeight="1">
      <c r="A69" s="183" t="s">
        <v>175</v>
      </c>
      <c r="B69" s="184"/>
      <c r="C69" s="185" t="s">
        <v>176</v>
      </c>
      <c r="D69" s="184"/>
      <c r="E69" s="184"/>
      <c r="F69" s="184"/>
      <c r="G69" s="184"/>
      <c r="H69" s="185"/>
      <c r="I69" s="184"/>
      <c r="J69" s="186"/>
      <c r="K69" s="185"/>
      <c r="L69" s="184"/>
      <c r="M69" s="184"/>
      <c r="N69" s="187"/>
      <c r="O69" s="181"/>
      <c r="P69" s="182"/>
      <c r="Q69" s="182"/>
      <c r="R69" s="182"/>
      <c r="S69" s="182"/>
      <c r="T69" s="182"/>
      <c r="U69" s="182"/>
      <c r="V69" s="182"/>
      <c r="W69" s="182"/>
      <c r="X69" s="182"/>
      <c r="Y69" s="182"/>
      <c r="Z69" s="182"/>
      <c r="AA69" s="182"/>
      <c r="AB69" s="182"/>
      <c r="AC69" s="182"/>
      <c r="AD69" s="182"/>
      <c r="AE69" s="182"/>
      <c r="AF69" s="182"/>
    </row>
    <row r="70" ht="16.5" customHeight="1">
      <c r="A70" s="176" t="s">
        <v>175</v>
      </c>
      <c r="B70" s="177"/>
      <c r="C70" s="178" t="s">
        <v>177</v>
      </c>
      <c r="D70" s="177"/>
      <c r="E70" s="177"/>
      <c r="F70" s="177"/>
      <c r="G70" s="177"/>
      <c r="H70" s="178"/>
      <c r="I70" s="177"/>
      <c r="J70" s="179"/>
      <c r="K70" s="178"/>
      <c r="L70" s="177"/>
      <c r="M70" s="177"/>
      <c r="N70" s="187"/>
      <c r="O70" s="181"/>
      <c r="P70" s="182"/>
      <c r="Q70" s="182"/>
      <c r="R70" s="182"/>
      <c r="S70" s="182"/>
      <c r="T70" s="182"/>
      <c r="U70" s="182"/>
      <c r="V70" s="182"/>
      <c r="W70" s="182"/>
      <c r="X70" s="182"/>
      <c r="Y70" s="182"/>
      <c r="Z70" s="182"/>
      <c r="AA70" s="182"/>
      <c r="AB70" s="182"/>
      <c r="AC70" s="182"/>
      <c r="AD70" s="182"/>
      <c r="AE70" s="182"/>
      <c r="AF70" s="182"/>
    </row>
    <row r="71" ht="16.5" customHeight="1">
      <c r="A71" s="183" t="s">
        <v>178</v>
      </c>
      <c r="B71" s="184"/>
      <c r="C71" s="185" t="s">
        <v>179</v>
      </c>
      <c r="D71" s="189"/>
      <c r="E71" s="189"/>
      <c r="F71" s="184"/>
      <c r="G71" s="184"/>
      <c r="H71" s="185"/>
      <c r="I71" s="184"/>
      <c r="J71" s="186"/>
      <c r="K71" s="185"/>
      <c r="L71" s="184"/>
      <c r="M71" s="190"/>
      <c r="N71" s="182"/>
      <c r="O71" s="182"/>
      <c r="P71" s="182"/>
      <c r="Q71" s="182"/>
      <c r="R71" s="182"/>
      <c r="S71" s="182"/>
      <c r="T71" s="182"/>
      <c r="U71" s="182"/>
      <c r="V71" s="182"/>
      <c r="W71" s="182"/>
      <c r="X71" s="182"/>
      <c r="Y71" s="182"/>
      <c r="Z71" s="182"/>
      <c r="AA71" s="182"/>
      <c r="AB71" s="182"/>
      <c r="AC71" s="182"/>
      <c r="AD71" s="182"/>
      <c r="AE71" s="182"/>
      <c r="AF71" s="182"/>
    </row>
    <row r="72" ht="16.5" customHeight="1">
      <c r="A72" s="176" t="s">
        <v>178</v>
      </c>
      <c r="B72" s="177"/>
      <c r="C72" s="178" t="s">
        <v>180</v>
      </c>
      <c r="D72" s="188"/>
      <c r="E72" s="188"/>
      <c r="F72" s="177"/>
      <c r="G72" s="177"/>
      <c r="H72" s="178"/>
      <c r="I72" s="177"/>
      <c r="J72" s="179"/>
      <c r="K72" s="178"/>
      <c r="L72" s="177"/>
      <c r="M72" s="19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181</v>
      </c>
      <c r="B73" s="184"/>
      <c r="C73" s="185"/>
      <c r="D73" s="189"/>
      <c r="E73" s="189"/>
      <c r="F73" s="184"/>
      <c r="G73" s="184"/>
      <c r="H73" s="185"/>
      <c r="I73" s="184"/>
      <c r="J73" s="186"/>
      <c r="K73" s="185"/>
      <c r="L73" s="184"/>
      <c r="M73" s="190"/>
      <c r="N73" s="182"/>
      <c r="O73" s="182"/>
      <c r="P73" s="182"/>
      <c r="Q73" s="182"/>
      <c r="R73" s="182"/>
      <c r="S73" s="182"/>
      <c r="T73" s="182"/>
      <c r="U73" s="182"/>
      <c r="V73" s="182"/>
      <c r="W73" s="182"/>
      <c r="X73" s="182"/>
      <c r="Y73" s="182"/>
      <c r="Z73" s="182"/>
      <c r="AA73" s="182"/>
      <c r="AB73" s="182"/>
      <c r="AC73" s="182"/>
      <c r="AD73" s="182"/>
      <c r="AE73" s="182"/>
      <c r="AF73" s="182"/>
    </row>
    <row r="74" ht="16.5" customHeight="1">
      <c r="A74" s="176" t="s">
        <v>182</v>
      </c>
      <c r="B74" s="177"/>
      <c r="C74" s="178"/>
      <c r="D74" s="188"/>
      <c r="E74" s="188"/>
      <c r="F74" s="177"/>
      <c r="G74" s="177"/>
      <c r="H74" s="178"/>
      <c r="I74" s="177"/>
      <c r="J74" s="179"/>
      <c r="K74" s="178"/>
      <c r="L74" s="177"/>
      <c r="M74" s="19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90"/>
      <c r="N75" s="182"/>
      <c r="O75" s="182"/>
      <c r="P75" s="182"/>
      <c r="Q75" s="182"/>
      <c r="R75" s="182"/>
      <c r="S75" s="182"/>
      <c r="T75" s="182"/>
      <c r="U75" s="182"/>
      <c r="V75" s="182"/>
      <c r="W75" s="182"/>
      <c r="X75" s="182"/>
      <c r="Y75" s="182"/>
      <c r="Z75" s="182"/>
      <c r="AA75" s="182"/>
      <c r="AB75" s="182"/>
      <c r="AC75" s="182"/>
      <c r="AD75" s="182"/>
      <c r="AE75" s="182"/>
      <c r="AF75" s="182"/>
    </row>
    <row r="76" ht="16.5" customHeight="1">
      <c r="A76" s="176"/>
      <c r="B76" s="177"/>
      <c r="C76" s="178"/>
      <c r="D76" s="177"/>
      <c r="E76" s="177"/>
      <c r="F76" s="177"/>
      <c r="G76" s="177"/>
      <c r="H76" s="178"/>
      <c r="I76" s="177"/>
      <c r="J76" s="179"/>
      <c r="K76" s="178"/>
      <c r="L76" s="177"/>
      <c r="M76" s="19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90"/>
      <c r="N77" s="182"/>
      <c r="O77" s="182"/>
      <c r="P77" s="182"/>
      <c r="Q77" s="182"/>
      <c r="R77" s="182"/>
      <c r="S77" s="182"/>
      <c r="T77" s="182"/>
      <c r="U77" s="182"/>
      <c r="V77" s="182"/>
      <c r="W77" s="182"/>
      <c r="X77" s="182"/>
      <c r="Y77" s="182"/>
      <c r="Z77" s="182"/>
      <c r="AA77" s="182"/>
      <c r="AB77" s="182"/>
      <c r="AC77" s="182"/>
      <c r="AD77" s="182"/>
      <c r="AE77" s="182"/>
      <c r="AF77" s="182"/>
    </row>
    <row r="78" ht="16.5" customHeight="1">
      <c r="A78" s="176"/>
      <c r="B78" s="177"/>
      <c r="C78" s="178"/>
      <c r="D78" s="177"/>
      <c r="E78" s="177"/>
      <c r="F78" s="177"/>
      <c r="G78" s="177"/>
      <c r="H78" s="178"/>
      <c r="I78" s="177"/>
      <c r="J78" s="179"/>
      <c r="K78" s="178"/>
      <c r="L78" s="177"/>
      <c r="M78" s="19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90"/>
      <c r="N79" s="182"/>
      <c r="O79" s="182"/>
      <c r="P79" s="182"/>
      <c r="Q79" s="182"/>
      <c r="R79" s="182"/>
      <c r="S79" s="182"/>
      <c r="T79" s="182"/>
      <c r="U79" s="182"/>
      <c r="V79" s="182"/>
      <c r="W79" s="182"/>
      <c r="X79" s="182"/>
      <c r="Y79" s="182"/>
      <c r="Z79" s="182"/>
      <c r="AA79" s="182"/>
      <c r="AB79" s="182"/>
      <c r="AC79" s="182"/>
      <c r="AD79" s="182"/>
      <c r="AE79" s="182"/>
      <c r="AF79" s="182"/>
    </row>
    <row r="80" ht="16.5" customHeight="1">
      <c r="A80" s="176" t="s">
        <v>147</v>
      </c>
      <c r="B80" s="177"/>
      <c r="C80" s="178" t="s">
        <v>183</v>
      </c>
      <c r="D80" s="177"/>
      <c r="E80" s="177"/>
      <c r="F80" s="177"/>
      <c r="G80" s="177"/>
      <c r="H80" s="178"/>
      <c r="I80" s="177"/>
      <c r="J80" s="179"/>
      <c r="K80" s="178"/>
      <c r="L80" s="177"/>
      <c r="M80" s="19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184</v>
      </c>
      <c r="B81" s="184"/>
      <c r="C81" s="185" t="s">
        <v>185</v>
      </c>
      <c r="D81" s="189"/>
      <c r="E81" s="189"/>
      <c r="F81" s="184"/>
      <c r="G81" s="184"/>
      <c r="H81" s="185" t="s">
        <v>186</v>
      </c>
      <c r="I81" s="184"/>
      <c r="J81" s="186"/>
      <c r="K81" s="185"/>
      <c r="L81" s="184"/>
      <c r="M81" s="190"/>
      <c r="N81" s="182"/>
      <c r="O81" s="182"/>
      <c r="P81" s="182"/>
      <c r="Q81" s="182"/>
      <c r="R81" s="182"/>
      <c r="S81" s="182"/>
      <c r="T81" s="182"/>
      <c r="U81" s="182"/>
      <c r="V81" s="182"/>
      <c r="W81" s="182"/>
      <c r="X81" s="182"/>
      <c r="Y81" s="182"/>
      <c r="Z81" s="182"/>
      <c r="AA81" s="182"/>
      <c r="AB81" s="182"/>
      <c r="AC81" s="182"/>
      <c r="AD81" s="182"/>
      <c r="AE81" s="182"/>
      <c r="AF81" s="182"/>
    </row>
    <row r="82" ht="16.5" customHeight="1">
      <c r="A82" s="176" t="s">
        <v>187</v>
      </c>
      <c r="B82" s="177"/>
      <c r="C82" s="178" t="s">
        <v>188</v>
      </c>
      <c r="D82" s="177"/>
      <c r="E82" s="177"/>
      <c r="F82" s="177"/>
      <c r="G82" s="177"/>
      <c r="H82" s="178" t="s">
        <v>186</v>
      </c>
      <c r="I82" s="177"/>
      <c r="J82" s="179"/>
      <c r="K82" s="178"/>
      <c r="L82" s="177"/>
      <c r="M82" s="19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187</v>
      </c>
      <c r="B83" s="184"/>
      <c r="C83" s="185" t="s">
        <v>189</v>
      </c>
      <c r="D83" s="184"/>
      <c r="E83" s="184"/>
      <c r="F83" s="184"/>
      <c r="G83" s="184"/>
      <c r="H83" s="185"/>
      <c r="I83" s="184"/>
      <c r="J83" s="186"/>
      <c r="K83" s="185"/>
      <c r="L83" s="184"/>
      <c r="M83" s="190"/>
      <c r="N83" s="182"/>
      <c r="O83" s="182"/>
      <c r="P83" s="182"/>
      <c r="Q83" s="182"/>
      <c r="R83" s="182"/>
      <c r="S83" s="182"/>
      <c r="T83" s="182"/>
      <c r="U83" s="182"/>
      <c r="V83" s="182"/>
      <c r="W83" s="182"/>
      <c r="X83" s="182"/>
      <c r="Y83" s="182"/>
      <c r="Z83" s="182"/>
      <c r="AA83" s="182"/>
      <c r="AB83" s="182"/>
      <c r="AC83" s="182"/>
      <c r="AD83" s="182"/>
      <c r="AE83" s="182"/>
      <c r="AF83" s="182"/>
    </row>
    <row r="84" ht="16.5" customHeight="1">
      <c r="A84" s="176" t="s">
        <v>190</v>
      </c>
      <c r="B84" s="177"/>
      <c r="C84" s="178" t="s">
        <v>191</v>
      </c>
      <c r="D84" s="188"/>
      <c r="E84" s="188"/>
      <c r="F84" s="177"/>
      <c r="G84" s="177"/>
      <c r="H84" s="178"/>
      <c r="I84" s="177"/>
      <c r="J84" s="179"/>
      <c r="K84" s="178"/>
      <c r="L84" s="177"/>
      <c r="M84" s="19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190</v>
      </c>
      <c r="B85" s="184"/>
      <c r="C85" s="185" t="s">
        <v>192</v>
      </c>
      <c r="D85" s="189"/>
      <c r="E85" s="189"/>
      <c r="F85" s="184"/>
      <c r="G85" s="184"/>
      <c r="H85" s="185"/>
      <c r="I85" s="184"/>
      <c r="J85" s="186"/>
      <c r="K85" s="185"/>
      <c r="L85" s="184"/>
      <c r="M85" s="190"/>
      <c r="N85" s="182"/>
      <c r="O85" s="182"/>
      <c r="P85" s="182"/>
      <c r="Q85" s="182"/>
      <c r="R85" s="182"/>
      <c r="S85" s="182"/>
      <c r="T85" s="182"/>
      <c r="U85" s="182"/>
      <c r="V85" s="182"/>
      <c r="W85" s="182"/>
      <c r="X85" s="182"/>
      <c r="Y85" s="182"/>
      <c r="Z85" s="182"/>
      <c r="AA85" s="182"/>
      <c r="AB85" s="182"/>
      <c r="AC85" s="182"/>
      <c r="AD85" s="182"/>
      <c r="AE85" s="182"/>
      <c r="AF85" s="182"/>
    </row>
    <row r="86" ht="16.5" customHeight="1">
      <c r="A86" s="176" t="s">
        <v>190</v>
      </c>
      <c r="B86" s="177"/>
      <c r="C86" s="178" t="s">
        <v>193</v>
      </c>
      <c r="D86" s="188"/>
      <c r="E86" s="188"/>
      <c r="F86" s="177"/>
      <c r="G86" s="177"/>
      <c r="H86" s="178"/>
      <c r="I86" s="177"/>
      <c r="J86" s="179"/>
      <c r="K86" s="178"/>
      <c r="L86" s="177"/>
      <c r="M86" s="191"/>
      <c r="N86" s="182"/>
      <c r="O86" s="182"/>
      <c r="P86" s="182"/>
      <c r="Q86" s="182"/>
      <c r="R86" s="182"/>
      <c r="S86" s="182"/>
      <c r="T86" s="182"/>
      <c r="U86" s="182"/>
      <c r="V86" s="182"/>
      <c r="W86" s="182"/>
      <c r="X86" s="182"/>
      <c r="Y86" s="182"/>
      <c r="Z86" s="182"/>
      <c r="AA86" s="182"/>
      <c r="AB86" s="182"/>
      <c r="AC86" s="182"/>
      <c r="AD86" s="182"/>
      <c r="AE86" s="182"/>
      <c r="AF86" s="182"/>
    </row>
    <row r="87" ht="16.5" customHeight="1">
      <c r="A87" s="192" t="s">
        <v>194</v>
      </c>
      <c r="B87" s="193"/>
      <c r="C87" s="185" t="s">
        <v>195</v>
      </c>
      <c r="D87" s="194"/>
      <c r="E87" s="195"/>
      <c r="F87" s="193"/>
      <c r="G87" s="193"/>
      <c r="H87" s="185"/>
      <c r="I87" s="196"/>
      <c r="J87" s="197"/>
      <c r="K87" s="198"/>
      <c r="L87" s="193"/>
      <c r="M87" s="199"/>
      <c r="N87" s="182"/>
      <c r="O87" s="182"/>
      <c r="P87" s="182"/>
      <c r="Q87" s="182"/>
      <c r="R87" s="182"/>
      <c r="S87" s="182"/>
      <c r="T87" s="182"/>
      <c r="U87" s="182"/>
      <c r="V87" s="182"/>
      <c r="W87" s="182"/>
      <c r="X87" s="182"/>
      <c r="Y87" s="182"/>
      <c r="Z87" s="182"/>
      <c r="AA87" s="182"/>
      <c r="AB87" s="182"/>
      <c r="AC87" s="182"/>
      <c r="AD87" s="182"/>
      <c r="AE87" s="182"/>
      <c r="AF87" s="182"/>
    </row>
    <row r="88" ht="12.75" customHeight="1">
      <c r="A88" s="200" t="s">
        <v>196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Tiger Bay Brawlers / Challengers</v>
      </c>
      <c r="B1" s="204"/>
      <c r="C1" s="204"/>
      <c r="D1" s="204"/>
      <c r="E1" s="204"/>
      <c r="F1" s="204"/>
      <c r="G1" s="204"/>
      <c r="H1" s="205"/>
      <c r="I1" s="206" t="str">
        <f>IF(ISBLANK(IGRF!$B$12), "", IGRF!$B$12)</f>
        <v>Orange</v>
      </c>
      <c r="J1" s="151"/>
      <c r="K1" s="207">
        <f>IF(ISBLANK(IGRF!$B$7), "", IGRF!$B$7)</f>
        <v>45220</v>
      </c>
      <c r="L1" s="208" t="s">
        <v>197</v>
      </c>
      <c r="M1" s="151"/>
      <c r="N1" s="151"/>
      <c r="O1" s="209" t="s">
        <v>188</v>
      </c>
      <c r="P1" s="168"/>
      <c r="Q1" s="210"/>
      <c r="R1" s="211">
        <v>1.0</v>
      </c>
      <c r="S1" s="212"/>
      <c r="T1" s="203" t="str">
        <f>IF(IGRF!$I$11="","Away Team",IF(IGRF!$B$10=IGRF!$I$10,IGRF!$I$11,IF(IGRF!$I$10=IGRF!$I$11,IGRF!$I$11,IF(OR(IGRF!$L$3="A",IGRF!$L$3="B"),IGRF!$I$10&amp;" "&amp;IGRF!$L$3,IGRF!$I$10&amp;" / "&amp;IGRF!$I$11))))</f>
        <v>Dublin Roller Derby / The Be Grands</v>
      </c>
      <c r="U1" s="204"/>
      <c r="V1" s="204"/>
      <c r="W1" s="204"/>
      <c r="X1" s="204"/>
      <c r="Y1" s="204"/>
      <c r="Z1" s="204"/>
      <c r="AA1" s="205"/>
      <c r="AB1" s="206" t="str">
        <f>IF(ISBLANK(IGRF!$I$12), "", IGRF!$I$12)</f>
        <v>Blue</v>
      </c>
      <c r="AC1" s="151"/>
      <c r="AD1" s="207">
        <f>IF(ISBLANK(IGRF!$B$7), "", IGRF!$B$7)</f>
        <v>45220</v>
      </c>
      <c r="AE1" s="208" t="s">
        <v>198</v>
      </c>
      <c r="AF1" s="151"/>
      <c r="AG1" s="151"/>
      <c r="AH1" s="209" t="s">
        <v>199</v>
      </c>
      <c r="AI1" s="168"/>
      <c r="AJ1" s="210"/>
      <c r="AK1" s="211">
        <v>1.0</v>
      </c>
      <c r="AL1" s="212"/>
    </row>
    <row r="2" ht="15.0" customHeight="1">
      <c r="A2" s="213"/>
      <c r="B2" s="20"/>
      <c r="C2" s="20"/>
      <c r="D2" s="20"/>
      <c r="E2" s="20"/>
      <c r="F2" s="20"/>
      <c r="G2" s="20"/>
      <c r="H2" s="156"/>
      <c r="I2" s="214" t="s">
        <v>200</v>
      </c>
      <c r="J2" s="71"/>
      <c r="K2" s="215" t="s">
        <v>201</v>
      </c>
      <c r="L2" s="214" t="s">
        <v>168</v>
      </c>
      <c r="M2" s="71"/>
      <c r="N2" s="71"/>
      <c r="O2" s="216" t="s">
        <v>202</v>
      </c>
      <c r="P2" s="71"/>
      <c r="Q2" s="72"/>
      <c r="R2" s="217" t="str">
        <f>IF(ISBLANK(IGRF!$L$3), "", "GAME " &amp; IGRF!$L$3)</f>
        <v>GAME 1</v>
      </c>
      <c r="S2" s="212"/>
      <c r="T2" s="213"/>
      <c r="U2" s="20"/>
      <c r="V2" s="20"/>
      <c r="W2" s="20"/>
      <c r="X2" s="20"/>
      <c r="Y2" s="20"/>
      <c r="Z2" s="20"/>
      <c r="AA2" s="156"/>
      <c r="AB2" s="214" t="s">
        <v>200</v>
      </c>
      <c r="AC2" s="71"/>
      <c r="AD2" s="215" t="s">
        <v>201</v>
      </c>
      <c r="AE2" s="214" t="s">
        <v>168</v>
      </c>
      <c r="AF2" s="71"/>
      <c r="AG2" s="71"/>
      <c r="AH2" s="216" t="s">
        <v>202</v>
      </c>
      <c r="AI2" s="71"/>
      <c r="AJ2" s="72"/>
      <c r="AK2" s="217" t="str">
        <f>IF(ISBLANK(IGRF!$L$3), "", "GAME " &amp; IGRF!$L$3)</f>
        <v>GAME 1</v>
      </c>
      <c r="AL2" s="212"/>
    </row>
    <row r="3" ht="35.25" customHeight="1">
      <c r="A3" s="218" t="s">
        <v>203</v>
      </c>
      <c r="B3" s="219" t="s">
        <v>204</v>
      </c>
      <c r="C3" s="220" t="s">
        <v>205</v>
      </c>
      <c r="D3" s="221" t="s">
        <v>206</v>
      </c>
      <c r="E3" s="221" t="s">
        <v>207</v>
      </c>
      <c r="F3" s="221" t="s">
        <v>208</v>
      </c>
      <c r="G3" s="222" t="s">
        <v>209</v>
      </c>
      <c r="H3" s="218" t="s">
        <v>210</v>
      </c>
      <c r="I3" s="223" t="s">
        <v>211</v>
      </c>
      <c r="J3" s="223" t="s">
        <v>212</v>
      </c>
      <c r="K3" s="223" t="s">
        <v>213</v>
      </c>
      <c r="L3" s="223" t="s">
        <v>214</v>
      </c>
      <c r="M3" s="223" t="s">
        <v>215</v>
      </c>
      <c r="N3" s="223" t="s">
        <v>216</v>
      </c>
      <c r="O3" s="223" t="s">
        <v>217</v>
      </c>
      <c r="P3" s="223" t="s">
        <v>218</v>
      </c>
      <c r="Q3" s="224" t="s">
        <v>219</v>
      </c>
      <c r="R3" s="225" t="s">
        <v>220</v>
      </c>
      <c r="S3" s="226" t="s">
        <v>221</v>
      </c>
      <c r="T3" s="218" t="s">
        <v>203</v>
      </c>
      <c r="U3" s="219" t="s">
        <v>204</v>
      </c>
      <c r="V3" s="220" t="s">
        <v>205</v>
      </c>
      <c r="W3" s="221" t="s">
        <v>206</v>
      </c>
      <c r="X3" s="221" t="s">
        <v>207</v>
      </c>
      <c r="Y3" s="221" t="s">
        <v>208</v>
      </c>
      <c r="Z3" s="222" t="s">
        <v>209</v>
      </c>
      <c r="AA3" s="218" t="s">
        <v>210</v>
      </c>
      <c r="AB3" s="223" t="s">
        <v>211</v>
      </c>
      <c r="AC3" s="223" t="s">
        <v>212</v>
      </c>
      <c r="AD3" s="223" t="s">
        <v>213</v>
      </c>
      <c r="AE3" s="223" t="s">
        <v>214</v>
      </c>
      <c r="AF3" s="223" t="s">
        <v>215</v>
      </c>
      <c r="AG3" s="223" t="s">
        <v>216</v>
      </c>
      <c r="AH3" s="223" t="s">
        <v>217</v>
      </c>
      <c r="AI3" s="223" t="s">
        <v>218</v>
      </c>
      <c r="AJ3" s="224" t="s">
        <v>219</v>
      </c>
      <c r="AK3" s="225" t="s">
        <v>220</v>
      </c>
      <c r="AL3" s="226" t="s">
        <v>221</v>
      </c>
    </row>
    <row r="4" ht="39.75" customHeight="1">
      <c r="A4" s="227">
        <v>1.0</v>
      </c>
      <c r="B4" s="228" t="s">
        <v>60</v>
      </c>
      <c r="C4" s="229"/>
      <c r="D4" s="230"/>
      <c r="E4" s="230"/>
      <c r="F4" s="230"/>
      <c r="G4" s="231"/>
      <c r="H4" s="232">
        <v>0.0</v>
      </c>
      <c r="I4" s="233"/>
      <c r="J4" s="233"/>
      <c r="K4" s="233"/>
      <c r="L4" s="233"/>
      <c r="M4" s="233"/>
      <c r="N4" s="233"/>
      <c r="O4" s="233"/>
      <c r="P4" s="234"/>
      <c r="Q4" s="235">
        <f t="shared" ref="Q4:Q41" si="1">IF(ISBLANK(A4),"",IF(ISBLANK(G4),SUM(H4:P4),0))</f>
        <v>0</v>
      </c>
      <c r="R4" s="236">
        <f>IF(Q4="","",Q4+'OS Offset'!B4)</f>
        <v>0</v>
      </c>
      <c r="S4" s="237">
        <f t="shared" ref="S4:S41" si="2">IF(G4="X",0,COUNT(H4:P4))</f>
        <v>1</v>
      </c>
      <c r="T4" s="227">
        <v>1.0</v>
      </c>
      <c r="U4" s="238" t="s">
        <v>62</v>
      </c>
      <c r="V4" s="229"/>
      <c r="W4" s="230" t="s">
        <v>222</v>
      </c>
      <c r="X4" s="230" t="s">
        <v>222</v>
      </c>
      <c r="Y4" s="230"/>
      <c r="Z4" s="231"/>
      <c r="AA4" s="232">
        <v>4.0</v>
      </c>
      <c r="AB4" s="233"/>
      <c r="AC4" s="233"/>
      <c r="AD4" s="233"/>
      <c r="AE4" s="233"/>
      <c r="AF4" s="233"/>
      <c r="AG4" s="233"/>
      <c r="AH4" s="233"/>
      <c r="AI4" s="234"/>
      <c r="AJ4" s="235">
        <f t="shared" ref="AJ4:AJ41" si="3">IF(ISBLANK(T4),"",IF(ISBLANK(Z4),SUM(AA4:AI4),0))</f>
        <v>4</v>
      </c>
      <c r="AK4" s="236">
        <f>IF(AJ4="","",AJ4+'OS Offset'!I4)</f>
        <v>4</v>
      </c>
      <c r="AL4" s="237">
        <f t="shared" ref="AL4:AL41" si="4">IF(Z4="X",0,COUNT(AA4:AI4))</f>
        <v>1</v>
      </c>
    </row>
    <row r="5" ht="39.75" customHeight="1">
      <c r="A5" s="239">
        <v>2.0</v>
      </c>
      <c r="B5" s="240" t="s">
        <v>76</v>
      </c>
      <c r="C5" s="239"/>
      <c r="D5" s="241"/>
      <c r="E5" s="241"/>
      <c r="F5" s="241"/>
      <c r="G5" s="242" t="s">
        <v>222</v>
      </c>
      <c r="H5" s="227"/>
      <c r="I5" s="243"/>
      <c r="J5" s="243"/>
      <c r="K5" s="243"/>
      <c r="L5" s="243"/>
      <c r="M5" s="243"/>
      <c r="N5" s="243"/>
      <c r="O5" s="243"/>
      <c r="P5" s="244"/>
      <c r="Q5" s="245">
        <f t="shared" si="1"/>
        <v>0</v>
      </c>
      <c r="R5" s="246">
        <f>IF(Q5="","",Q5+R4+'OS Offset'!B5)</f>
        <v>0</v>
      </c>
      <c r="S5" s="247">
        <f t="shared" si="2"/>
        <v>0</v>
      </c>
      <c r="T5" s="239">
        <v>2.0</v>
      </c>
      <c r="U5" s="248" t="s">
        <v>60</v>
      </c>
      <c r="V5" s="239"/>
      <c r="W5" s="241" t="s">
        <v>222</v>
      </c>
      <c r="X5" s="241" t="s">
        <v>222</v>
      </c>
      <c r="Y5" s="241"/>
      <c r="Z5" s="242"/>
      <c r="AA5" s="227">
        <v>4.0</v>
      </c>
      <c r="AB5" s="243">
        <v>4.0</v>
      </c>
      <c r="AC5" s="243">
        <v>4.0</v>
      </c>
      <c r="AD5" s="243"/>
      <c r="AE5" s="243"/>
      <c r="AF5" s="243"/>
      <c r="AG5" s="243"/>
      <c r="AH5" s="243"/>
      <c r="AI5" s="244"/>
      <c r="AJ5" s="245">
        <f t="shared" si="3"/>
        <v>12</v>
      </c>
      <c r="AK5" s="246">
        <f>IF(AJ5="","",AJ5+AK4+'OS Offset'!I5)</f>
        <v>16</v>
      </c>
      <c r="AL5" s="247">
        <f t="shared" si="4"/>
        <v>3</v>
      </c>
    </row>
    <row r="6" ht="39.75" customHeight="1">
      <c r="A6" s="227" t="s">
        <v>223</v>
      </c>
      <c r="B6" s="249" t="s">
        <v>95</v>
      </c>
      <c r="C6" s="227"/>
      <c r="D6" s="243"/>
      <c r="E6" s="243"/>
      <c r="F6" s="243"/>
      <c r="G6" s="250"/>
      <c r="H6" s="251">
        <v>0.0</v>
      </c>
      <c r="I6" s="252"/>
      <c r="J6" s="252"/>
      <c r="K6" s="252"/>
      <c r="L6" s="252"/>
      <c r="M6" s="252"/>
      <c r="N6" s="252"/>
      <c r="O6" s="252"/>
      <c r="P6" s="253"/>
      <c r="Q6" s="254">
        <f t="shared" si="1"/>
        <v>0</v>
      </c>
      <c r="R6" s="246">
        <f>IF(Q6="","",Q6+R5+'OS Offset'!B6)</f>
        <v>0</v>
      </c>
      <c r="S6" s="247">
        <f t="shared" si="2"/>
        <v>1</v>
      </c>
      <c r="T6" s="227" t="s">
        <v>224</v>
      </c>
      <c r="U6" s="255"/>
      <c r="V6" s="256"/>
      <c r="W6" s="257"/>
      <c r="X6" s="257"/>
      <c r="Y6" s="257"/>
      <c r="Z6" s="258"/>
      <c r="AA6" s="259"/>
      <c r="AB6" s="260"/>
      <c r="AC6" s="260"/>
      <c r="AD6" s="260"/>
      <c r="AE6" s="260"/>
      <c r="AF6" s="260"/>
      <c r="AG6" s="260"/>
      <c r="AH6" s="260"/>
      <c r="AI6" s="261"/>
      <c r="AJ6" s="262">
        <f t="shared" si="3"/>
        <v>0</v>
      </c>
      <c r="AK6" s="246">
        <f>IF(AJ6="","",AJ6+AK5+'OS Offset'!I6)</f>
        <v>16</v>
      </c>
      <c r="AL6" s="247">
        <f t="shared" si="4"/>
        <v>0</v>
      </c>
    </row>
    <row r="7" ht="39.75" customHeight="1">
      <c r="A7" s="239">
        <v>3.0</v>
      </c>
      <c r="B7" s="240" t="s">
        <v>102</v>
      </c>
      <c r="C7" s="239"/>
      <c r="D7" s="241"/>
      <c r="E7" s="241"/>
      <c r="F7" s="241"/>
      <c r="G7" s="242" t="s">
        <v>222</v>
      </c>
      <c r="H7" s="227"/>
      <c r="I7" s="243"/>
      <c r="J7" s="243"/>
      <c r="K7" s="243"/>
      <c r="L7" s="243"/>
      <c r="M7" s="243"/>
      <c r="N7" s="243"/>
      <c r="O7" s="243"/>
      <c r="P7" s="244"/>
      <c r="Q7" s="245">
        <f t="shared" si="1"/>
        <v>0</v>
      </c>
      <c r="R7" s="246">
        <f>IF(Q7="","",Q7+R6+'OS Offset'!B7)</f>
        <v>0</v>
      </c>
      <c r="S7" s="247">
        <f t="shared" si="2"/>
        <v>0</v>
      </c>
      <c r="T7" s="263">
        <v>3.0</v>
      </c>
      <c r="U7" s="264" t="s">
        <v>66</v>
      </c>
      <c r="V7" s="263"/>
      <c r="W7" s="265" t="s">
        <v>222</v>
      </c>
      <c r="X7" s="265" t="s">
        <v>222</v>
      </c>
      <c r="Y7" s="265"/>
      <c r="Z7" s="266"/>
      <c r="AA7" s="256">
        <v>4.0</v>
      </c>
      <c r="AB7" s="257">
        <v>4.0</v>
      </c>
      <c r="AC7" s="257">
        <v>3.0</v>
      </c>
      <c r="AD7" s="257"/>
      <c r="AE7" s="257"/>
      <c r="AF7" s="257"/>
      <c r="AG7" s="257"/>
      <c r="AH7" s="257"/>
      <c r="AI7" s="267"/>
      <c r="AJ7" s="268">
        <f t="shared" si="3"/>
        <v>11</v>
      </c>
      <c r="AK7" s="246">
        <f>IF(AJ7="","",AJ7+AK6+'OS Offset'!I7)</f>
        <v>27</v>
      </c>
      <c r="AL7" s="247">
        <f t="shared" si="4"/>
        <v>3</v>
      </c>
    </row>
    <row r="8" ht="39.75" customHeight="1">
      <c r="A8" s="227" t="s">
        <v>223</v>
      </c>
      <c r="B8" s="249" t="s">
        <v>123</v>
      </c>
      <c r="C8" s="227"/>
      <c r="D8" s="243"/>
      <c r="E8" s="243"/>
      <c r="F8" s="243"/>
      <c r="G8" s="250"/>
      <c r="H8" s="251">
        <v>0.0</v>
      </c>
      <c r="I8" s="252"/>
      <c r="J8" s="252"/>
      <c r="K8" s="252"/>
      <c r="L8" s="252"/>
      <c r="M8" s="252"/>
      <c r="N8" s="252"/>
      <c r="O8" s="252"/>
      <c r="P8" s="253"/>
      <c r="Q8" s="254">
        <f t="shared" si="1"/>
        <v>0</v>
      </c>
      <c r="R8" s="246">
        <f>IF(Q8="","",Q8+R7+'OS Offset'!B8)</f>
        <v>0</v>
      </c>
      <c r="S8" s="247">
        <f t="shared" si="2"/>
        <v>1</v>
      </c>
      <c r="T8" s="227" t="s">
        <v>224</v>
      </c>
      <c r="U8" s="255"/>
      <c r="V8" s="256"/>
      <c r="W8" s="257"/>
      <c r="X8" s="257"/>
      <c r="Y8" s="257"/>
      <c r="Z8" s="258"/>
      <c r="AA8" s="259"/>
      <c r="AB8" s="260"/>
      <c r="AC8" s="260"/>
      <c r="AD8" s="260"/>
      <c r="AE8" s="260"/>
      <c r="AF8" s="260"/>
      <c r="AG8" s="260"/>
      <c r="AH8" s="260"/>
      <c r="AI8" s="261"/>
      <c r="AJ8" s="262">
        <f t="shared" si="3"/>
        <v>0</v>
      </c>
      <c r="AK8" s="246">
        <f>IF(AJ8="","",AJ8+AK7+'OS Offset'!I8)</f>
        <v>27</v>
      </c>
      <c r="AL8" s="247">
        <f t="shared" si="4"/>
        <v>0</v>
      </c>
    </row>
    <row r="9" ht="39.75" customHeight="1">
      <c r="A9" s="239">
        <v>4.0</v>
      </c>
      <c r="B9" s="240" t="s">
        <v>68</v>
      </c>
      <c r="C9" s="239"/>
      <c r="D9" s="241"/>
      <c r="E9" s="241"/>
      <c r="F9" s="241"/>
      <c r="G9" s="242"/>
      <c r="H9" s="227">
        <v>0.0</v>
      </c>
      <c r="I9" s="243"/>
      <c r="J9" s="243"/>
      <c r="K9" s="243"/>
      <c r="L9" s="243"/>
      <c r="M9" s="243"/>
      <c r="N9" s="243"/>
      <c r="O9" s="243"/>
      <c r="P9" s="244"/>
      <c r="Q9" s="245">
        <f t="shared" si="1"/>
        <v>0</v>
      </c>
      <c r="R9" s="246">
        <f>IF(Q9="","",Q9+R8+'OS Offset'!B9)</f>
        <v>0</v>
      </c>
      <c r="S9" s="247">
        <f t="shared" si="2"/>
        <v>1</v>
      </c>
      <c r="T9" s="263">
        <v>4.0</v>
      </c>
      <c r="U9" s="264" t="s">
        <v>70</v>
      </c>
      <c r="V9" s="263"/>
      <c r="W9" s="265" t="s">
        <v>222</v>
      </c>
      <c r="X9" s="265" t="s">
        <v>222</v>
      </c>
      <c r="Y9" s="265"/>
      <c r="Z9" s="266"/>
      <c r="AA9" s="256">
        <v>4.0</v>
      </c>
      <c r="AB9" s="257">
        <v>2.0</v>
      </c>
      <c r="AC9" s="257"/>
      <c r="AD9" s="257"/>
      <c r="AE9" s="257"/>
      <c r="AF9" s="257"/>
      <c r="AG9" s="257"/>
      <c r="AH9" s="257"/>
      <c r="AI9" s="267"/>
      <c r="AJ9" s="268">
        <f t="shared" si="3"/>
        <v>6</v>
      </c>
      <c r="AK9" s="246">
        <f>IF(AJ9="","",AJ9+AK8+'OS Offset'!I9)</f>
        <v>33</v>
      </c>
      <c r="AL9" s="247">
        <f t="shared" si="4"/>
        <v>2</v>
      </c>
    </row>
    <row r="10" ht="39.75" customHeight="1">
      <c r="A10" s="227">
        <v>5.0</v>
      </c>
      <c r="B10" s="249" t="s">
        <v>121</v>
      </c>
      <c r="C10" s="227"/>
      <c r="D10" s="243"/>
      <c r="E10" s="243"/>
      <c r="F10" s="243"/>
      <c r="G10" s="250" t="s">
        <v>222</v>
      </c>
      <c r="H10" s="251"/>
      <c r="I10" s="252"/>
      <c r="J10" s="252"/>
      <c r="K10" s="252"/>
      <c r="L10" s="252"/>
      <c r="M10" s="252"/>
      <c r="N10" s="252"/>
      <c r="O10" s="252"/>
      <c r="P10" s="253"/>
      <c r="Q10" s="254">
        <f t="shared" si="1"/>
        <v>0</v>
      </c>
      <c r="R10" s="246">
        <f>IF(Q10="","",Q10+R9+'OS Offset'!B10)</f>
        <v>0</v>
      </c>
      <c r="S10" s="247">
        <f t="shared" si="2"/>
        <v>0</v>
      </c>
      <c r="T10" s="227">
        <v>5.0</v>
      </c>
      <c r="U10" s="255" t="s">
        <v>62</v>
      </c>
      <c r="V10" s="256" t="s">
        <v>222</v>
      </c>
      <c r="W10" s="257" t="s">
        <v>222</v>
      </c>
      <c r="X10" s="257"/>
      <c r="Y10" s="257"/>
      <c r="Z10" s="258"/>
      <c r="AA10" s="259">
        <v>4.0</v>
      </c>
      <c r="AB10" s="260">
        <v>4.0</v>
      </c>
      <c r="AC10" s="260">
        <v>4.0</v>
      </c>
      <c r="AD10" s="260">
        <v>2.0</v>
      </c>
      <c r="AE10" s="260"/>
      <c r="AF10" s="260"/>
      <c r="AG10" s="260"/>
      <c r="AH10" s="260"/>
      <c r="AI10" s="261"/>
      <c r="AJ10" s="262">
        <f t="shared" si="3"/>
        <v>14</v>
      </c>
      <c r="AK10" s="246">
        <f>IF(AJ10="","",AJ10+AK9+'OS Offset'!I10)</f>
        <v>47</v>
      </c>
      <c r="AL10" s="247">
        <f t="shared" si="4"/>
        <v>4</v>
      </c>
    </row>
    <row r="11" ht="39.75" customHeight="1">
      <c r="A11" s="239" t="s">
        <v>223</v>
      </c>
      <c r="B11" s="240" t="s">
        <v>123</v>
      </c>
      <c r="C11" s="239"/>
      <c r="D11" s="241"/>
      <c r="E11" s="241"/>
      <c r="F11" s="241"/>
      <c r="G11" s="242"/>
      <c r="H11" s="227">
        <v>4.0</v>
      </c>
      <c r="I11" s="243"/>
      <c r="J11" s="243"/>
      <c r="K11" s="243"/>
      <c r="L11" s="243"/>
      <c r="M11" s="243"/>
      <c r="N11" s="243"/>
      <c r="O11" s="243"/>
      <c r="P11" s="244"/>
      <c r="Q11" s="245">
        <f t="shared" si="1"/>
        <v>4</v>
      </c>
      <c r="R11" s="246">
        <f>IF(Q11="","",Q11+R10+'OS Offset'!B11)</f>
        <v>4</v>
      </c>
      <c r="S11" s="247">
        <f t="shared" si="2"/>
        <v>1</v>
      </c>
      <c r="T11" s="263" t="s">
        <v>224</v>
      </c>
      <c r="U11" s="264"/>
      <c r="V11" s="263"/>
      <c r="W11" s="265"/>
      <c r="X11" s="265"/>
      <c r="Y11" s="265"/>
      <c r="Z11" s="266"/>
      <c r="AA11" s="256"/>
      <c r="AB11" s="257"/>
      <c r="AC11" s="257"/>
      <c r="AD11" s="257"/>
      <c r="AE11" s="257"/>
      <c r="AF11" s="257"/>
      <c r="AG11" s="257"/>
      <c r="AH11" s="257"/>
      <c r="AI11" s="267"/>
      <c r="AJ11" s="268">
        <f t="shared" si="3"/>
        <v>0</v>
      </c>
      <c r="AK11" s="246">
        <f>IF(AJ11="","",AJ11+AK10+'OS Offset'!I11)</f>
        <v>47</v>
      </c>
      <c r="AL11" s="247">
        <f t="shared" si="4"/>
        <v>0</v>
      </c>
    </row>
    <row r="12" ht="39.75" customHeight="1">
      <c r="A12" s="227">
        <v>6.0</v>
      </c>
      <c r="B12" s="249" t="s">
        <v>60</v>
      </c>
      <c r="C12" s="227"/>
      <c r="D12" s="243"/>
      <c r="E12" s="243"/>
      <c r="F12" s="243"/>
      <c r="G12" s="250"/>
      <c r="H12" s="251">
        <v>0.0</v>
      </c>
      <c r="I12" s="252"/>
      <c r="J12" s="252"/>
      <c r="K12" s="252"/>
      <c r="L12" s="252"/>
      <c r="M12" s="252"/>
      <c r="N12" s="252"/>
      <c r="O12" s="252"/>
      <c r="P12" s="253"/>
      <c r="Q12" s="254">
        <f t="shared" si="1"/>
        <v>0</v>
      </c>
      <c r="R12" s="246">
        <f>IF(Q12="","",Q12+R11+'OS Offset'!B12)</f>
        <v>4</v>
      </c>
      <c r="S12" s="247">
        <f t="shared" si="2"/>
        <v>1</v>
      </c>
      <c r="T12" s="227">
        <v>6.0</v>
      </c>
      <c r="U12" s="255" t="s">
        <v>60</v>
      </c>
      <c r="V12" s="256"/>
      <c r="W12" s="257" t="s">
        <v>222</v>
      </c>
      <c r="X12" s="257" t="s">
        <v>222</v>
      </c>
      <c r="Y12" s="257"/>
      <c r="Z12" s="258"/>
      <c r="AA12" s="259">
        <v>4.0</v>
      </c>
      <c r="AB12" s="260"/>
      <c r="AC12" s="260"/>
      <c r="AD12" s="260"/>
      <c r="AE12" s="260"/>
      <c r="AF12" s="260"/>
      <c r="AG12" s="260"/>
      <c r="AH12" s="260"/>
      <c r="AI12" s="261"/>
      <c r="AJ12" s="262">
        <f t="shared" si="3"/>
        <v>4</v>
      </c>
      <c r="AK12" s="246">
        <f>IF(AJ12="","",AJ12+AK11+'OS Offset'!I12)</f>
        <v>51</v>
      </c>
      <c r="AL12" s="247">
        <f t="shared" si="4"/>
        <v>1</v>
      </c>
    </row>
    <row r="13" ht="39.75" customHeight="1">
      <c r="A13" s="239">
        <v>7.0</v>
      </c>
      <c r="B13" s="240" t="s">
        <v>60</v>
      </c>
      <c r="C13" s="239"/>
      <c r="D13" s="241"/>
      <c r="E13" s="241"/>
      <c r="F13" s="241"/>
      <c r="G13" s="242"/>
      <c r="H13" s="227">
        <v>0.0</v>
      </c>
      <c r="I13" s="243"/>
      <c r="J13" s="243"/>
      <c r="K13" s="243"/>
      <c r="L13" s="243"/>
      <c r="M13" s="243"/>
      <c r="N13" s="243"/>
      <c r="O13" s="243"/>
      <c r="P13" s="244"/>
      <c r="Q13" s="245">
        <f t="shared" si="1"/>
        <v>0</v>
      </c>
      <c r="R13" s="246">
        <f>IF(Q13="","",Q13+R12+'OS Offset'!B13)</f>
        <v>4</v>
      </c>
      <c r="S13" s="247">
        <f t="shared" si="2"/>
        <v>1</v>
      </c>
      <c r="T13" s="263">
        <v>7.0</v>
      </c>
      <c r="U13" s="264" t="s">
        <v>66</v>
      </c>
      <c r="V13" s="263"/>
      <c r="W13" s="265" t="s">
        <v>222</v>
      </c>
      <c r="X13" s="265" t="s">
        <v>222</v>
      </c>
      <c r="Y13" s="265"/>
      <c r="Z13" s="266"/>
      <c r="AA13" s="256">
        <v>4.0</v>
      </c>
      <c r="AB13" s="257">
        <v>4.0</v>
      </c>
      <c r="AC13" s="257">
        <v>4.0</v>
      </c>
      <c r="AD13" s="257"/>
      <c r="AE13" s="257"/>
      <c r="AF13" s="257"/>
      <c r="AG13" s="257"/>
      <c r="AH13" s="257"/>
      <c r="AI13" s="267"/>
      <c r="AJ13" s="268">
        <f t="shared" si="3"/>
        <v>12</v>
      </c>
      <c r="AK13" s="246">
        <f>IF(AJ13="","",AJ13+AK12+'OS Offset'!I13)</f>
        <v>63</v>
      </c>
      <c r="AL13" s="247">
        <f t="shared" si="4"/>
        <v>3</v>
      </c>
    </row>
    <row r="14" ht="39.75" customHeight="1">
      <c r="A14" s="227">
        <v>8.0</v>
      </c>
      <c r="B14" s="249" t="s">
        <v>76</v>
      </c>
      <c r="C14" s="227"/>
      <c r="D14" s="243"/>
      <c r="E14" s="243"/>
      <c r="F14" s="243"/>
      <c r="G14" s="250"/>
      <c r="H14" s="251">
        <v>4.0</v>
      </c>
      <c r="I14" s="252"/>
      <c r="J14" s="252"/>
      <c r="K14" s="252"/>
      <c r="L14" s="252"/>
      <c r="M14" s="252"/>
      <c r="N14" s="252"/>
      <c r="O14" s="252"/>
      <c r="P14" s="253"/>
      <c r="Q14" s="254">
        <f t="shared" si="1"/>
        <v>4</v>
      </c>
      <c r="R14" s="246">
        <f>IF(Q14="","",Q14+R13+'OS Offset'!B14)</f>
        <v>8</v>
      </c>
      <c r="S14" s="247">
        <f t="shared" si="2"/>
        <v>1</v>
      </c>
      <c r="T14" s="227">
        <v>8.0</v>
      </c>
      <c r="U14" s="255" t="s">
        <v>70</v>
      </c>
      <c r="V14" s="256"/>
      <c r="W14" s="257" t="s">
        <v>222</v>
      </c>
      <c r="X14" s="257" t="s">
        <v>222</v>
      </c>
      <c r="Y14" s="257"/>
      <c r="Z14" s="258"/>
      <c r="AA14" s="259">
        <v>3.0</v>
      </c>
      <c r="AB14" s="260"/>
      <c r="AC14" s="260"/>
      <c r="AD14" s="260"/>
      <c r="AE14" s="260"/>
      <c r="AF14" s="260"/>
      <c r="AG14" s="260"/>
      <c r="AH14" s="260"/>
      <c r="AI14" s="261"/>
      <c r="AJ14" s="262">
        <f t="shared" si="3"/>
        <v>3</v>
      </c>
      <c r="AK14" s="246">
        <f>IF(AJ14="","",AJ14+AK13+'OS Offset'!I14)</f>
        <v>66</v>
      </c>
      <c r="AL14" s="247">
        <f t="shared" si="4"/>
        <v>1</v>
      </c>
    </row>
    <row r="15" ht="39.75" customHeight="1">
      <c r="A15" s="239">
        <v>9.0</v>
      </c>
      <c r="B15" s="240" t="s">
        <v>102</v>
      </c>
      <c r="C15" s="239"/>
      <c r="D15" s="241" t="s">
        <v>222</v>
      </c>
      <c r="E15" s="241" t="s">
        <v>222</v>
      </c>
      <c r="F15" s="241"/>
      <c r="G15" s="242"/>
      <c r="H15" s="227">
        <v>4.0</v>
      </c>
      <c r="I15" s="243"/>
      <c r="J15" s="243"/>
      <c r="K15" s="243"/>
      <c r="L15" s="243"/>
      <c r="M15" s="243"/>
      <c r="N15" s="243"/>
      <c r="O15" s="243"/>
      <c r="P15" s="244"/>
      <c r="Q15" s="245">
        <f t="shared" si="1"/>
        <v>4</v>
      </c>
      <c r="R15" s="246">
        <f>IF(Q15="","",Q15+R14+'OS Offset'!B15)</f>
        <v>12</v>
      </c>
      <c r="S15" s="247">
        <f t="shared" si="2"/>
        <v>1</v>
      </c>
      <c r="T15" s="263">
        <v>9.0</v>
      </c>
      <c r="U15" s="264" t="s">
        <v>62</v>
      </c>
      <c r="V15" s="263"/>
      <c r="W15" s="265"/>
      <c r="X15" s="265"/>
      <c r="Y15" s="265"/>
      <c r="Z15" s="266"/>
      <c r="AA15" s="256">
        <v>4.0</v>
      </c>
      <c r="AB15" s="257"/>
      <c r="AC15" s="257"/>
      <c r="AD15" s="257"/>
      <c r="AE15" s="257"/>
      <c r="AF15" s="257"/>
      <c r="AG15" s="257"/>
      <c r="AH15" s="257"/>
      <c r="AI15" s="267"/>
      <c r="AJ15" s="268">
        <f t="shared" si="3"/>
        <v>4</v>
      </c>
      <c r="AK15" s="246">
        <f>IF(AJ15="","",AJ15+AK14+'OS Offset'!I15)</f>
        <v>70</v>
      </c>
      <c r="AL15" s="247">
        <f t="shared" si="4"/>
        <v>1</v>
      </c>
    </row>
    <row r="16" ht="39.75" customHeight="1">
      <c r="A16" s="227">
        <v>10.0</v>
      </c>
      <c r="B16" s="249" t="s">
        <v>68</v>
      </c>
      <c r="C16" s="227"/>
      <c r="D16" s="243"/>
      <c r="E16" s="243"/>
      <c r="F16" s="243"/>
      <c r="G16" s="250"/>
      <c r="H16" s="251">
        <v>0.0</v>
      </c>
      <c r="I16" s="252"/>
      <c r="J16" s="252"/>
      <c r="K16" s="252"/>
      <c r="L16" s="252"/>
      <c r="M16" s="252"/>
      <c r="N16" s="252"/>
      <c r="O16" s="252"/>
      <c r="P16" s="253"/>
      <c r="Q16" s="254">
        <f t="shared" si="1"/>
        <v>0</v>
      </c>
      <c r="R16" s="246">
        <f>IF(Q16="","",Q16+R15+'OS Offset'!B16)</f>
        <v>12</v>
      </c>
      <c r="S16" s="247">
        <f t="shared" si="2"/>
        <v>1</v>
      </c>
      <c r="T16" s="227">
        <v>10.0</v>
      </c>
      <c r="U16" s="255" t="s">
        <v>60</v>
      </c>
      <c r="V16" s="256"/>
      <c r="W16" s="257" t="s">
        <v>222</v>
      </c>
      <c r="X16" s="257" t="s">
        <v>222</v>
      </c>
      <c r="Y16" s="257"/>
      <c r="Z16" s="258"/>
      <c r="AA16" s="259">
        <v>4.0</v>
      </c>
      <c r="AB16" s="260">
        <v>4.0</v>
      </c>
      <c r="AC16" s="260">
        <v>4.0</v>
      </c>
      <c r="AD16" s="260"/>
      <c r="AE16" s="260"/>
      <c r="AF16" s="260"/>
      <c r="AG16" s="260"/>
      <c r="AH16" s="260"/>
      <c r="AI16" s="261"/>
      <c r="AJ16" s="262">
        <f t="shared" si="3"/>
        <v>12</v>
      </c>
      <c r="AK16" s="246">
        <f>IF(AJ16="","",AJ16+AK15+'OS Offset'!I16)</f>
        <v>82</v>
      </c>
      <c r="AL16" s="247">
        <f t="shared" si="4"/>
        <v>3</v>
      </c>
    </row>
    <row r="17" ht="39.75" customHeight="1">
      <c r="A17" s="239">
        <v>11.0</v>
      </c>
      <c r="B17" s="240" t="s">
        <v>121</v>
      </c>
      <c r="C17" s="239"/>
      <c r="D17" s="241"/>
      <c r="E17" s="241"/>
      <c r="F17" s="241"/>
      <c r="G17" s="242"/>
      <c r="H17" s="227">
        <v>4.0</v>
      </c>
      <c r="I17" s="243"/>
      <c r="J17" s="243"/>
      <c r="K17" s="243"/>
      <c r="L17" s="243"/>
      <c r="M17" s="243"/>
      <c r="N17" s="243"/>
      <c r="O17" s="243"/>
      <c r="P17" s="244"/>
      <c r="Q17" s="245">
        <f t="shared" si="1"/>
        <v>4</v>
      </c>
      <c r="R17" s="246">
        <f>IF(Q17="","",Q17+R16+'OS Offset'!B17)</f>
        <v>16</v>
      </c>
      <c r="S17" s="247">
        <f t="shared" si="2"/>
        <v>1</v>
      </c>
      <c r="T17" s="263">
        <v>11.0</v>
      </c>
      <c r="U17" s="264" t="s">
        <v>66</v>
      </c>
      <c r="V17" s="263" t="s">
        <v>222</v>
      </c>
      <c r="W17" s="265" t="s">
        <v>222</v>
      </c>
      <c r="X17" s="265"/>
      <c r="Y17" s="265"/>
      <c r="Z17" s="266"/>
      <c r="AA17" s="256">
        <v>4.0</v>
      </c>
      <c r="AB17" s="257">
        <v>4.0</v>
      </c>
      <c r="AC17" s="257">
        <v>4.0</v>
      </c>
      <c r="AD17" s="257">
        <v>4.0</v>
      </c>
      <c r="AE17" s="257"/>
      <c r="AF17" s="257"/>
      <c r="AG17" s="257"/>
      <c r="AH17" s="257"/>
      <c r="AI17" s="267"/>
      <c r="AJ17" s="268">
        <f t="shared" si="3"/>
        <v>16</v>
      </c>
      <c r="AK17" s="246">
        <f>IF(AJ17="","",AJ17+AK16+'OS Offset'!I17)</f>
        <v>98</v>
      </c>
      <c r="AL17" s="247">
        <f t="shared" si="4"/>
        <v>4</v>
      </c>
    </row>
    <row r="18" ht="39.75" customHeight="1">
      <c r="A18" s="227">
        <v>12.0</v>
      </c>
      <c r="B18" s="249" t="s">
        <v>60</v>
      </c>
      <c r="C18" s="227" t="s">
        <v>222</v>
      </c>
      <c r="D18" s="243"/>
      <c r="E18" s="243"/>
      <c r="F18" s="243"/>
      <c r="G18" s="250"/>
      <c r="H18" s="251">
        <v>4.0</v>
      </c>
      <c r="I18" s="252">
        <v>0.0</v>
      </c>
      <c r="J18" s="252"/>
      <c r="K18" s="252"/>
      <c r="L18" s="252"/>
      <c r="M18" s="252"/>
      <c r="N18" s="252"/>
      <c r="O18" s="252"/>
      <c r="P18" s="253"/>
      <c r="Q18" s="254">
        <f t="shared" si="1"/>
        <v>4</v>
      </c>
      <c r="R18" s="246">
        <f>IF(Q18="","",Q18+R17+'OS Offset'!B18)</f>
        <v>20</v>
      </c>
      <c r="S18" s="247">
        <f t="shared" si="2"/>
        <v>2</v>
      </c>
      <c r="T18" s="227">
        <v>12.0</v>
      </c>
      <c r="U18" s="255" t="s">
        <v>70</v>
      </c>
      <c r="V18" s="256"/>
      <c r="W18" s="257" t="s">
        <v>222</v>
      </c>
      <c r="X18" s="257" t="s">
        <v>222</v>
      </c>
      <c r="Y18" s="257"/>
      <c r="Z18" s="258"/>
      <c r="AA18" s="259">
        <v>4.0</v>
      </c>
      <c r="AB18" s="260">
        <v>3.0</v>
      </c>
      <c r="AC18" s="260"/>
      <c r="AD18" s="260"/>
      <c r="AE18" s="260"/>
      <c r="AF18" s="260"/>
      <c r="AG18" s="260"/>
      <c r="AH18" s="260"/>
      <c r="AI18" s="261"/>
      <c r="AJ18" s="262">
        <f t="shared" si="3"/>
        <v>7</v>
      </c>
      <c r="AK18" s="246">
        <f>IF(AJ18="","",AJ18+AK17+'OS Offset'!I18)</f>
        <v>105</v>
      </c>
      <c r="AL18" s="247">
        <f t="shared" si="4"/>
        <v>2</v>
      </c>
    </row>
    <row r="19" ht="39.75" customHeight="1">
      <c r="A19" s="239">
        <v>13.0</v>
      </c>
      <c r="B19" s="240" t="s">
        <v>76</v>
      </c>
      <c r="C19" s="239"/>
      <c r="D19" s="241" t="s">
        <v>222</v>
      </c>
      <c r="E19" s="241" t="s">
        <v>222</v>
      </c>
      <c r="F19" s="241"/>
      <c r="G19" s="242"/>
      <c r="H19" s="227">
        <v>4.0</v>
      </c>
      <c r="I19" s="243">
        <v>4.0</v>
      </c>
      <c r="J19" s="243"/>
      <c r="K19" s="243"/>
      <c r="L19" s="243"/>
      <c r="M19" s="243"/>
      <c r="N19" s="243"/>
      <c r="O19" s="243"/>
      <c r="P19" s="244"/>
      <c r="Q19" s="245">
        <f t="shared" si="1"/>
        <v>8</v>
      </c>
      <c r="R19" s="246">
        <f>IF(Q19="","",Q19+R18+'OS Offset'!B19)</f>
        <v>28</v>
      </c>
      <c r="S19" s="247">
        <f t="shared" si="2"/>
        <v>2</v>
      </c>
      <c r="T19" s="263">
        <v>13.0</v>
      </c>
      <c r="U19" s="264" t="s">
        <v>62</v>
      </c>
      <c r="V19" s="263"/>
      <c r="W19" s="265"/>
      <c r="X19" s="265"/>
      <c r="Y19" s="265"/>
      <c r="Z19" s="266"/>
      <c r="AA19" s="256">
        <v>4.0</v>
      </c>
      <c r="AB19" s="257">
        <v>0.0</v>
      </c>
      <c r="AC19" s="257"/>
      <c r="AD19" s="257"/>
      <c r="AE19" s="257"/>
      <c r="AF19" s="257"/>
      <c r="AG19" s="257"/>
      <c r="AH19" s="257"/>
      <c r="AI19" s="267"/>
      <c r="AJ19" s="268">
        <f t="shared" si="3"/>
        <v>4</v>
      </c>
      <c r="AK19" s="246">
        <f>IF(AJ19="","",AJ19+AK18+'OS Offset'!I19)</f>
        <v>109</v>
      </c>
      <c r="AL19" s="247">
        <f t="shared" si="4"/>
        <v>2</v>
      </c>
    </row>
    <row r="20" ht="39.75" customHeight="1">
      <c r="A20" s="227">
        <v>14.0</v>
      </c>
      <c r="B20" s="249" t="s">
        <v>102</v>
      </c>
      <c r="C20" s="227"/>
      <c r="D20" s="243"/>
      <c r="E20" s="243"/>
      <c r="F20" s="243"/>
      <c r="G20" s="250"/>
      <c r="H20" s="251">
        <v>4.0</v>
      </c>
      <c r="I20" s="252">
        <v>0.0</v>
      </c>
      <c r="J20" s="252"/>
      <c r="K20" s="252"/>
      <c r="L20" s="252"/>
      <c r="M20" s="252"/>
      <c r="N20" s="252"/>
      <c r="O20" s="252"/>
      <c r="P20" s="253"/>
      <c r="Q20" s="254">
        <f t="shared" si="1"/>
        <v>4</v>
      </c>
      <c r="R20" s="246">
        <f>IF(Q20="","",Q20+R19+'OS Offset'!B20)</f>
        <v>32</v>
      </c>
      <c r="S20" s="247">
        <f t="shared" si="2"/>
        <v>2</v>
      </c>
      <c r="T20" s="227">
        <v>14.0</v>
      </c>
      <c r="U20" s="255" t="s">
        <v>60</v>
      </c>
      <c r="V20" s="256"/>
      <c r="W20" s="257" t="s">
        <v>222</v>
      </c>
      <c r="X20" s="257" t="s">
        <v>222</v>
      </c>
      <c r="Y20" s="257"/>
      <c r="Z20" s="258"/>
      <c r="AA20" s="259">
        <v>4.0</v>
      </c>
      <c r="AB20" s="260">
        <v>4.0</v>
      </c>
      <c r="AC20" s="260">
        <v>4.0</v>
      </c>
      <c r="AD20" s="260"/>
      <c r="AE20" s="260"/>
      <c r="AF20" s="260"/>
      <c r="AG20" s="260"/>
      <c r="AH20" s="260"/>
      <c r="AI20" s="261"/>
      <c r="AJ20" s="262">
        <f t="shared" si="3"/>
        <v>12</v>
      </c>
      <c r="AK20" s="246">
        <f>IF(AJ20="","",AJ20+AK19+'OS Offset'!I20)</f>
        <v>121</v>
      </c>
      <c r="AL20" s="247">
        <f t="shared" si="4"/>
        <v>3</v>
      </c>
    </row>
    <row r="21" ht="39.75" customHeight="1">
      <c r="A21" s="239">
        <v>15.0</v>
      </c>
      <c r="B21" s="240" t="s">
        <v>68</v>
      </c>
      <c r="C21" s="239"/>
      <c r="D21" s="241" t="s">
        <v>222</v>
      </c>
      <c r="E21" s="241"/>
      <c r="F21" s="241" t="s">
        <v>222</v>
      </c>
      <c r="G21" s="242"/>
      <c r="H21" s="227">
        <v>4.0</v>
      </c>
      <c r="I21" s="243"/>
      <c r="J21" s="243"/>
      <c r="K21" s="243"/>
      <c r="L21" s="243"/>
      <c r="M21" s="243"/>
      <c r="N21" s="243"/>
      <c r="O21" s="243"/>
      <c r="P21" s="244"/>
      <c r="Q21" s="245">
        <f t="shared" si="1"/>
        <v>4</v>
      </c>
      <c r="R21" s="246">
        <f>IF(Q21="","",Q21+R20+'OS Offset'!B21)</f>
        <v>36</v>
      </c>
      <c r="S21" s="247">
        <f t="shared" si="2"/>
        <v>1</v>
      </c>
      <c r="T21" s="263">
        <v>15.0</v>
      </c>
      <c r="U21" s="264" t="s">
        <v>66</v>
      </c>
      <c r="V21" s="263"/>
      <c r="W21" s="265"/>
      <c r="X21" s="265"/>
      <c r="Y21" s="265"/>
      <c r="Z21" s="266" t="s">
        <v>222</v>
      </c>
      <c r="AA21" s="256"/>
      <c r="AB21" s="257"/>
      <c r="AC21" s="257"/>
      <c r="AD21" s="257"/>
      <c r="AE21" s="257"/>
      <c r="AF21" s="257"/>
      <c r="AG21" s="257"/>
      <c r="AH21" s="257"/>
      <c r="AI21" s="267"/>
      <c r="AJ21" s="268">
        <f t="shared" si="3"/>
        <v>0</v>
      </c>
      <c r="AK21" s="246">
        <f>IF(AJ21="","",AJ21+AK20+'OS Offset'!I21)</f>
        <v>121</v>
      </c>
      <c r="AL21" s="247">
        <f t="shared" si="4"/>
        <v>0</v>
      </c>
    </row>
    <row r="22" ht="39.75" customHeight="1">
      <c r="A22" s="227" t="s">
        <v>223</v>
      </c>
      <c r="B22" s="249"/>
      <c r="C22" s="227"/>
      <c r="D22" s="243"/>
      <c r="E22" s="243"/>
      <c r="F22" s="243"/>
      <c r="G22" s="250"/>
      <c r="H22" s="251"/>
      <c r="I22" s="252"/>
      <c r="J22" s="252"/>
      <c r="K22" s="252"/>
      <c r="L22" s="252"/>
      <c r="M22" s="252"/>
      <c r="N22" s="252"/>
      <c r="O22" s="252"/>
      <c r="P22" s="253"/>
      <c r="Q22" s="254">
        <f t="shared" si="1"/>
        <v>0</v>
      </c>
      <c r="R22" s="246">
        <f>IF(Q22="","",Q22+R21+'OS Offset'!B22)</f>
        <v>36</v>
      </c>
      <c r="S22" s="247">
        <f t="shared" si="2"/>
        <v>0</v>
      </c>
      <c r="T22" s="227" t="s">
        <v>223</v>
      </c>
      <c r="U22" s="255" t="s">
        <v>115</v>
      </c>
      <c r="V22" s="256"/>
      <c r="W22" s="257"/>
      <c r="X22" s="257"/>
      <c r="Y22" s="257" t="s">
        <v>222</v>
      </c>
      <c r="Z22" s="258"/>
      <c r="AA22" s="259">
        <v>4.0</v>
      </c>
      <c r="AB22" s="260">
        <v>3.0</v>
      </c>
      <c r="AC22" s="260"/>
      <c r="AD22" s="260"/>
      <c r="AE22" s="260"/>
      <c r="AF22" s="260"/>
      <c r="AG22" s="260"/>
      <c r="AH22" s="260"/>
      <c r="AI22" s="261"/>
      <c r="AJ22" s="262">
        <f t="shared" si="3"/>
        <v>7</v>
      </c>
      <c r="AK22" s="246">
        <f>IF(AJ22="","",AJ22+AK21+'OS Offset'!I22)</f>
        <v>128</v>
      </c>
      <c r="AL22" s="247">
        <f t="shared" si="4"/>
        <v>2</v>
      </c>
    </row>
    <row r="23" ht="39.75" customHeight="1">
      <c r="A23" s="239">
        <v>16.0</v>
      </c>
      <c r="B23" s="240" t="s">
        <v>121</v>
      </c>
      <c r="C23" s="239"/>
      <c r="D23" s="241" t="s">
        <v>222</v>
      </c>
      <c r="E23" s="241"/>
      <c r="F23" s="241"/>
      <c r="G23" s="242"/>
      <c r="H23" s="227">
        <v>4.0</v>
      </c>
      <c r="I23" s="243">
        <v>4.0</v>
      </c>
      <c r="J23" s="243"/>
      <c r="K23" s="243"/>
      <c r="L23" s="243"/>
      <c r="M23" s="243"/>
      <c r="N23" s="243"/>
      <c r="O23" s="243"/>
      <c r="P23" s="244"/>
      <c r="Q23" s="245">
        <f t="shared" si="1"/>
        <v>8</v>
      </c>
      <c r="R23" s="246">
        <f>IF(Q23="","",Q23+R22+'OS Offset'!B23)</f>
        <v>44</v>
      </c>
      <c r="S23" s="247">
        <f t="shared" si="2"/>
        <v>2</v>
      </c>
      <c r="T23" s="263">
        <v>16.0</v>
      </c>
      <c r="U23" s="264" t="s">
        <v>70</v>
      </c>
      <c r="V23" s="263"/>
      <c r="W23" s="265"/>
      <c r="X23" s="265"/>
      <c r="Y23" s="265"/>
      <c r="Z23" s="266"/>
      <c r="AA23" s="256">
        <v>4.0</v>
      </c>
      <c r="AB23" s="257"/>
      <c r="AC23" s="257"/>
      <c r="AD23" s="257"/>
      <c r="AE23" s="257"/>
      <c r="AF23" s="257"/>
      <c r="AG23" s="257"/>
      <c r="AH23" s="257"/>
      <c r="AI23" s="267"/>
      <c r="AJ23" s="268">
        <f t="shared" si="3"/>
        <v>4</v>
      </c>
      <c r="AK23" s="246">
        <f>IF(AJ23="","",AJ23+AK22+'OS Offset'!I23)</f>
        <v>132</v>
      </c>
      <c r="AL23" s="247">
        <f t="shared" si="4"/>
        <v>1</v>
      </c>
    </row>
    <row r="24" ht="39.75" customHeight="1">
      <c r="A24" s="227" t="s">
        <v>223</v>
      </c>
      <c r="B24" s="249"/>
      <c r="C24" s="227"/>
      <c r="D24" s="243"/>
      <c r="E24" s="243"/>
      <c r="F24" s="243"/>
      <c r="G24" s="250"/>
      <c r="H24" s="251"/>
      <c r="I24" s="252"/>
      <c r="J24" s="252"/>
      <c r="K24" s="252"/>
      <c r="L24" s="252"/>
      <c r="M24" s="252"/>
      <c r="N24" s="252"/>
      <c r="O24" s="252"/>
      <c r="P24" s="253"/>
      <c r="Q24" s="254">
        <f t="shared" si="1"/>
        <v>0</v>
      </c>
      <c r="R24" s="246">
        <f>IF(Q24="","",Q24+R23+'OS Offset'!B24)</f>
        <v>44</v>
      </c>
      <c r="S24" s="247">
        <f t="shared" si="2"/>
        <v>0</v>
      </c>
      <c r="T24" s="227" t="s">
        <v>223</v>
      </c>
      <c r="U24" s="255" t="s">
        <v>95</v>
      </c>
      <c r="V24" s="256"/>
      <c r="W24" s="257"/>
      <c r="X24" s="257"/>
      <c r="Y24" s="257"/>
      <c r="Z24" s="258"/>
      <c r="AA24" s="259"/>
      <c r="AB24" s="260">
        <v>4.0</v>
      </c>
      <c r="AC24" s="260">
        <v>2.0</v>
      </c>
      <c r="AD24" s="260"/>
      <c r="AE24" s="260"/>
      <c r="AF24" s="260"/>
      <c r="AG24" s="260"/>
      <c r="AH24" s="260"/>
      <c r="AI24" s="261"/>
      <c r="AJ24" s="262">
        <f t="shared" si="3"/>
        <v>6</v>
      </c>
      <c r="AK24" s="246">
        <f>IF(AJ24="","",AJ24+AK23+'OS Offset'!I24)</f>
        <v>138</v>
      </c>
      <c r="AL24" s="247">
        <f t="shared" si="4"/>
        <v>2</v>
      </c>
    </row>
    <row r="25" ht="39.75" customHeight="1">
      <c r="A25" s="239">
        <v>17.0</v>
      </c>
      <c r="B25" s="240" t="s">
        <v>60</v>
      </c>
      <c r="C25" s="239"/>
      <c r="D25" s="241" t="s">
        <v>222</v>
      </c>
      <c r="E25" s="241" t="s">
        <v>222</v>
      </c>
      <c r="F25" s="241"/>
      <c r="G25" s="242"/>
      <c r="H25" s="227">
        <v>4.0</v>
      </c>
      <c r="I25" s="243">
        <v>2.0</v>
      </c>
      <c r="J25" s="243"/>
      <c r="K25" s="243"/>
      <c r="L25" s="243"/>
      <c r="M25" s="243"/>
      <c r="N25" s="243"/>
      <c r="O25" s="243"/>
      <c r="P25" s="244"/>
      <c r="Q25" s="245">
        <f t="shared" si="1"/>
        <v>6</v>
      </c>
      <c r="R25" s="246">
        <f>IF(Q25="","",Q25+R24+'OS Offset'!B25)</f>
        <v>50</v>
      </c>
      <c r="S25" s="247">
        <f t="shared" si="2"/>
        <v>2</v>
      </c>
      <c r="T25" s="263">
        <v>17.0</v>
      </c>
      <c r="U25" s="264" t="s">
        <v>62</v>
      </c>
      <c r="V25" s="263"/>
      <c r="W25" s="265"/>
      <c r="X25" s="265"/>
      <c r="Y25" s="265"/>
      <c r="Z25" s="266"/>
      <c r="AA25" s="256">
        <v>4.0</v>
      </c>
      <c r="AB25" s="257">
        <v>0.0</v>
      </c>
      <c r="AC25" s="257"/>
      <c r="AD25" s="257"/>
      <c r="AE25" s="257"/>
      <c r="AF25" s="257"/>
      <c r="AG25" s="257"/>
      <c r="AH25" s="257"/>
      <c r="AI25" s="267"/>
      <c r="AJ25" s="268">
        <f t="shared" si="3"/>
        <v>4</v>
      </c>
      <c r="AK25" s="246">
        <f>IF(AJ25="","",AJ25+AK24+'OS Offset'!I25)</f>
        <v>142</v>
      </c>
      <c r="AL25" s="247">
        <f t="shared" si="4"/>
        <v>2</v>
      </c>
    </row>
    <row r="26" ht="39.75" customHeight="1">
      <c r="A26" s="227">
        <v>18.0</v>
      </c>
      <c r="B26" s="249" t="s">
        <v>76</v>
      </c>
      <c r="C26" s="227"/>
      <c r="D26" s="243"/>
      <c r="E26" s="243"/>
      <c r="F26" s="243"/>
      <c r="G26" s="250"/>
      <c r="H26" s="251">
        <v>0.0</v>
      </c>
      <c r="I26" s="252"/>
      <c r="J26" s="252"/>
      <c r="K26" s="252"/>
      <c r="L26" s="252"/>
      <c r="M26" s="252"/>
      <c r="N26" s="252"/>
      <c r="O26" s="252"/>
      <c r="P26" s="253"/>
      <c r="Q26" s="254">
        <f t="shared" si="1"/>
        <v>0</v>
      </c>
      <c r="R26" s="246">
        <f>IF(Q26="","",Q26+R25+'OS Offset'!B26)</f>
        <v>50</v>
      </c>
      <c r="S26" s="247">
        <f t="shared" si="2"/>
        <v>1</v>
      </c>
      <c r="T26" s="227">
        <v>18.0</v>
      </c>
      <c r="U26" s="255" t="s">
        <v>60</v>
      </c>
      <c r="V26" s="256"/>
      <c r="W26" s="257" t="s">
        <v>222</v>
      </c>
      <c r="X26" s="257" t="s">
        <v>222</v>
      </c>
      <c r="Y26" s="257"/>
      <c r="Z26" s="258"/>
      <c r="AA26" s="259">
        <v>4.0</v>
      </c>
      <c r="AB26" s="260">
        <v>4.0</v>
      </c>
      <c r="AC26" s="260">
        <v>4.0</v>
      </c>
      <c r="AD26" s="260"/>
      <c r="AE26" s="260"/>
      <c r="AF26" s="260"/>
      <c r="AG26" s="260"/>
      <c r="AH26" s="260"/>
      <c r="AI26" s="261"/>
      <c r="AJ26" s="262">
        <f t="shared" si="3"/>
        <v>12</v>
      </c>
      <c r="AK26" s="246">
        <f>IF(AJ26="","",AJ26+AK25+'OS Offset'!I26)</f>
        <v>154</v>
      </c>
      <c r="AL26" s="247">
        <f t="shared" si="4"/>
        <v>3</v>
      </c>
    </row>
    <row r="27" ht="39.75" customHeight="1">
      <c r="A27" s="239">
        <v>19.0</v>
      </c>
      <c r="B27" s="240" t="s">
        <v>102</v>
      </c>
      <c r="C27" s="239"/>
      <c r="D27" s="241"/>
      <c r="E27" s="241"/>
      <c r="F27" s="241"/>
      <c r="G27" s="242" t="s">
        <v>222</v>
      </c>
      <c r="H27" s="227"/>
      <c r="I27" s="243"/>
      <c r="J27" s="243"/>
      <c r="K27" s="243"/>
      <c r="L27" s="243"/>
      <c r="M27" s="243"/>
      <c r="N27" s="243"/>
      <c r="O27" s="243"/>
      <c r="P27" s="244"/>
      <c r="Q27" s="245">
        <f t="shared" si="1"/>
        <v>0</v>
      </c>
      <c r="R27" s="246">
        <f>IF(Q27="","",Q27+R26+'OS Offset'!B27)</f>
        <v>50</v>
      </c>
      <c r="S27" s="247">
        <f t="shared" si="2"/>
        <v>0</v>
      </c>
      <c r="T27" s="263">
        <v>19.0</v>
      </c>
      <c r="U27" s="264" t="s">
        <v>66</v>
      </c>
      <c r="V27" s="263"/>
      <c r="W27" s="265" t="s">
        <v>222</v>
      </c>
      <c r="X27" s="265" t="s">
        <v>222</v>
      </c>
      <c r="Y27" s="265"/>
      <c r="Z27" s="266"/>
      <c r="AA27" s="256">
        <v>4.0</v>
      </c>
      <c r="AB27" s="257"/>
      <c r="AC27" s="257"/>
      <c r="AD27" s="257"/>
      <c r="AE27" s="257"/>
      <c r="AF27" s="257"/>
      <c r="AG27" s="257"/>
      <c r="AH27" s="257"/>
      <c r="AI27" s="267"/>
      <c r="AJ27" s="268">
        <f t="shared" si="3"/>
        <v>4</v>
      </c>
      <c r="AK27" s="246">
        <f>IF(AJ27="","",AJ27+AK26+'OS Offset'!I27)</f>
        <v>158</v>
      </c>
      <c r="AL27" s="247">
        <f t="shared" si="4"/>
        <v>1</v>
      </c>
    </row>
    <row r="28" ht="39.75" customHeight="1">
      <c r="A28" s="227" t="s">
        <v>223</v>
      </c>
      <c r="B28" s="249" t="s">
        <v>123</v>
      </c>
      <c r="C28" s="227"/>
      <c r="D28" s="243"/>
      <c r="E28" s="243"/>
      <c r="F28" s="243"/>
      <c r="G28" s="250"/>
      <c r="H28" s="251">
        <v>0.0</v>
      </c>
      <c r="I28" s="252"/>
      <c r="J28" s="252"/>
      <c r="K28" s="252"/>
      <c r="L28" s="252"/>
      <c r="M28" s="252"/>
      <c r="N28" s="252"/>
      <c r="O28" s="252"/>
      <c r="P28" s="253"/>
      <c r="Q28" s="254">
        <f t="shared" si="1"/>
        <v>0</v>
      </c>
      <c r="R28" s="246">
        <f>IF(Q28="","",Q28+R27+'OS Offset'!B28)</f>
        <v>50</v>
      </c>
      <c r="S28" s="247">
        <f t="shared" si="2"/>
        <v>1</v>
      </c>
      <c r="T28" s="227" t="s">
        <v>224</v>
      </c>
      <c r="U28" s="255"/>
      <c r="V28" s="256"/>
      <c r="W28" s="257"/>
      <c r="X28" s="257"/>
      <c r="Y28" s="257"/>
      <c r="Z28" s="258"/>
      <c r="AA28" s="259"/>
      <c r="AB28" s="260"/>
      <c r="AC28" s="260"/>
      <c r="AD28" s="260"/>
      <c r="AE28" s="260"/>
      <c r="AF28" s="260"/>
      <c r="AG28" s="260"/>
      <c r="AH28" s="260"/>
      <c r="AI28" s="261"/>
      <c r="AJ28" s="262">
        <f t="shared" si="3"/>
        <v>0</v>
      </c>
      <c r="AK28" s="246">
        <f>IF(AJ28="","",AJ28+AK27+'OS Offset'!I28)</f>
        <v>158</v>
      </c>
      <c r="AL28" s="247">
        <f t="shared" si="4"/>
        <v>0</v>
      </c>
    </row>
    <row r="29" ht="39.75" customHeight="1">
      <c r="A29" s="239">
        <v>20.0</v>
      </c>
      <c r="B29" s="240" t="s">
        <v>121</v>
      </c>
      <c r="C29" s="239"/>
      <c r="D29" s="241"/>
      <c r="E29" s="241"/>
      <c r="F29" s="241"/>
      <c r="G29" s="242"/>
      <c r="H29" s="227">
        <v>0.0</v>
      </c>
      <c r="I29" s="243"/>
      <c r="J29" s="243"/>
      <c r="K29" s="243"/>
      <c r="L29" s="243"/>
      <c r="M29" s="243"/>
      <c r="N29" s="243"/>
      <c r="O29" s="243"/>
      <c r="P29" s="244"/>
      <c r="Q29" s="245">
        <f t="shared" si="1"/>
        <v>0</v>
      </c>
      <c r="R29" s="246">
        <f>IF(Q29="","",Q29+R28+'OS Offset'!B29)</f>
        <v>50</v>
      </c>
      <c r="S29" s="247">
        <f t="shared" si="2"/>
        <v>1</v>
      </c>
      <c r="T29" s="263">
        <v>20.0</v>
      </c>
      <c r="U29" s="264" t="s">
        <v>62</v>
      </c>
      <c r="V29" s="263"/>
      <c r="W29" s="265" t="s">
        <v>222</v>
      </c>
      <c r="X29" s="265" t="s">
        <v>222</v>
      </c>
      <c r="Y29" s="265"/>
      <c r="Z29" s="266"/>
      <c r="AA29" s="256">
        <v>4.0</v>
      </c>
      <c r="AB29" s="257"/>
      <c r="AC29" s="257"/>
      <c r="AD29" s="257"/>
      <c r="AE29" s="257"/>
      <c r="AF29" s="257"/>
      <c r="AG29" s="257"/>
      <c r="AH29" s="257"/>
      <c r="AI29" s="267"/>
      <c r="AJ29" s="268">
        <f t="shared" si="3"/>
        <v>4</v>
      </c>
      <c r="AK29" s="246">
        <f>IF(AJ29="","",AJ29+AK28+'OS Offset'!I29)</f>
        <v>162</v>
      </c>
      <c r="AL29" s="247">
        <f t="shared" si="4"/>
        <v>1</v>
      </c>
    </row>
    <row r="30" ht="39.75" customHeight="1">
      <c r="A30" s="227">
        <v>21.0</v>
      </c>
      <c r="B30" s="249" t="s">
        <v>60</v>
      </c>
      <c r="C30" s="227"/>
      <c r="D30" s="243"/>
      <c r="E30" s="243"/>
      <c r="F30" s="243"/>
      <c r="G30" s="250"/>
      <c r="H30" s="251">
        <v>4.0</v>
      </c>
      <c r="I30" s="252"/>
      <c r="J30" s="252"/>
      <c r="K30" s="252"/>
      <c r="L30" s="252"/>
      <c r="M30" s="252"/>
      <c r="N30" s="252"/>
      <c r="O30" s="252"/>
      <c r="P30" s="253"/>
      <c r="Q30" s="254">
        <f t="shared" si="1"/>
        <v>4</v>
      </c>
      <c r="R30" s="246">
        <f>IF(Q30="","",Q30+R29+'OS Offset'!B30)</f>
        <v>54</v>
      </c>
      <c r="S30" s="247">
        <f t="shared" si="2"/>
        <v>1</v>
      </c>
      <c r="T30" s="227">
        <v>21.0</v>
      </c>
      <c r="U30" s="255" t="s">
        <v>60</v>
      </c>
      <c r="V30" s="256"/>
      <c r="W30" s="257" t="s">
        <v>222</v>
      </c>
      <c r="X30" s="257" t="s">
        <v>222</v>
      </c>
      <c r="Y30" s="257"/>
      <c r="Z30" s="258"/>
      <c r="AA30" s="259">
        <v>4.0</v>
      </c>
      <c r="AB30" s="260">
        <v>4.0</v>
      </c>
      <c r="AC30" s="260">
        <v>4.0</v>
      </c>
      <c r="AD30" s="260">
        <v>4.0</v>
      </c>
      <c r="AE30" s="260">
        <v>4.0</v>
      </c>
      <c r="AF30" s="260">
        <v>4.0</v>
      </c>
      <c r="AG30" s="260">
        <v>2.0</v>
      </c>
      <c r="AH30" s="260"/>
      <c r="AI30" s="261"/>
      <c r="AJ30" s="262">
        <f t="shared" si="3"/>
        <v>26</v>
      </c>
      <c r="AK30" s="246">
        <f>IF(AJ30="","",AJ30+AK29+'OS Offset'!I30)</f>
        <v>188</v>
      </c>
      <c r="AL30" s="247">
        <f t="shared" si="4"/>
        <v>7</v>
      </c>
    </row>
    <row r="31" ht="39.75" customHeight="1">
      <c r="A31" s="239" t="s">
        <v>223</v>
      </c>
      <c r="B31" s="240" t="s">
        <v>80</v>
      </c>
      <c r="C31" s="239"/>
      <c r="D31" s="241"/>
      <c r="E31" s="241"/>
      <c r="F31" s="241"/>
      <c r="G31" s="242"/>
      <c r="H31" s="227"/>
      <c r="I31" s="243">
        <v>4.0</v>
      </c>
      <c r="J31" s="243"/>
      <c r="K31" s="243"/>
      <c r="L31" s="243"/>
      <c r="M31" s="243"/>
      <c r="N31" s="243"/>
      <c r="O31" s="243"/>
      <c r="P31" s="244"/>
      <c r="Q31" s="245">
        <f t="shared" si="1"/>
        <v>4</v>
      </c>
      <c r="R31" s="246">
        <f>IF(Q31="","",Q31+R30+'OS Offset'!B31)</f>
        <v>58</v>
      </c>
      <c r="S31" s="247">
        <f t="shared" si="2"/>
        <v>1</v>
      </c>
      <c r="T31" s="263" t="s">
        <v>224</v>
      </c>
      <c r="U31" s="264"/>
      <c r="V31" s="263"/>
      <c r="W31" s="265"/>
      <c r="X31" s="265"/>
      <c r="Y31" s="265"/>
      <c r="Z31" s="266"/>
      <c r="AA31" s="256"/>
      <c r="AB31" s="257"/>
      <c r="AC31" s="257"/>
      <c r="AD31" s="257"/>
      <c r="AE31" s="257"/>
      <c r="AF31" s="257"/>
      <c r="AG31" s="257"/>
      <c r="AH31" s="257"/>
      <c r="AI31" s="267"/>
      <c r="AJ31" s="268">
        <f t="shared" si="3"/>
        <v>0</v>
      </c>
      <c r="AK31" s="246">
        <f>IF(AJ31="","",AJ31+AK30+'OS Offset'!I31)</f>
        <v>188</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21</v>
      </c>
      <c r="B42" s="274" t="s">
        <v>225</v>
      </c>
      <c r="C42" s="275">
        <f t="shared" ref="C42:G42" si="5">IF($A$42="","",COUNTIF(C$4:C$41, "X"))</f>
        <v>1</v>
      </c>
      <c r="D42" s="276">
        <f t="shared" si="5"/>
        <v>5</v>
      </c>
      <c r="E42" s="276">
        <f t="shared" si="5"/>
        <v>3</v>
      </c>
      <c r="F42" s="276">
        <f t="shared" si="5"/>
        <v>1</v>
      </c>
      <c r="G42" s="276">
        <f t="shared" si="5"/>
        <v>4</v>
      </c>
      <c r="H42" s="277">
        <f t="shared" ref="H42:Q42" si="6">IF(COUNT(H4:H41),SUM(H4:H41),"")</f>
        <v>44</v>
      </c>
      <c r="I42" s="278">
        <f t="shared" si="6"/>
        <v>14</v>
      </c>
      <c r="J42" s="278" t="str">
        <f t="shared" si="6"/>
        <v/>
      </c>
      <c r="K42" s="278" t="str">
        <f t="shared" si="6"/>
        <v/>
      </c>
      <c r="L42" s="278" t="str">
        <f t="shared" si="6"/>
        <v/>
      </c>
      <c r="M42" s="278" t="str">
        <f t="shared" si="6"/>
        <v/>
      </c>
      <c r="N42" s="278" t="str">
        <f t="shared" si="6"/>
        <v/>
      </c>
      <c r="O42" s="278" t="str">
        <f t="shared" si="6"/>
        <v/>
      </c>
      <c r="P42" s="279" t="str">
        <f t="shared" si="6"/>
        <v/>
      </c>
      <c r="Q42" s="280">
        <f t="shared" si="6"/>
        <v>58</v>
      </c>
      <c r="R42" s="281">
        <f>IF(A42="","",MAX(R4:R41))</f>
        <v>58</v>
      </c>
      <c r="S42" s="282"/>
      <c r="T42" s="283">
        <f>IF(COUNT(T4:T41),COUNT(T4:T41),"")</f>
        <v>21</v>
      </c>
      <c r="U42" s="274" t="s">
        <v>225</v>
      </c>
      <c r="V42" s="284">
        <f t="shared" ref="V42:Z42" si="7">IF($T$42="","",COUNTIF(V$4:V$41, "X"))</f>
        <v>2</v>
      </c>
      <c r="W42" s="276">
        <f t="shared" si="7"/>
        <v>16</v>
      </c>
      <c r="X42" s="276">
        <f t="shared" si="7"/>
        <v>14</v>
      </c>
      <c r="Y42" s="276">
        <f t="shared" si="7"/>
        <v>1</v>
      </c>
      <c r="Z42" s="276">
        <f t="shared" si="7"/>
        <v>1</v>
      </c>
      <c r="AA42" s="277">
        <f t="shared" ref="AA42:AJ42" si="8">IF(COUNT(AA4:AA41),SUM(AA4:AA41),"")</f>
        <v>83</v>
      </c>
      <c r="AB42" s="278">
        <f t="shared" si="8"/>
        <v>48</v>
      </c>
      <c r="AC42" s="278">
        <f t="shared" si="8"/>
        <v>37</v>
      </c>
      <c r="AD42" s="278">
        <f t="shared" si="8"/>
        <v>10</v>
      </c>
      <c r="AE42" s="278">
        <f t="shared" si="8"/>
        <v>4</v>
      </c>
      <c r="AF42" s="278">
        <f t="shared" si="8"/>
        <v>4</v>
      </c>
      <c r="AG42" s="278">
        <f t="shared" si="8"/>
        <v>2</v>
      </c>
      <c r="AH42" s="278" t="str">
        <f t="shared" si="8"/>
        <v/>
      </c>
      <c r="AI42" s="285" t="str">
        <f t="shared" si="8"/>
        <v/>
      </c>
      <c r="AJ42" s="286">
        <f t="shared" si="8"/>
        <v>188</v>
      </c>
      <c r="AK42" s="281">
        <f>IF(T42="","",MAX(AK4:AK41))</f>
        <v>188</v>
      </c>
      <c r="AL42" s="287"/>
    </row>
    <row r="43" ht="30.0" customHeight="1">
      <c r="A43" s="203" t="str">
        <f>A1</f>
        <v>Tiger Bay Brawlers / Challengers</v>
      </c>
      <c r="B43" s="204"/>
      <c r="C43" s="204"/>
      <c r="D43" s="204"/>
      <c r="E43" s="204"/>
      <c r="F43" s="204"/>
      <c r="G43" s="204"/>
      <c r="H43" s="205"/>
      <c r="I43" s="206" t="str">
        <f>IF(ISBLANK(I1), "", I1)</f>
        <v>Orange</v>
      </c>
      <c r="J43" s="151"/>
      <c r="K43" s="207">
        <f>IF(ISBLANK(IGRF!$B$7), "", IGRF!$B$7)</f>
        <v>45220</v>
      </c>
      <c r="L43" s="208" t="s">
        <v>226</v>
      </c>
      <c r="M43" s="151"/>
      <c r="N43" s="151"/>
      <c r="O43" s="209" t="s">
        <v>199</v>
      </c>
      <c r="P43" s="168"/>
      <c r="Q43" s="210"/>
      <c r="R43" s="211">
        <v>2.0</v>
      </c>
      <c r="S43" s="212"/>
      <c r="T43" s="203" t="str">
        <f>T1</f>
        <v>Dublin Roller Derby / The Be Grands</v>
      </c>
      <c r="U43" s="204"/>
      <c r="V43" s="204"/>
      <c r="W43" s="204"/>
      <c r="X43" s="204"/>
      <c r="Y43" s="204"/>
      <c r="Z43" s="204"/>
      <c r="AA43" s="205"/>
      <c r="AB43" s="206" t="str">
        <f>IF(ISBLANK(AB1), "", AB1)</f>
        <v>Blue</v>
      </c>
      <c r="AC43" s="151"/>
      <c r="AD43" s="207">
        <f>IF(ISBLANK(IGRF!$B$7), "", IGRF!$B$7)</f>
        <v>45220</v>
      </c>
      <c r="AE43" s="208"/>
      <c r="AF43" s="151"/>
      <c r="AG43" s="151"/>
      <c r="AH43" s="209"/>
      <c r="AI43" s="168"/>
      <c r="AJ43" s="210"/>
      <c r="AK43" s="211">
        <v>2.0</v>
      </c>
      <c r="AL43" s="43"/>
    </row>
    <row r="44" ht="15.0" customHeight="1">
      <c r="A44" s="213"/>
      <c r="B44" s="20"/>
      <c r="C44" s="20"/>
      <c r="D44" s="20"/>
      <c r="E44" s="20"/>
      <c r="F44" s="20"/>
      <c r="G44" s="20"/>
      <c r="H44" s="156"/>
      <c r="I44" s="288" t="s">
        <v>200</v>
      </c>
      <c r="J44" s="20"/>
      <c r="K44" s="215" t="s">
        <v>201</v>
      </c>
      <c r="L44" s="214" t="s">
        <v>168</v>
      </c>
      <c r="M44" s="71"/>
      <c r="N44" s="71"/>
      <c r="O44" s="216" t="s">
        <v>202</v>
      </c>
      <c r="P44" s="71"/>
      <c r="Q44" s="72"/>
      <c r="R44" s="217" t="str">
        <f>R2</f>
        <v>GAME 1</v>
      </c>
      <c r="S44" s="212"/>
      <c r="T44" s="213"/>
      <c r="U44" s="20"/>
      <c r="V44" s="20"/>
      <c r="W44" s="20"/>
      <c r="X44" s="20"/>
      <c r="Y44" s="20"/>
      <c r="Z44" s="20"/>
      <c r="AA44" s="156"/>
      <c r="AB44" s="288" t="s">
        <v>200</v>
      </c>
      <c r="AC44" s="20"/>
      <c r="AD44" s="215" t="s">
        <v>201</v>
      </c>
      <c r="AE44" s="214" t="s">
        <v>168</v>
      </c>
      <c r="AF44" s="71"/>
      <c r="AG44" s="71"/>
      <c r="AH44" s="216" t="s">
        <v>202</v>
      </c>
      <c r="AI44" s="71"/>
      <c r="AJ44" s="72"/>
      <c r="AK44" s="217" t="str">
        <f>AK2</f>
        <v>GAME 1</v>
      </c>
      <c r="AL44" s="43"/>
    </row>
    <row r="45" ht="34.5" customHeight="1">
      <c r="A45" s="218" t="s">
        <v>203</v>
      </c>
      <c r="B45" s="219" t="s">
        <v>204</v>
      </c>
      <c r="C45" s="220" t="s">
        <v>205</v>
      </c>
      <c r="D45" s="221" t="s">
        <v>206</v>
      </c>
      <c r="E45" s="221" t="s">
        <v>207</v>
      </c>
      <c r="F45" s="221" t="s">
        <v>208</v>
      </c>
      <c r="G45" s="222" t="s">
        <v>209</v>
      </c>
      <c r="H45" s="218" t="s">
        <v>210</v>
      </c>
      <c r="I45" s="223" t="s">
        <v>211</v>
      </c>
      <c r="J45" s="223" t="s">
        <v>212</v>
      </c>
      <c r="K45" s="223" t="s">
        <v>213</v>
      </c>
      <c r="L45" s="223" t="s">
        <v>214</v>
      </c>
      <c r="M45" s="223" t="s">
        <v>215</v>
      </c>
      <c r="N45" s="223" t="s">
        <v>216</v>
      </c>
      <c r="O45" s="223" t="s">
        <v>217</v>
      </c>
      <c r="P45" s="223" t="s">
        <v>218</v>
      </c>
      <c r="Q45" s="224" t="s">
        <v>219</v>
      </c>
      <c r="R45" s="289">
        <f>R42</f>
        <v>58</v>
      </c>
      <c r="S45" s="226" t="s">
        <v>221</v>
      </c>
      <c r="T45" s="218" t="s">
        <v>203</v>
      </c>
      <c r="U45" s="219" t="s">
        <v>204</v>
      </c>
      <c r="V45" s="220" t="s">
        <v>205</v>
      </c>
      <c r="W45" s="221" t="s">
        <v>206</v>
      </c>
      <c r="X45" s="221" t="s">
        <v>207</v>
      </c>
      <c r="Y45" s="221" t="s">
        <v>208</v>
      </c>
      <c r="Z45" s="222" t="s">
        <v>209</v>
      </c>
      <c r="AA45" s="218" t="s">
        <v>210</v>
      </c>
      <c r="AB45" s="223" t="s">
        <v>211</v>
      </c>
      <c r="AC45" s="223" t="s">
        <v>212</v>
      </c>
      <c r="AD45" s="223" t="s">
        <v>213</v>
      </c>
      <c r="AE45" s="223" t="s">
        <v>214</v>
      </c>
      <c r="AF45" s="223" t="s">
        <v>215</v>
      </c>
      <c r="AG45" s="223" t="s">
        <v>216</v>
      </c>
      <c r="AH45" s="223" t="s">
        <v>217</v>
      </c>
      <c r="AI45" s="223" t="s">
        <v>218</v>
      </c>
      <c r="AJ45" s="224" t="s">
        <v>219</v>
      </c>
      <c r="AK45" s="290">
        <f>AK42</f>
        <v>188</v>
      </c>
      <c r="AL45" s="291" t="s">
        <v>221</v>
      </c>
    </row>
    <row r="46" ht="39.75" customHeight="1">
      <c r="A46" s="227">
        <v>1.0</v>
      </c>
      <c r="B46" s="292" t="s">
        <v>76</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58</v>
      </c>
      <c r="S46" s="247">
        <f t="shared" ref="S46:S83" si="10">IF(G46="X",0,COUNT(H46:P46))</f>
        <v>1</v>
      </c>
      <c r="T46" s="300">
        <v>1.0</v>
      </c>
      <c r="U46" s="292" t="s">
        <v>62</v>
      </c>
      <c r="V46" s="293"/>
      <c r="W46" s="294" t="s">
        <v>222</v>
      </c>
      <c r="X46" s="294" t="s">
        <v>222</v>
      </c>
      <c r="Y46" s="294"/>
      <c r="Z46" s="295"/>
      <c r="AA46" s="296">
        <v>0.0</v>
      </c>
      <c r="AB46" s="297"/>
      <c r="AC46" s="297"/>
      <c r="AD46" s="297"/>
      <c r="AE46" s="297"/>
      <c r="AF46" s="297"/>
      <c r="AG46" s="297"/>
      <c r="AH46" s="297"/>
      <c r="AI46" s="298"/>
      <c r="AJ46" s="299">
        <f t="shared" ref="AJ46:AJ83" si="11">IF(ISBLANK(T46),"",IF(ISBLANK(Z46),SUM(AA46:AI46),0))</f>
        <v>0</v>
      </c>
      <c r="AK46" s="301">
        <f>IF(AJ46="","",AJ46+AK45+'OS Offset'!I46)</f>
        <v>188</v>
      </c>
      <c r="AL46" s="247">
        <f t="shared" ref="AL46:AL83" si="12">IF(Z46="X",0,COUNT(AA46:AI46))</f>
        <v>1</v>
      </c>
    </row>
    <row r="47" ht="39.75" customHeight="1">
      <c r="A47" s="239">
        <v>2.0</v>
      </c>
      <c r="B47" s="248" t="s">
        <v>102</v>
      </c>
      <c r="C47" s="239"/>
      <c r="D47" s="241" t="s">
        <v>222</v>
      </c>
      <c r="E47" s="241" t="s">
        <v>222</v>
      </c>
      <c r="F47" s="241"/>
      <c r="G47" s="242"/>
      <c r="H47" s="227">
        <v>4.0</v>
      </c>
      <c r="I47" s="243"/>
      <c r="J47" s="243"/>
      <c r="K47" s="243"/>
      <c r="L47" s="243"/>
      <c r="M47" s="243"/>
      <c r="N47" s="243"/>
      <c r="O47" s="243"/>
      <c r="P47" s="244"/>
      <c r="Q47" s="245">
        <f t="shared" si="9"/>
        <v>4</v>
      </c>
      <c r="R47" s="246">
        <f>IF(Q47="","",Q47+R46+'OS Offset'!B47)</f>
        <v>62</v>
      </c>
      <c r="S47" s="247">
        <f t="shared" si="10"/>
        <v>1</v>
      </c>
      <c r="T47" s="302">
        <v>2.0</v>
      </c>
      <c r="U47" s="248" t="s">
        <v>60</v>
      </c>
      <c r="V47" s="239"/>
      <c r="W47" s="241"/>
      <c r="X47" s="241"/>
      <c r="Y47" s="241"/>
      <c r="Z47" s="242"/>
      <c r="AA47" s="227">
        <v>4.0</v>
      </c>
      <c r="AB47" s="243">
        <v>0.0</v>
      </c>
      <c r="AC47" s="243"/>
      <c r="AD47" s="243"/>
      <c r="AE47" s="243"/>
      <c r="AF47" s="243"/>
      <c r="AG47" s="243"/>
      <c r="AH47" s="243"/>
      <c r="AI47" s="244"/>
      <c r="AJ47" s="245">
        <f t="shared" si="11"/>
        <v>4</v>
      </c>
      <c r="AK47" s="246">
        <f>IF(AJ47="","",AJ47+AK46+'OS Offset'!I47)</f>
        <v>192</v>
      </c>
      <c r="AL47" s="247">
        <f t="shared" si="12"/>
        <v>2</v>
      </c>
    </row>
    <row r="48" ht="39.75" customHeight="1">
      <c r="A48" s="303">
        <v>3.0</v>
      </c>
      <c r="B48" s="304" t="s">
        <v>121</v>
      </c>
      <c r="C48" s="227"/>
      <c r="D48" s="243"/>
      <c r="E48" s="243"/>
      <c r="F48" s="243"/>
      <c r="G48" s="250"/>
      <c r="H48" s="251">
        <v>2.0</v>
      </c>
      <c r="I48" s="252"/>
      <c r="J48" s="252"/>
      <c r="K48" s="252"/>
      <c r="L48" s="252"/>
      <c r="M48" s="252"/>
      <c r="N48" s="252"/>
      <c r="O48" s="252"/>
      <c r="P48" s="253"/>
      <c r="Q48" s="262">
        <f t="shared" si="9"/>
        <v>2</v>
      </c>
      <c r="R48" s="246">
        <f>IF(Q48="","",Q48+R47+'OS Offset'!B48)</f>
        <v>64</v>
      </c>
      <c r="S48" s="247">
        <f t="shared" si="10"/>
        <v>1</v>
      </c>
      <c r="T48" s="300">
        <v>3.0</v>
      </c>
      <c r="U48" s="304" t="s">
        <v>66</v>
      </c>
      <c r="V48" s="227"/>
      <c r="W48" s="243" t="s">
        <v>222</v>
      </c>
      <c r="X48" s="243" t="s">
        <v>222</v>
      </c>
      <c r="Y48" s="243"/>
      <c r="Z48" s="250"/>
      <c r="AA48" s="251">
        <v>4.0</v>
      </c>
      <c r="AB48" s="252">
        <v>4.0</v>
      </c>
      <c r="AC48" s="252">
        <v>4.0</v>
      </c>
      <c r="AD48" s="252"/>
      <c r="AE48" s="252"/>
      <c r="AF48" s="252"/>
      <c r="AG48" s="252"/>
      <c r="AH48" s="252"/>
      <c r="AI48" s="253"/>
      <c r="AJ48" s="305">
        <f t="shared" si="11"/>
        <v>12</v>
      </c>
      <c r="AK48" s="246">
        <f>IF(AJ48="","",AJ48+AK47+'OS Offset'!I48)</f>
        <v>204</v>
      </c>
      <c r="AL48" s="247">
        <f t="shared" si="12"/>
        <v>3</v>
      </c>
    </row>
    <row r="49" ht="39.75" customHeight="1">
      <c r="A49" s="239">
        <v>4.0</v>
      </c>
      <c r="B49" s="248" t="s">
        <v>60</v>
      </c>
      <c r="C49" s="239"/>
      <c r="D49" s="241"/>
      <c r="E49" s="241"/>
      <c r="F49" s="241"/>
      <c r="G49" s="242"/>
      <c r="H49" s="227">
        <v>0.0</v>
      </c>
      <c r="I49" s="243"/>
      <c r="J49" s="243"/>
      <c r="K49" s="243"/>
      <c r="L49" s="243"/>
      <c r="M49" s="243"/>
      <c r="N49" s="243"/>
      <c r="O49" s="243"/>
      <c r="P49" s="244"/>
      <c r="Q49" s="268">
        <f t="shared" si="9"/>
        <v>0</v>
      </c>
      <c r="R49" s="246">
        <f>IF(Q49="","",Q49+R48+'OS Offset'!B49)</f>
        <v>64</v>
      </c>
      <c r="S49" s="247">
        <f t="shared" si="10"/>
        <v>1</v>
      </c>
      <c r="T49" s="302">
        <v>4.0</v>
      </c>
      <c r="U49" s="248" t="s">
        <v>62</v>
      </c>
      <c r="V49" s="239"/>
      <c r="W49" s="241" t="s">
        <v>222</v>
      </c>
      <c r="X49" s="241" t="s">
        <v>222</v>
      </c>
      <c r="Y49" s="241"/>
      <c r="Z49" s="242"/>
      <c r="AA49" s="227">
        <v>4.0</v>
      </c>
      <c r="AB49" s="243"/>
      <c r="AC49" s="243"/>
      <c r="AD49" s="243"/>
      <c r="AE49" s="243"/>
      <c r="AF49" s="243"/>
      <c r="AG49" s="243"/>
      <c r="AH49" s="243"/>
      <c r="AI49" s="244"/>
      <c r="AJ49" s="245">
        <f t="shared" si="11"/>
        <v>4</v>
      </c>
      <c r="AK49" s="246">
        <f>IF(AJ49="","",AJ49+AK48+'OS Offset'!I49)</f>
        <v>208</v>
      </c>
      <c r="AL49" s="247">
        <f t="shared" si="12"/>
        <v>1</v>
      </c>
    </row>
    <row r="50" ht="39.75" customHeight="1">
      <c r="A50" s="303">
        <v>5.0</v>
      </c>
      <c r="B50" s="304" t="s">
        <v>76</v>
      </c>
      <c r="C50" s="227"/>
      <c r="D50" s="243"/>
      <c r="E50" s="243"/>
      <c r="F50" s="243"/>
      <c r="G50" s="250"/>
      <c r="H50" s="251">
        <v>0.0</v>
      </c>
      <c r="I50" s="252"/>
      <c r="J50" s="252"/>
      <c r="K50" s="252"/>
      <c r="L50" s="252"/>
      <c r="M50" s="252"/>
      <c r="N50" s="252"/>
      <c r="O50" s="252"/>
      <c r="P50" s="253"/>
      <c r="Q50" s="262">
        <f t="shared" si="9"/>
        <v>0</v>
      </c>
      <c r="R50" s="246">
        <f>IF(Q50="","",Q50+R49+'OS Offset'!B50)</f>
        <v>64</v>
      </c>
      <c r="S50" s="247">
        <f t="shared" si="10"/>
        <v>1</v>
      </c>
      <c r="T50" s="300">
        <v>5.0</v>
      </c>
      <c r="U50" s="304" t="s">
        <v>60</v>
      </c>
      <c r="V50" s="227"/>
      <c r="W50" s="243" t="s">
        <v>222</v>
      </c>
      <c r="X50" s="243" t="s">
        <v>222</v>
      </c>
      <c r="Y50" s="243"/>
      <c r="Z50" s="250"/>
      <c r="AA50" s="251">
        <v>4.0</v>
      </c>
      <c r="AB50" s="252"/>
      <c r="AC50" s="252"/>
      <c r="AD50" s="252"/>
      <c r="AE50" s="252"/>
      <c r="AF50" s="252"/>
      <c r="AG50" s="252"/>
      <c r="AH50" s="252"/>
      <c r="AI50" s="253"/>
      <c r="AJ50" s="305">
        <f t="shared" si="11"/>
        <v>4</v>
      </c>
      <c r="AK50" s="246">
        <f>IF(AJ50="","",AJ50+AK49+'OS Offset'!I50)</f>
        <v>212</v>
      </c>
      <c r="AL50" s="247">
        <f t="shared" si="12"/>
        <v>1</v>
      </c>
    </row>
    <row r="51" ht="39.75" customHeight="1">
      <c r="A51" s="239">
        <v>6.0</v>
      </c>
      <c r="B51" s="248" t="s">
        <v>102</v>
      </c>
      <c r="C51" s="239"/>
      <c r="D51" s="241"/>
      <c r="E51" s="241"/>
      <c r="F51" s="241"/>
      <c r="G51" s="242"/>
      <c r="H51" s="227">
        <v>4.0</v>
      </c>
      <c r="I51" s="243"/>
      <c r="J51" s="243"/>
      <c r="K51" s="243"/>
      <c r="L51" s="243"/>
      <c r="M51" s="243"/>
      <c r="N51" s="243"/>
      <c r="O51" s="243"/>
      <c r="P51" s="244"/>
      <c r="Q51" s="268">
        <f t="shared" si="9"/>
        <v>4</v>
      </c>
      <c r="R51" s="246">
        <f>IF(Q51="","",Q51+R50+'OS Offset'!B51)</f>
        <v>68</v>
      </c>
      <c r="S51" s="247">
        <f t="shared" si="10"/>
        <v>1</v>
      </c>
      <c r="T51" s="302">
        <v>6.0</v>
      </c>
      <c r="U51" s="248" t="s">
        <v>66</v>
      </c>
      <c r="V51" s="239" t="s">
        <v>222</v>
      </c>
      <c r="W51" s="241" t="s">
        <v>222</v>
      </c>
      <c r="X51" s="241"/>
      <c r="Y51" s="241"/>
      <c r="Z51" s="242"/>
      <c r="AA51" s="227">
        <v>4.0</v>
      </c>
      <c r="AB51" s="243">
        <v>4.0</v>
      </c>
      <c r="AC51" s="243"/>
      <c r="AD51" s="243"/>
      <c r="AE51" s="243"/>
      <c r="AF51" s="243"/>
      <c r="AG51" s="243"/>
      <c r="AH51" s="243"/>
      <c r="AI51" s="244"/>
      <c r="AJ51" s="245">
        <f t="shared" si="11"/>
        <v>8</v>
      </c>
      <c r="AK51" s="246">
        <f>IF(AJ51="","",AJ51+AK50+'OS Offset'!I51)</f>
        <v>220</v>
      </c>
      <c r="AL51" s="247">
        <f t="shared" si="12"/>
        <v>2</v>
      </c>
    </row>
    <row r="52" ht="39.75" customHeight="1">
      <c r="A52" s="303">
        <v>7.0</v>
      </c>
      <c r="B52" s="304" t="s">
        <v>121</v>
      </c>
      <c r="C52" s="227"/>
      <c r="D52" s="243"/>
      <c r="E52" s="243"/>
      <c r="F52" s="243"/>
      <c r="G52" s="250"/>
      <c r="H52" s="251">
        <v>0.0</v>
      </c>
      <c r="I52" s="252"/>
      <c r="J52" s="252"/>
      <c r="K52" s="252"/>
      <c r="L52" s="252"/>
      <c r="M52" s="252"/>
      <c r="N52" s="252"/>
      <c r="O52" s="252"/>
      <c r="P52" s="253"/>
      <c r="Q52" s="262">
        <f t="shared" si="9"/>
        <v>0</v>
      </c>
      <c r="R52" s="246">
        <f>IF(Q52="","",Q52+R51+'OS Offset'!B52)</f>
        <v>68</v>
      </c>
      <c r="S52" s="247">
        <f t="shared" si="10"/>
        <v>1</v>
      </c>
      <c r="T52" s="300">
        <v>7.0</v>
      </c>
      <c r="U52" s="304" t="s">
        <v>62</v>
      </c>
      <c r="V52" s="227"/>
      <c r="W52" s="243" t="s">
        <v>222</v>
      </c>
      <c r="X52" s="243" t="s">
        <v>222</v>
      </c>
      <c r="Y52" s="243"/>
      <c r="Z52" s="250"/>
      <c r="AA52" s="251">
        <v>4.0</v>
      </c>
      <c r="AB52" s="252"/>
      <c r="AC52" s="252"/>
      <c r="AD52" s="252"/>
      <c r="AE52" s="252"/>
      <c r="AF52" s="252"/>
      <c r="AG52" s="252"/>
      <c r="AH52" s="252"/>
      <c r="AI52" s="253"/>
      <c r="AJ52" s="305">
        <f t="shared" si="11"/>
        <v>4</v>
      </c>
      <c r="AK52" s="246">
        <f>IF(AJ52="","",AJ52+AK51+'OS Offset'!I52)</f>
        <v>224</v>
      </c>
      <c r="AL52" s="247">
        <f t="shared" si="12"/>
        <v>1</v>
      </c>
    </row>
    <row r="53" ht="39.75" customHeight="1">
      <c r="A53" s="239">
        <v>8.0</v>
      </c>
      <c r="B53" s="248" t="s">
        <v>60</v>
      </c>
      <c r="C53" s="239"/>
      <c r="D53" s="241"/>
      <c r="E53" s="241"/>
      <c r="F53" s="241"/>
      <c r="G53" s="242"/>
      <c r="H53" s="227">
        <v>0.0</v>
      </c>
      <c r="I53" s="243"/>
      <c r="J53" s="243"/>
      <c r="K53" s="243"/>
      <c r="L53" s="243"/>
      <c r="M53" s="243"/>
      <c r="N53" s="243"/>
      <c r="O53" s="243"/>
      <c r="P53" s="244"/>
      <c r="Q53" s="268">
        <f t="shared" si="9"/>
        <v>0</v>
      </c>
      <c r="R53" s="246">
        <f>IF(Q53="","",Q53+R52+'OS Offset'!B53)</f>
        <v>68</v>
      </c>
      <c r="S53" s="247">
        <f t="shared" si="10"/>
        <v>1</v>
      </c>
      <c r="T53" s="302">
        <v>8.0</v>
      </c>
      <c r="U53" s="248" t="s">
        <v>60</v>
      </c>
      <c r="V53" s="239"/>
      <c r="W53" s="241" t="s">
        <v>222</v>
      </c>
      <c r="X53" s="241" t="s">
        <v>222</v>
      </c>
      <c r="Y53" s="241"/>
      <c r="Z53" s="242"/>
      <c r="AA53" s="227">
        <v>4.0</v>
      </c>
      <c r="AB53" s="243"/>
      <c r="AC53" s="243"/>
      <c r="AD53" s="243"/>
      <c r="AE53" s="243"/>
      <c r="AF53" s="243"/>
      <c r="AG53" s="243"/>
      <c r="AH53" s="243"/>
      <c r="AI53" s="244"/>
      <c r="AJ53" s="245">
        <f t="shared" si="11"/>
        <v>4</v>
      </c>
      <c r="AK53" s="246">
        <f>IF(AJ53="","",AJ53+AK52+'OS Offset'!I53)</f>
        <v>228</v>
      </c>
      <c r="AL53" s="247">
        <f t="shared" si="12"/>
        <v>1</v>
      </c>
    </row>
    <row r="54" ht="39.75" customHeight="1">
      <c r="A54" s="303">
        <v>9.0</v>
      </c>
      <c r="B54" s="304" t="s">
        <v>76</v>
      </c>
      <c r="C54" s="227"/>
      <c r="D54" s="243" t="s">
        <v>222</v>
      </c>
      <c r="E54" s="243" t="s">
        <v>222</v>
      </c>
      <c r="F54" s="243"/>
      <c r="G54" s="250"/>
      <c r="H54" s="251">
        <v>4.0</v>
      </c>
      <c r="I54" s="252">
        <v>4.0</v>
      </c>
      <c r="J54" s="252">
        <v>4.0</v>
      </c>
      <c r="K54" s="252"/>
      <c r="L54" s="252"/>
      <c r="M54" s="252"/>
      <c r="N54" s="252"/>
      <c r="O54" s="252"/>
      <c r="P54" s="253"/>
      <c r="Q54" s="262">
        <f t="shared" si="9"/>
        <v>12</v>
      </c>
      <c r="R54" s="246">
        <f>IF(Q54="","",Q54+R53+'OS Offset'!B54)</f>
        <v>80</v>
      </c>
      <c r="S54" s="247">
        <f t="shared" si="10"/>
        <v>3</v>
      </c>
      <c r="T54" s="300">
        <v>9.0</v>
      </c>
      <c r="U54" s="304" t="s">
        <v>66</v>
      </c>
      <c r="V54" s="227"/>
      <c r="W54" s="243"/>
      <c r="X54" s="243"/>
      <c r="Y54" s="243"/>
      <c r="Z54" s="250" t="s">
        <v>222</v>
      </c>
      <c r="AA54" s="251"/>
      <c r="AB54" s="252"/>
      <c r="AC54" s="252"/>
      <c r="AD54" s="252"/>
      <c r="AE54" s="252"/>
      <c r="AF54" s="252"/>
      <c r="AG54" s="252"/>
      <c r="AH54" s="252"/>
      <c r="AI54" s="253"/>
      <c r="AJ54" s="305">
        <f t="shared" si="11"/>
        <v>0</v>
      </c>
      <c r="AK54" s="246">
        <f>IF(AJ54="","",AJ54+AK53+'OS Offset'!I54)</f>
        <v>228</v>
      </c>
      <c r="AL54" s="247">
        <f t="shared" si="12"/>
        <v>0</v>
      </c>
    </row>
    <row r="55" ht="39.75" customHeight="1">
      <c r="A55" s="239" t="s">
        <v>224</v>
      </c>
      <c r="B55" s="248"/>
      <c r="C55" s="239"/>
      <c r="D55" s="241"/>
      <c r="E55" s="241"/>
      <c r="F55" s="241"/>
      <c r="G55" s="242"/>
      <c r="H55" s="227"/>
      <c r="I55" s="243"/>
      <c r="J55" s="243"/>
      <c r="K55" s="243"/>
      <c r="L55" s="243"/>
      <c r="M55" s="243"/>
      <c r="N55" s="243"/>
      <c r="O55" s="243"/>
      <c r="P55" s="244"/>
      <c r="Q55" s="268">
        <f t="shared" si="9"/>
        <v>0</v>
      </c>
      <c r="R55" s="246">
        <f>IF(Q55="","",Q55+R54+'OS Offset'!B55)</f>
        <v>80</v>
      </c>
      <c r="S55" s="247">
        <f t="shared" si="10"/>
        <v>0</v>
      </c>
      <c r="T55" s="302" t="s">
        <v>223</v>
      </c>
      <c r="U55" s="248" t="s">
        <v>115</v>
      </c>
      <c r="V55" s="239"/>
      <c r="W55" s="241"/>
      <c r="X55" s="241"/>
      <c r="Y55" s="241"/>
      <c r="Z55" s="242"/>
      <c r="AA55" s="227">
        <v>4.0</v>
      </c>
      <c r="AB55" s="243">
        <v>0.0</v>
      </c>
      <c r="AC55" s="243"/>
      <c r="AD55" s="243"/>
      <c r="AE55" s="243"/>
      <c r="AF55" s="243"/>
      <c r="AG55" s="243"/>
      <c r="AH55" s="243"/>
      <c r="AI55" s="244"/>
      <c r="AJ55" s="245">
        <f t="shared" si="11"/>
        <v>4</v>
      </c>
      <c r="AK55" s="246">
        <f>IF(AJ55="","",AJ55+AK54+'OS Offset'!I55)</f>
        <v>232</v>
      </c>
      <c r="AL55" s="247">
        <f t="shared" si="12"/>
        <v>2</v>
      </c>
    </row>
    <row r="56" ht="39.75" customHeight="1">
      <c r="A56" s="303">
        <v>10.0</v>
      </c>
      <c r="B56" s="304" t="s">
        <v>102</v>
      </c>
      <c r="C56" s="227"/>
      <c r="D56" s="243"/>
      <c r="E56" s="243"/>
      <c r="F56" s="243"/>
      <c r="G56" s="250"/>
      <c r="H56" s="251">
        <v>4.0</v>
      </c>
      <c r="I56" s="252">
        <v>0.0</v>
      </c>
      <c r="J56" s="252"/>
      <c r="K56" s="252"/>
      <c r="L56" s="252"/>
      <c r="M56" s="252"/>
      <c r="N56" s="252"/>
      <c r="O56" s="252"/>
      <c r="P56" s="253"/>
      <c r="Q56" s="262">
        <f t="shared" si="9"/>
        <v>4</v>
      </c>
      <c r="R56" s="246">
        <f>IF(Q56="","",Q56+R55+'OS Offset'!B56)</f>
        <v>84</v>
      </c>
      <c r="S56" s="247">
        <f t="shared" si="10"/>
        <v>2</v>
      </c>
      <c r="T56" s="300">
        <v>10.0</v>
      </c>
      <c r="U56" s="304" t="s">
        <v>62</v>
      </c>
      <c r="V56" s="227"/>
      <c r="W56" s="243" t="s">
        <v>222</v>
      </c>
      <c r="X56" s="243"/>
      <c r="Y56" s="243"/>
      <c r="Z56" s="250"/>
      <c r="AA56" s="251">
        <v>4.0</v>
      </c>
      <c r="AB56" s="252">
        <v>4.0</v>
      </c>
      <c r="AC56" s="252"/>
      <c r="AD56" s="252"/>
      <c r="AE56" s="252"/>
      <c r="AF56" s="252"/>
      <c r="AG56" s="252"/>
      <c r="AH56" s="252"/>
      <c r="AI56" s="253"/>
      <c r="AJ56" s="305">
        <f t="shared" si="11"/>
        <v>8</v>
      </c>
      <c r="AK56" s="246">
        <f>IF(AJ56="","",AJ56+AK55+'OS Offset'!I56)</f>
        <v>240</v>
      </c>
      <c r="AL56" s="247">
        <f t="shared" si="12"/>
        <v>2</v>
      </c>
    </row>
    <row r="57" ht="39.75" customHeight="1">
      <c r="A57" s="239">
        <v>11.0</v>
      </c>
      <c r="B57" s="248" t="s">
        <v>121</v>
      </c>
      <c r="C57" s="239"/>
      <c r="D57" s="241"/>
      <c r="E57" s="241"/>
      <c r="F57" s="241"/>
      <c r="G57" s="242"/>
      <c r="H57" s="227">
        <v>0.0</v>
      </c>
      <c r="I57" s="243"/>
      <c r="J57" s="243"/>
      <c r="K57" s="243"/>
      <c r="L57" s="243"/>
      <c r="M57" s="243"/>
      <c r="N57" s="243"/>
      <c r="O57" s="243"/>
      <c r="P57" s="244"/>
      <c r="Q57" s="268">
        <f t="shared" si="9"/>
        <v>0</v>
      </c>
      <c r="R57" s="246">
        <f>IF(Q57="","",Q57+R56+'OS Offset'!B57)</f>
        <v>84</v>
      </c>
      <c r="S57" s="247">
        <f t="shared" si="10"/>
        <v>1</v>
      </c>
      <c r="T57" s="302">
        <v>11.0</v>
      </c>
      <c r="U57" s="248" t="s">
        <v>60</v>
      </c>
      <c r="V57" s="239"/>
      <c r="W57" s="241" t="s">
        <v>222</v>
      </c>
      <c r="X57" s="241" t="s">
        <v>222</v>
      </c>
      <c r="Y57" s="241"/>
      <c r="Z57" s="242"/>
      <c r="AA57" s="227">
        <v>4.0</v>
      </c>
      <c r="AB57" s="243"/>
      <c r="AC57" s="243"/>
      <c r="AD57" s="243"/>
      <c r="AE57" s="243"/>
      <c r="AF57" s="243"/>
      <c r="AG57" s="243"/>
      <c r="AH57" s="243"/>
      <c r="AI57" s="244"/>
      <c r="AJ57" s="245">
        <f t="shared" si="11"/>
        <v>4</v>
      </c>
      <c r="AK57" s="246">
        <f>IF(AJ57="","",AJ57+AK56+'OS Offset'!I57)</f>
        <v>244</v>
      </c>
      <c r="AL57" s="247">
        <f t="shared" si="12"/>
        <v>1</v>
      </c>
    </row>
    <row r="58" ht="39.75" customHeight="1">
      <c r="A58" s="303">
        <v>12.0</v>
      </c>
      <c r="B58" s="304" t="s">
        <v>60</v>
      </c>
      <c r="C58" s="227"/>
      <c r="D58" s="243"/>
      <c r="E58" s="243"/>
      <c r="F58" s="243"/>
      <c r="G58" s="250"/>
      <c r="H58" s="251">
        <v>0.0</v>
      </c>
      <c r="I58" s="252"/>
      <c r="J58" s="252"/>
      <c r="K58" s="252"/>
      <c r="L58" s="252"/>
      <c r="M58" s="252"/>
      <c r="N58" s="252"/>
      <c r="O58" s="252"/>
      <c r="P58" s="253"/>
      <c r="Q58" s="262">
        <f t="shared" si="9"/>
        <v>0</v>
      </c>
      <c r="R58" s="246">
        <f>IF(Q58="","",Q58+R57+'OS Offset'!B58)</f>
        <v>84</v>
      </c>
      <c r="S58" s="247">
        <f t="shared" si="10"/>
        <v>1</v>
      </c>
      <c r="T58" s="300">
        <v>12.0</v>
      </c>
      <c r="U58" s="304" t="s">
        <v>66</v>
      </c>
      <c r="V58" s="227"/>
      <c r="W58" s="243" t="s">
        <v>222</v>
      </c>
      <c r="X58" s="243"/>
      <c r="Y58" s="243"/>
      <c r="Z58" s="250"/>
      <c r="AA58" s="251">
        <v>0.0</v>
      </c>
      <c r="AB58" s="252"/>
      <c r="AC58" s="252"/>
      <c r="AD58" s="252"/>
      <c r="AE58" s="252"/>
      <c r="AF58" s="252"/>
      <c r="AG58" s="252"/>
      <c r="AH58" s="252"/>
      <c r="AI58" s="253"/>
      <c r="AJ58" s="305">
        <f t="shared" si="11"/>
        <v>0</v>
      </c>
      <c r="AK58" s="246">
        <f>IF(AJ58="","",AJ58+AK57+'OS Offset'!I58)</f>
        <v>244</v>
      </c>
      <c r="AL58" s="247">
        <f t="shared" si="12"/>
        <v>1</v>
      </c>
    </row>
    <row r="59" ht="39.75" customHeight="1">
      <c r="A59" s="239">
        <v>13.0</v>
      </c>
      <c r="B59" s="248" t="s">
        <v>76</v>
      </c>
      <c r="C59" s="239"/>
      <c r="D59" s="241"/>
      <c r="E59" s="241"/>
      <c r="F59" s="241"/>
      <c r="G59" s="242" t="s">
        <v>222</v>
      </c>
      <c r="H59" s="227"/>
      <c r="I59" s="243"/>
      <c r="J59" s="243"/>
      <c r="K59" s="243"/>
      <c r="L59" s="243"/>
      <c r="M59" s="243"/>
      <c r="N59" s="243"/>
      <c r="O59" s="243"/>
      <c r="P59" s="244"/>
      <c r="Q59" s="268">
        <f t="shared" si="9"/>
        <v>0</v>
      </c>
      <c r="R59" s="246">
        <f>IF(Q59="","",Q59+R58+'OS Offset'!B59)</f>
        <v>84</v>
      </c>
      <c r="S59" s="247">
        <f t="shared" si="10"/>
        <v>0</v>
      </c>
      <c r="T59" s="302">
        <v>13.0</v>
      </c>
      <c r="U59" s="248" t="s">
        <v>62</v>
      </c>
      <c r="V59" s="239"/>
      <c r="W59" s="241" t="s">
        <v>222</v>
      </c>
      <c r="X59" s="241" t="s">
        <v>222</v>
      </c>
      <c r="Y59" s="241"/>
      <c r="Z59" s="242"/>
      <c r="AA59" s="227">
        <v>4.0</v>
      </c>
      <c r="AB59" s="243">
        <v>4.0</v>
      </c>
      <c r="AC59" s="243">
        <v>4.0</v>
      </c>
      <c r="AD59" s="243">
        <v>4.0</v>
      </c>
      <c r="AE59" s="243"/>
      <c r="AF59" s="243"/>
      <c r="AG59" s="243"/>
      <c r="AH59" s="243"/>
      <c r="AI59" s="244"/>
      <c r="AJ59" s="245">
        <f t="shared" si="11"/>
        <v>16</v>
      </c>
      <c r="AK59" s="246">
        <f>IF(AJ59="","",AJ59+AK58+'OS Offset'!I59)</f>
        <v>260</v>
      </c>
      <c r="AL59" s="247">
        <f t="shared" si="12"/>
        <v>4</v>
      </c>
    </row>
    <row r="60" ht="39.75" customHeight="1">
      <c r="A60" s="303" t="s">
        <v>223</v>
      </c>
      <c r="B60" s="304" t="s">
        <v>119</v>
      </c>
      <c r="C60" s="227"/>
      <c r="D60" s="243"/>
      <c r="E60" s="243"/>
      <c r="F60" s="243"/>
      <c r="G60" s="250"/>
      <c r="H60" s="251">
        <v>0.0</v>
      </c>
      <c r="I60" s="252"/>
      <c r="J60" s="252"/>
      <c r="K60" s="252"/>
      <c r="L60" s="252"/>
      <c r="M60" s="252"/>
      <c r="N60" s="252"/>
      <c r="O60" s="252"/>
      <c r="P60" s="253"/>
      <c r="Q60" s="262">
        <f t="shared" si="9"/>
        <v>0</v>
      </c>
      <c r="R60" s="246">
        <f>IF(Q60="","",Q60+R59+'OS Offset'!B60)</f>
        <v>84</v>
      </c>
      <c r="S60" s="247">
        <f t="shared" si="10"/>
        <v>1</v>
      </c>
      <c r="T60" s="300" t="s">
        <v>224</v>
      </c>
      <c r="U60" s="304"/>
      <c r="V60" s="227"/>
      <c r="W60" s="243"/>
      <c r="X60" s="243"/>
      <c r="Y60" s="243"/>
      <c r="Z60" s="250"/>
      <c r="AA60" s="251"/>
      <c r="AB60" s="252"/>
      <c r="AC60" s="252"/>
      <c r="AD60" s="252"/>
      <c r="AE60" s="252"/>
      <c r="AF60" s="252"/>
      <c r="AG60" s="252"/>
      <c r="AH60" s="252"/>
      <c r="AI60" s="253"/>
      <c r="AJ60" s="305">
        <f t="shared" si="11"/>
        <v>0</v>
      </c>
      <c r="AK60" s="246">
        <f>IF(AJ60="","",AJ60+AK59+'OS Offset'!I60)</f>
        <v>260</v>
      </c>
      <c r="AL60" s="247">
        <f t="shared" si="12"/>
        <v>0</v>
      </c>
    </row>
    <row r="61" ht="39.75" customHeight="1">
      <c r="A61" s="239">
        <v>14.0</v>
      </c>
      <c r="B61" s="248" t="s">
        <v>102</v>
      </c>
      <c r="C61" s="239"/>
      <c r="D61" s="241"/>
      <c r="E61" s="241"/>
      <c r="F61" s="241"/>
      <c r="G61" s="242" t="s">
        <v>222</v>
      </c>
      <c r="H61" s="227"/>
      <c r="I61" s="243"/>
      <c r="J61" s="243"/>
      <c r="K61" s="243"/>
      <c r="L61" s="243"/>
      <c r="M61" s="243"/>
      <c r="N61" s="243"/>
      <c r="O61" s="243"/>
      <c r="P61" s="244"/>
      <c r="Q61" s="268">
        <f t="shared" si="9"/>
        <v>0</v>
      </c>
      <c r="R61" s="246">
        <f>IF(Q61="","",Q61+R60+'OS Offset'!B61)</f>
        <v>84</v>
      </c>
      <c r="S61" s="247">
        <f t="shared" si="10"/>
        <v>0</v>
      </c>
      <c r="T61" s="302">
        <v>14.0</v>
      </c>
      <c r="U61" s="248" t="s">
        <v>60</v>
      </c>
      <c r="V61" s="239"/>
      <c r="W61" s="241" t="s">
        <v>222</v>
      </c>
      <c r="X61" s="241"/>
      <c r="Y61" s="241"/>
      <c r="Z61" s="242"/>
      <c r="AA61" s="227">
        <v>4.0</v>
      </c>
      <c r="AB61" s="243">
        <v>4.0</v>
      </c>
      <c r="AC61" s="243">
        <v>0.0</v>
      </c>
      <c r="AD61" s="243"/>
      <c r="AE61" s="243"/>
      <c r="AF61" s="243"/>
      <c r="AG61" s="243"/>
      <c r="AH61" s="243"/>
      <c r="AI61" s="244"/>
      <c r="AJ61" s="245">
        <f t="shared" si="11"/>
        <v>8</v>
      </c>
      <c r="AK61" s="246">
        <f>IF(AJ61="","",AJ61+AK60+'OS Offset'!I61)</f>
        <v>268</v>
      </c>
      <c r="AL61" s="247">
        <f t="shared" si="12"/>
        <v>3</v>
      </c>
    </row>
    <row r="62" ht="39.75" customHeight="1">
      <c r="A62" s="303" t="s">
        <v>223</v>
      </c>
      <c r="B62" s="304" t="s">
        <v>123</v>
      </c>
      <c r="C62" s="227"/>
      <c r="D62" s="243"/>
      <c r="E62" s="243"/>
      <c r="F62" s="243"/>
      <c r="G62" s="250"/>
      <c r="H62" s="251">
        <v>4.0</v>
      </c>
      <c r="I62" s="252">
        <v>0.0</v>
      </c>
      <c r="J62" s="252"/>
      <c r="K62" s="252"/>
      <c r="L62" s="252"/>
      <c r="M62" s="252"/>
      <c r="N62" s="252"/>
      <c r="O62" s="252"/>
      <c r="P62" s="253"/>
      <c r="Q62" s="262">
        <f t="shared" si="9"/>
        <v>4</v>
      </c>
      <c r="R62" s="246">
        <f>IF(Q62="","",Q62+R61+'OS Offset'!B62)</f>
        <v>88</v>
      </c>
      <c r="S62" s="247">
        <f t="shared" si="10"/>
        <v>2</v>
      </c>
      <c r="T62" s="300" t="s">
        <v>224</v>
      </c>
      <c r="U62" s="304"/>
      <c r="V62" s="227"/>
      <c r="W62" s="243"/>
      <c r="X62" s="243"/>
      <c r="Y62" s="243"/>
      <c r="Z62" s="250"/>
      <c r="AA62" s="251"/>
      <c r="AB62" s="252"/>
      <c r="AC62" s="252"/>
      <c r="AD62" s="252"/>
      <c r="AE62" s="252"/>
      <c r="AF62" s="252"/>
      <c r="AG62" s="252"/>
      <c r="AH62" s="252"/>
      <c r="AI62" s="253"/>
      <c r="AJ62" s="305">
        <f t="shared" si="11"/>
        <v>0</v>
      </c>
      <c r="AK62" s="246">
        <f>IF(AJ62="","",AJ62+AK61+'OS Offset'!I62)</f>
        <v>268</v>
      </c>
      <c r="AL62" s="247">
        <f t="shared" si="12"/>
        <v>0</v>
      </c>
    </row>
    <row r="63" ht="39.75" customHeight="1">
      <c r="A63" s="239">
        <v>15.0</v>
      </c>
      <c r="B63" s="248" t="s">
        <v>121</v>
      </c>
      <c r="C63" s="239"/>
      <c r="D63" s="241"/>
      <c r="E63" s="241"/>
      <c r="F63" s="241"/>
      <c r="G63" s="242"/>
      <c r="H63" s="227">
        <v>4.0</v>
      </c>
      <c r="I63" s="243"/>
      <c r="J63" s="243"/>
      <c r="K63" s="243"/>
      <c r="L63" s="243"/>
      <c r="M63" s="243"/>
      <c r="N63" s="243"/>
      <c r="O63" s="243"/>
      <c r="P63" s="244"/>
      <c r="Q63" s="268">
        <f t="shared" si="9"/>
        <v>4</v>
      </c>
      <c r="R63" s="246">
        <f>IF(Q63="","",Q63+R62+'OS Offset'!B63)</f>
        <v>92</v>
      </c>
      <c r="S63" s="247">
        <f t="shared" si="10"/>
        <v>1</v>
      </c>
      <c r="T63" s="302">
        <v>15.0</v>
      </c>
      <c r="U63" s="248" t="s">
        <v>66</v>
      </c>
      <c r="V63" s="239" t="s">
        <v>222</v>
      </c>
      <c r="W63" s="241" t="s">
        <v>222</v>
      </c>
      <c r="X63" s="241"/>
      <c r="Y63" s="241"/>
      <c r="Z63" s="242"/>
      <c r="AA63" s="227">
        <v>4.0</v>
      </c>
      <c r="AB63" s="243">
        <v>4.0</v>
      </c>
      <c r="AC63" s="243"/>
      <c r="AD63" s="243"/>
      <c r="AE63" s="243"/>
      <c r="AF63" s="243"/>
      <c r="AG63" s="243"/>
      <c r="AH63" s="243"/>
      <c r="AI63" s="244"/>
      <c r="AJ63" s="245">
        <f t="shared" si="11"/>
        <v>8</v>
      </c>
      <c r="AK63" s="246">
        <f>IF(AJ63="","",AJ63+AK62+'OS Offset'!I63)</f>
        <v>276</v>
      </c>
      <c r="AL63" s="247">
        <f t="shared" si="12"/>
        <v>2</v>
      </c>
    </row>
    <row r="64" ht="39.75" customHeight="1">
      <c r="A64" s="303">
        <v>16.0</v>
      </c>
      <c r="B64" s="304" t="s">
        <v>121</v>
      </c>
      <c r="C64" s="227"/>
      <c r="D64" s="243"/>
      <c r="E64" s="243"/>
      <c r="F64" s="243"/>
      <c r="G64" s="250"/>
      <c r="H64" s="251">
        <v>3.0</v>
      </c>
      <c r="I64" s="252"/>
      <c r="J64" s="252"/>
      <c r="K64" s="252"/>
      <c r="L64" s="252"/>
      <c r="M64" s="252"/>
      <c r="N64" s="252"/>
      <c r="O64" s="252"/>
      <c r="P64" s="253"/>
      <c r="Q64" s="262">
        <f t="shared" si="9"/>
        <v>3</v>
      </c>
      <c r="R64" s="246">
        <f>IF(Q64="","",Q64+R63+'OS Offset'!B64)</f>
        <v>95</v>
      </c>
      <c r="S64" s="247">
        <f t="shared" si="10"/>
        <v>1</v>
      </c>
      <c r="T64" s="300">
        <v>16.0</v>
      </c>
      <c r="U64" s="304" t="s">
        <v>62</v>
      </c>
      <c r="V64" s="227"/>
      <c r="W64" s="243" t="s">
        <v>222</v>
      </c>
      <c r="X64" s="243" t="s">
        <v>222</v>
      </c>
      <c r="Y64" s="243"/>
      <c r="Z64" s="250"/>
      <c r="AA64" s="251">
        <v>4.0</v>
      </c>
      <c r="AB64" s="252">
        <v>4.0</v>
      </c>
      <c r="AC64" s="252">
        <v>4.0</v>
      </c>
      <c r="AD64" s="252">
        <v>4.0</v>
      </c>
      <c r="AE64" s="252"/>
      <c r="AF64" s="252"/>
      <c r="AG64" s="252"/>
      <c r="AH64" s="252"/>
      <c r="AI64" s="253"/>
      <c r="AJ64" s="305">
        <f t="shared" si="11"/>
        <v>16</v>
      </c>
      <c r="AK64" s="246">
        <f>IF(AJ64="","",AJ64+AK63+'OS Offset'!I64)</f>
        <v>292</v>
      </c>
      <c r="AL64" s="247">
        <f t="shared" si="12"/>
        <v>4</v>
      </c>
    </row>
    <row r="65" ht="39.75" customHeight="1">
      <c r="A65" s="239">
        <v>17.0</v>
      </c>
      <c r="B65" s="248" t="s">
        <v>60</v>
      </c>
      <c r="C65" s="239"/>
      <c r="D65" s="241"/>
      <c r="E65" s="241"/>
      <c r="F65" s="241"/>
      <c r="G65" s="242"/>
      <c r="H65" s="227">
        <v>4.0</v>
      </c>
      <c r="I65" s="243"/>
      <c r="J65" s="243"/>
      <c r="K65" s="243"/>
      <c r="L65" s="243"/>
      <c r="M65" s="243"/>
      <c r="N65" s="243"/>
      <c r="O65" s="243"/>
      <c r="P65" s="244"/>
      <c r="Q65" s="268">
        <f t="shared" si="9"/>
        <v>4</v>
      </c>
      <c r="R65" s="246">
        <f>IF(Q65="","",Q65+R64+'OS Offset'!B65)</f>
        <v>99</v>
      </c>
      <c r="S65" s="247">
        <f t="shared" si="10"/>
        <v>1</v>
      </c>
      <c r="T65" s="302">
        <v>17.0</v>
      </c>
      <c r="U65" s="248" t="s">
        <v>60</v>
      </c>
      <c r="V65" s="239"/>
      <c r="W65" s="241" t="s">
        <v>222</v>
      </c>
      <c r="X65" s="241" t="s">
        <v>222</v>
      </c>
      <c r="Y65" s="241"/>
      <c r="Z65" s="242"/>
      <c r="AA65" s="227">
        <v>2.0</v>
      </c>
      <c r="AB65" s="243"/>
      <c r="AC65" s="243"/>
      <c r="AD65" s="243"/>
      <c r="AE65" s="243"/>
      <c r="AF65" s="243"/>
      <c r="AG65" s="243"/>
      <c r="AH65" s="243"/>
      <c r="AI65" s="244"/>
      <c r="AJ65" s="245">
        <f t="shared" si="11"/>
        <v>2</v>
      </c>
      <c r="AK65" s="246">
        <f>IF(AJ65="","",AJ65+AK64+'OS Offset'!I65)</f>
        <v>294</v>
      </c>
      <c r="AL65" s="247">
        <f t="shared" si="12"/>
        <v>1</v>
      </c>
    </row>
    <row r="66" ht="39.75" customHeight="1">
      <c r="A66" s="303">
        <v>18.0</v>
      </c>
      <c r="B66" s="304" t="s">
        <v>76</v>
      </c>
      <c r="C66" s="227"/>
      <c r="D66" s="243"/>
      <c r="E66" s="243"/>
      <c r="F66" s="243"/>
      <c r="G66" s="250"/>
      <c r="H66" s="251">
        <v>0.0</v>
      </c>
      <c r="I66" s="252"/>
      <c r="J66" s="252"/>
      <c r="K66" s="252"/>
      <c r="L66" s="252"/>
      <c r="M66" s="252"/>
      <c r="N66" s="252"/>
      <c r="O66" s="252"/>
      <c r="P66" s="253"/>
      <c r="Q66" s="262">
        <f t="shared" si="9"/>
        <v>0</v>
      </c>
      <c r="R66" s="246">
        <f>IF(Q66="","",Q66+R65+'OS Offset'!B66)</f>
        <v>99</v>
      </c>
      <c r="S66" s="247">
        <f t="shared" si="10"/>
        <v>1</v>
      </c>
      <c r="T66" s="300">
        <v>18.0</v>
      </c>
      <c r="U66" s="304" t="s">
        <v>66</v>
      </c>
      <c r="V66" s="227"/>
      <c r="W66" s="243" t="s">
        <v>222</v>
      </c>
      <c r="X66" s="243" t="s">
        <v>222</v>
      </c>
      <c r="Y66" s="243"/>
      <c r="Z66" s="250"/>
      <c r="AA66" s="251">
        <v>3.0</v>
      </c>
      <c r="AB66" s="252"/>
      <c r="AC66" s="252"/>
      <c r="AD66" s="252"/>
      <c r="AE66" s="252"/>
      <c r="AF66" s="252"/>
      <c r="AG66" s="252"/>
      <c r="AH66" s="252"/>
      <c r="AI66" s="253"/>
      <c r="AJ66" s="305">
        <f t="shared" si="11"/>
        <v>3</v>
      </c>
      <c r="AK66" s="246">
        <f>IF(AJ66="","",AJ66+AK65+'OS Offset'!I66)</f>
        <v>297</v>
      </c>
      <c r="AL66" s="247">
        <f t="shared" si="12"/>
        <v>1</v>
      </c>
    </row>
    <row r="67" ht="39.75" customHeight="1">
      <c r="A67" s="239">
        <v>19.0</v>
      </c>
      <c r="B67" s="248" t="s">
        <v>102</v>
      </c>
      <c r="C67" s="239"/>
      <c r="D67" s="241"/>
      <c r="E67" s="241"/>
      <c r="F67" s="241"/>
      <c r="G67" s="242" t="s">
        <v>222</v>
      </c>
      <c r="H67" s="227"/>
      <c r="I67" s="243"/>
      <c r="J67" s="243"/>
      <c r="K67" s="243"/>
      <c r="L67" s="243"/>
      <c r="M67" s="243"/>
      <c r="N67" s="243"/>
      <c r="O67" s="243"/>
      <c r="P67" s="244"/>
      <c r="Q67" s="268">
        <f t="shared" si="9"/>
        <v>0</v>
      </c>
      <c r="R67" s="246">
        <f>IF(Q67="","",Q67+R66+'OS Offset'!B67)</f>
        <v>99</v>
      </c>
      <c r="S67" s="247">
        <f t="shared" si="10"/>
        <v>0</v>
      </c>
      <c r="T67" s="302">
        <v>19.0</v>
      </c>
      <c r="U67" s="248" t="s">
        <v>62</v>
      </c>
      <c r="V67" s="239"/>
      <c r="W67" s="241" t="s">
        <v>222</v>
      </c>
      <c r="X67" s="241" t="s">
        <v>222</v>
      </c>
      <c r="Y67" s="241"/>
      <c r="Z67" s="242"/>
      <c r="AA67" s="227">
        <v>4.0</v>
      </c>
      <c r="AB67" s="243">
        <v>4.0</v>
      </c>
      <c r="AC67" s="243">
        <v>4.0</v>
      </c>
      <c r="AD67" s="243">
        <v>4.0</v>
      </c>
      <c r="AE67" s="243">
        <v>0.0</v>
      </c>
      <c r="AF67" s="243"/>
      <c r="AG67" s="243"/>
      <c r="AH67" s="243"/>
      <c r="AI67" s="244"/>
      <c r="AJ67" s="245">
        <f t="shared" si="11"/>
        <v>16</v>
      </c>
      <c r="AK67" s="246">
        <f>IF(AJ67="","",AJ67+AK66+'OS Offset'!I67)</f>
        <v>313</v>
      </c>
      <c r="AL67" s="247">
        <f t="shared" si="12"/>
        <v>5</v>
      </c>
    </row>
    <row r="68" ht="39.75" customHeight="1">
      <c r="A68" s="303">
        <v>20.0</v>
      </c>
      <c r="B68" s="304" t="s">
        <v>121</v>
      </c>
      <c r="C68" s="227"/>
      <c r="D68" s="243"/>
      <c r="E68" s="243"/>
      <c r="F68" s="243"/>
      <c r="G68" s="250" t="s">
        <v>222</v>
      </c>
      <c r="H68" s="251"/>
      <c r="I68" s="252"/>
      <c r="J68" s="252"/>
      <c r="K68" s="252"/>
      <c r="L68" s="252"/>
      <c r="M68" s="252"/>
      <c r="N68" s="252"/>
      <c r="O68" s="252"/>
      <c r="P68" s="253"/>
      <c r="Q68" s="262">
        <f t="shared" si="9"/>
        <v>0</v>
      </c>
      <c r="R68" s="246">
        <f>IF(Q68="","",Q68+R67+'OS Offset'!B68)</f>
        <v>99</v>
      </c>
      <c r="S68" s="247">
        <f t="shared" si="10"/>
        <v>0</v>
      </c>
      <c r="T68" s="300">
        <v>20.0</v>
      </c>
      <c r="U68" s="304" t="s">
        <v>60</v>
      </c>
      <c r="V68" s="227"/>
      <c r="W68" s="243" t="s">
        <v>222</v>
      </c>
      <c r="X68" s="243" t="s">
        <v>222</v>
      </c>
      <c r="Y68" s="243"/>
      <c r="Z68" s="250"/>
      <c r="AA68" s="251">
        <v>4.0</v>
      </c>
      <c r="AB68" s="252">
        <v>4.0</v>
      </c>
      <c r="AC68" s="252">
        <v>0.0</v>
      </c>
      <c r="AD68" s="252"/>
      <c r="AE68" s="252"/>
      <c r="AF68" s="252"/>
      <c r="AG68" s="252"/>
      <c r="AH68" s="252"/>
      <c r="AI68" s="253"/>
      <c r="AJ68" s="305">
        <f t="shared" si="11"/>
        <v>8</v>
      </c>
      <c r="AK68" s="246">
        <f>IF(AJ68="","",AJ68+AK67+'OS Offset'!I68)</f>
        <v>321</v>
      </c>
      <c r="AL68" s="247">
        <f t="shared" si="12"/>
        <v>3</v>
      </c>
    </row>
    <row r="69" ht="39.75" customHeight="1">
      <c r="A69" s="239">
        <v>21.0</v>
      </c>
      <c r="B69" s="248" t="s">
        <v>60</v>
      </c>
      <c r="C69" s="239"/>
      <c r="D69" s="241" t="s">
        <v>222</v>
      </c>
      <c r="E69" s="241" t="s">
        <v>222</v>
      </c>
      <c r="F69" s="241"/>
      <c r="G69" s="242"/>
      <c r="H69" s="227">
        <v>4.0</v>
      </c>
      <c r="I69" s="243">
        <v>4.0</v>
      </c>
      <c r="J69" s="243">
        <v>1.0</v>
      </c>
      <c r="K69" s="243"/>
      <c r="L69" s="243"/>
      <c r="M69" s="243"/>
      <c r="N69" s="243"/>
      <c r="O69" s="243"/>
      <c r="P69" s="244"/>
      <c r="Q69" s="268">
        <f t="shared" si="9"/>
        <v>9</v>
      </c>
      <c r="R69" s="246">
        <f>IF(Q69="","",Q69+R68+'OS Offset'!B69)</f>
        <v>108</v>
      </c>
      <c r="S69" s="247">
        <f t="shared" si="10"/>
        <v>3</v>
      </c>
      <c r="T69" s="302">
        <v>21.0</v>
      </c>
      <c r="U69" s="248" t="s">
        <v>66</v>
      </c>
      <c r="V69" s="239"/>
      <c r="W69" s="241"/>
      <c r="X69" s="241"/>
      <c r="Y69" s="241"/>
      <c r="Z69" s="242" t="s">
        <v>222</v>
      </c>
      <c r="AA69" s="227"/>
      <c r="AB69" s="243"/>
      <c r="AC69" s="243"/>
      <c r="AD69" s="243"/>
      <c r="AE69" s="243"/>
      <c r="AF69" s="243"/>
      <c r="AG69" s="243"/>
      <c r="AH69" s="243"/>
      <c r="AI69" s="244"/>
      <c r="AJ69" s="245">
        <f t="shared" si="11"/>
        <v>0</v>
      </c>
      <c r="AK69" s="246">
        <f>IF(AJ69="","",AJ69+AK68+'OS Offset'!I69)</f>
        <v>321</v>
      </c>
      <c r="AL69" s="247">
        <f t="shared" si="12"/>
        <v>0</v>
      </c>
    </row>
    <row r="70" ht="39.75" customHeight="1">
      <c r="A70" s="303" t="s">
        <v>224</v>
      </c>
      <c r="B70" s="304"/>
      <c r="C70" s="227"/>
      <c r="D70" s="243"/>
      <c r="E70" s="243"/>
      <c r="F70" s="243"/>
      <c r="G70" s="250"/>
      <c r="H70" s="251"/>
      <c r="I70" s="252"/>
      <c r="J70" s="252"/>
      <c r="K70" s="252"/>
      <c r="L70" s="252"/>
      <c r="M70" s="252"/>
      <c r="N70" s="252"/>
      <c r="O70" s="252"/>
      <c r="P70" s="253"/>
      <c r="Q70" s="262">
        <f t="shared" si="9"/>
        <v>0</v>
      </c>
      <c r="R70" s="246">
        <f>IF(Q70="","",Q70+R69+'OS Offset'!B70)</f>
        <v>108</v>
      </c>
      <c r="S70" s="247">
        <f t="shared" si="10"/>
        <v>0</v>
      </c>
      <c r="T70" s="300" t="s">
        <v>223</v>
      </c>
      <c r="U70" s="304" t="s">
        <v>115</v>
      </c>
      <c r="V70" s="227"/>
      <c r="W70" s="243"/>
      <c r="X70" s="243"/>
      <c r="Y70" s="243"/>
      <c r="Z70" s="250"/>
      <c r="AA70" s="251">
        <v>0.0</v>
      </c>
      <c r="AB70" s="252"/>
      <c r="AC70" s="252"/>
      <c r="AD70" s="252"/>
      <c r="AE70" s="252"/>
      <c r="AF70" s="252"/>
      <c r="AG70" s="252"/>
      <c r="AH70" s="252"/>
      <c r="AI70" s="253"/>
      <c r="AJ70" s="305">
        <f t="shared" si="11"/>
        <v>0</v>
      </c>
      <c r="AK70" s="246">
        <f>IF(AJ70="","",AJ70+AK69+'OS Offset'!I70)</f>
        <v>321</v>
      </c>
      <c r="AL70" s="247">
        <f t="shared" si="12"/>
        <v>1</v>
      </c>
    </row>
    <row r="71" ht="39.75" customHeight="1">
      <c r="A71" s="239">
        <v>22.0</v>
      </c>
      <c r="B71" s="248" t="s">
        <v>76</v>
      </c>
      <c r="C71" s="239"/>
      <c r="D71" s="241" t="s">
        <v>222</v>
      </c>
      <c r="E71" s="241" t="s">
        <v>222</v>
      </c>
      <c r="F71" s="241"/>
      <c r="G71" s="242"/>
      <c r="H71" s="227">
        <v>4.0</v>
      </c>
      <c r="I71" s="243">
        <v>4.0</v>
      </c>
      <c r="J71" s="243">
        <v>4.0</v>
      </c>
      <c r="K71" s="243"/>
      <c r="L71" s="243"/>
      <c r="M71" s="243"/>
      <c r="N71" s="243"/>
      <c r="O71" s="243"/>
      <c r="P71" s="244"/>
      <c r="Q71" s="268">
        <f t="shared" si="9"/>
        <v>12</v>
      </c>
      <c r="R71" s="246">
        <f>IF(Q71="","",Q71+R70+'OS Offset'!B71)</f>
        <v>120</v>
      </c>
      <c r="S71" s="247">
        <f t="shared" si="10"/>
        <v>3</v>
      </c>
      <c r="T71" s="302">
        <v>22.0</v>
      </c>
      <c r="U71" s="248" t="s">
        <v>62</v>
      </c>
      <c r="V71" s="239"/>
      <c r="W71" s="241"/>
      <c r="X71" s="241"/>
      <c r="Y71" s="241"/>
      <c r="Z71" s="242"/>
      <c r="AA71" s="227">
        <v>0.0</v>
      </c>
      <c r="AB71" s="243"/>
      <c r="AC71" s="243"/>
      <c r="AD71" s="243"/>
      <c r="AE71" s="243"/>
      <c r="AF71" s="243"/>
      <c r="AG71" s="243"/>
      <c r="AH71" s="243"/>
      <c r="AI71" s="244"/>
      <c r="AJ71" s="245">
        <f t="shared" si="11"/>
        <v>0</v>
      </c>
      <c r="AK71" s="246">
        <f>IF(AJ71="","",AJ71+AK70+'OS Offset'!I71)</f>
        <v>321</v>
      </c>
      <c r="AL71" s="247">
        <f t="shared" si="12"/>
        <v>1</v>
      </c>
    </row>
    <row r="72" ht="39.75" customHeight="1">
      <c r="A72" s="303">
        <v>23.0</v>
      </c>
      <c r="B72" s="304" t="s">
        <v>102</v>
      </c>
      <c r="C72" s="227"/>
      <c r="D72" s="243"/>
      <c r="E72" s="243"/>
      <c r="F72" s="243"/>
      <c r="G72" s="250" t="s">
        <v>222</v>
      </c>
      <c r="H72" s="251"/>
      <c r="I72" s="252"/>
      <c r="J72" s="252"/>
      <c r="K72" s="252"/>
      <c r="L72" s="252"/>
      <c r="M72" s="252"/>
      <c r="N72" s="252"/>
      <c r="O72" s="252"/>
      <c r="P72" s="253"/>
      <c r="Q72" s="262">
        <f t="shared" si="9"/>
        <v>0</v>
      </c>
      <c r="R72" s="246">
        <f>IF(Q72="","",Q72+R71+'OS Offset'!B72)</f>
        <v>120</v>
      </c>
      <c r="S72" s="247">
        <f t="shared" si="10"/>
        <v>0</v>
      </c>
      <c r="T72" s="300">
        <v>23.0</v>
      </c>
      <c r="U72" s="304" t="s">
        <v>60</v>
      </c>
      <c r="V72" s="227"/>
      <c r="W72" s="243" t="s">
        <v>222</v>
      </c>
      <c r="X72" s="243" t="s">
        <v>222</v>
      </c>
      <c r="Y72" s="243"/>
      <c r="Z72" s="250"/>
      <c r="AA72" s="251">
        <v>4.0</v>
      </c>
      <c r="AB72" s="252">
        <v>4.0</v>
      </c>
      <c r="AC72" s="252">
        <v>4.0</v>
      </c>
      <c r="AD72" s="252">
        <v>4.0</v>
      </c>
      <c r="AE72" s="252"/>
      <c r="AF72" s="252"/>
      <c r="AG72" s="252"/>
      <c r="AH72" s="252"/>
      <c r="AI72" s="253"/>
      <c r="AJ72" s="305">
        <f t="shared" si="11"/>
        <v>16</v>
      </c>
      <c r="AK72" s="246">
        <f>IF(AJ72="","",AJ72+AK71+'OS Offset'!I72)</f>
        <v>337</v>
      </c>
      <c r="AL72" s="247">
        <f t="shared" si="12"/>
        <v>4</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23</v>
      </c>
      <c r="B84" s="274" t="s">
        <v>225</v>
      </c>
      <c r="C84" s="284">
        <f t="shared" ref="C84:G84" si="13">IF($A$84="","",COUNTIF(C$46:C$83, "X"))</f>
        <v>0</v>
      </c>
      <c r="D84" s="276">
        <f t="shared" si="13"/>
        <v>4</v>
      </c>
      <c r="E84" s="276">
        <f t="shared" si="13"/>
        <v>4</v>
      </c>
      <c r="F84" s="276">
        <f t="shared" si="13"/>
        <v>0</v>
      </c>
      <c r="G84" s="307">
        <f t="shared" si="13"/>
        <v>5</v>
      </c>
      <c r="H84" s="277">
        <f t="shared" ref="H84:Q84" si="14">IF(COUNT(H46:H83),SUM(H46:H83),"")</f>
        <v>41</v>
      </c>
      <c r="I84" s="278">
        <f t="shared" si="14"/>
        <v>12</v>
      </c>
      <c r="J84" s="278">
        <f t="shared" si="14"/>
        <v>9</v>
      </c>
      <c r="K84" s="278" t="str">
        <f t="shared" si="14"/>
        <v/>
      </c>
      <c r="L84" s="278" t="str">
        <f t="shared" si="14"/>
        <v/>
      </c>
      <c r="M84" s="278" t="str">
        <f t="shared" si="14"/>
        <v/>
      </c>
      <c r="N84" s="278" t="str">
        <f t="shared" si="14"/>
        <v/>
      </c>
      <c r="O84" s="278" t="str">
        <f t="shared" si="14"/>
        <v/>
      </c>
      <c r="P84" s="308" t="str">
        <f t="shared" si="14"/>
        <v/>
      </c>
      <c r="Q84" s="280">
        <f t="shared" si="14"/>
        <v>62</v>
      </c>
      <c r="R84" s="281">
        <f>IF(A84="","",MAX(R46:R83))</f>
        <v>120</v>
      </c>
      <c r="S84" s="309"/>
      <c r="T84" s="273">
        <f>IF(COUNT(T46:T83),COUNT(T46:T83),"")</f>
        <v>23</v>
      </c>
      <c r="U84" s="274" t="s">
        <v>225</v>
      </c>
      <c r="V84" s="275">
        <f t="shared" ref="V84:Z84" si="15">IF($T$84="","",COUNTIF(V$46:V$83, "X"))</f>
        <v>2</v>
      </c>
      <c r="W84" s="276">
        <f t="shared" si="15"/>
        <v>19</v>
      </c>
      <c r="X84" s="276">
        <f t="shared" si="15"/>
        <v>14</v>
      </c>
      <c r="Y84" s="276">
        <f t="shared" si="15"/>
        <v>0</v>
      </c>
      <c r="Z84" s="276">
        <f t="shared" si="15"/>
        <v>2</v>
      </c>
      <c r="AA84" s="277">
        <f t="shared" ref="AA84:AJ84" si="16">IF(COUNT(AA46:AA83),SUM(AA46:AA83),"")</f>
        <v>73</v>
      </c>
      <c r="AB84" s="278">
        <f t="shared" si="16"/>
        <v>40</v>
      </c>
      <c r="AC84" s="278">
        <f t="shared" si="16"/>
        <v>20</v>
      </c>
      <c r="AD84" s="278">
        <f t="shared" si="16"/>
        <v>16</v>
      </c>
      <c r="AE84" s="278">
        <f t="shared" si="16"/>
        <v>0</v>
      </c>
      <c r="AF84" s="278" t="str">
        <f t="shared" si="16"/>
        <v/>
      </c>
      <c r="AG84" s="278" t="str">
        <f t="shared" si="16"/>
        <v/>
      </c>
      <c r="AH84" s="278" t="str">
        <f t="shared" si="16"/>
        <v/>
      </c>
      <c r="AI84" s="308" t="str">
        <f t="shared" si="16"/>
        <v/>
      </c>
      <c r="AJ84" s="310">
        <f t="shared" si="16"/>
        <v>149</v>
      </c>
      <c r="AK84" s="281">
        <f>IF(T84="","",MAX(AK46:AK83))</f>
        <v>337</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Tiger Bay Brawlers / Challengers</v>
      </c>
      <c r="B1" s="204"/>
      <c r="C1" s="204"/>
      <c r="D1" s="204"/>
      <c r="E1" s="204"/>
      <c r="F1" s="204"/>
      <c r="G1" s="204"/>
      <c r="H1" s="205"/>
      <c r="I1" s="206" t="str">
        <f>IF(ISBLANK(IGRF!$B$12), "", IGRF!$B$12)</f>
        <v>Orange</v>
      </c>
      <c r="J1" s="151"/>
      <c r="K1" s="151"/>
      <c r="L1" s="313">
        <f>IF(ISBLANK(IGRF!$B$7), "", IGRF!$B$7)</f>
        <v>45220</v>
      </c>
      <c r="M1" s="210"/>
      <c r="N1" s="208" t="s">
        <v>227</v>
      </c>
      <c r="O1" s="151"/>
      <c r="P1" s="151"/>
      <c r="Q1" s="312" t="str">
        <f>Score!$T$1</f>
        <v>Dublin Roller Derby / The Be Grands</v>
      </c>
      <c r="R1" s="204"/>
      <c r="S1" s="204"/>
      <c r="T1" s="204"/>
      <c r="U1" s="204"/>
      <c r="V1" s="204"/>
      <c r="W1" s="204"/>
      <c r="X1" s="204"/>
      <c r="Y1" s="205"/>
      <c r="Z1" s="206" t="str">
        <f>IF(ISBLANK(IGRF!$I$12), "", IGRF!$I$12)</f>
        <v>Blue</v>
      </c>
      <c r="AA1" s="151"/>
      <c r="AB1" s="314">
        <v>1.0</v>
      </c>
      <c r="AC1" s="312" t="str">
        <f>A1</f>
        <v>Tiger Bay Brawlers / Challengers</v>
      </c>
      <c r="AD1" s="204"/>
      <c r="AE1" s="204"/>
      <c r="AF1" s="204"/>
      <c r="AG1" s="204"/>
      <c r="AH1" s="204"/>
      <c r="AI1" s="204"/>
      <c r="AJ1" s="205"/>
      <c r="AK1" s="206" t="str">
        <f>I1</f>
        <v>Orange</v>
      </c>
      <c r="AL1" s="151"/>
      <c r="AM1" s="151"/>
      <c r="AN1" s="313">
        <f>L1</f>
        <v>45220</v>
      </c>
      <c r="AO1" s="210"/>
      <c r="AP1" s="208"/>
      <c r="AQ1" s="151"/>
      <c r="AR1" s="151"/>
      <c r="AS1" s="312" t="str">
        <f>Q1</f>
        <v>Dublin Roller Derby / The Be Grands</v>
      </c>
      <c r="AT1" s="204"/>
      <c r="AU1" s="204"/>
      <c r="AV1" s="204"/>
      <c r="AW1" s="204"/>
      <c r="AX1" s="204"/>
      <c r="AY1" s="204"/>
      <c r="AZ1" s="204"/>
      <c r="BA1" s="205"/>
      <c r="BB1" s="206" t="str">
        <f>Z1</f>
        <v>Blue</v>
      </c>
      <c r="BC1" s="151"/>
      <c r="BD1" s="314">
        <v>2.0</v>
      </c>
    </row>
    <row r="2" ht="15.0" customHeight="1">
      <c r="A2" s="315"/>
      <c r="B2" s="316"/>
      <c r="C2" s="316"/>
      <c r="D2" s="316"/>
      <c r="E2" s="316"/>
      <c r="F2" s="316"/>
      <c r="G2" s="316"/>
      <c r="H2" s="317"/>
      <c r="I2" s="318" t="s">
        <v>200</v>
      </c>
      <c r="L2" s="319" t="s">
        <v>201</v>
      </c>
      <c r="M2" s="320"/>
      <c r="N2" s="321" t="s">
        <v>161</v>
      </c>
      <c r="Q2" s="315"/>
      <c r="R2" s="316"/>
      <c r="S2" s="316"/>
      <c r="T2" s="316"/>
      <c r="U2" s="316"/>
      <c r="V2" s="316"/>
      <c r="W2" s="316"/>
      <c r="X2" s="316"/>
      <c r="Y2" s="317"/>
      <c r="Z2" s="322" t="s">
        <v>200</v>
      </c>
      <c r="AA2" s="147"/>
      <c r="AB2" s="323" t="str">
        <f>IF(ISBLANK(IGRF!$L$3), "", "GAME " &amp; IGRF!$L$3)</f>
        <v>GAME 1</v>
      </c>
      <c r="AC2" s="315"/>
      <c r="AD2" s="316"/>
      <c r="AE2" s="316"/>
      <c r="AF2" s="316"/>
      <c r="AG2" s="316"/>
      <c r="AH2" s="316"/>
      <c r="AI2" s="316"/>
      <c r="AJ2" s="317"/>
      <c r="AK2" s="318" t="s">
        <v>200</v>
      </c>
      <c r="AN2" s="319" t="s">
        <v>201</v>
      </c>
      <c r="AO2" s="320"/>
      <c r="AP2" s="321" t="s">
        <v>161</v>
      </c>
      <c r="AS2" s="315"/>
      <c r="AT2" s="316"/>
      <c r="AU2" s="316"/>
      <c r="AV2" s="316"/>
      <c r="AW2" s="316"/>
      <c r="AX2" s="316"/>
      <c r="AY2" s="316"/>
      <c r="AZ2" s="316"/>
      <c r="BA2" s="317"/>
      <c r="BB2" s="322" t="s">
        <v>200</v>
      </c>
      <c r="BC2" s="147"/>
      <c r="BD2" s="323" t="str">
        <f>AB2</f>
        <v>GAME 1</v>
      </c>
    </row>
    <row r="3" ht="15.0" customHeight="1">
      <c r="A3" s="324" t="s">
        <v>228</v>
      </c>
      <c r="B3" s="325" t="s">
        <v>229</v>
      </c>
      <c r="C3" s="45"/>
      <c r="D3" s="45"/>
      <c r="E3" s="45"/>
      <c r="F3" s="45"/>
      <c r="G3" s="45"/>
      <c r="H3" s="45"/>
      <c r="I3" s="45"/>
      <c r="J3" s="138"/>
      <c r="K3" s="326" t="s">
        <v>230</v>
      </c>
      <c r="L3" s="327" t="s">
        <v>231</v>
      </c>
      <c r="M3" s="325" t="s">
        <v>232</v>
      </c>
      <c r="N3" s="45"/>
      <c r="O3" s="138"/>
      <c r="P3" s="327" t="s">
        <v>228</v>
      </c>
      <c r="Q3" s="325" t="s">
        <v>229</v>
      </c>
      <c r="R3" s="45"/>
      <c r="S3" s="45"/>
      <c r="T3" s="45"/>
      <c r="U3" s="45"/>
      <c r="V3" s="45"/>
      <c r="W3" s="45"/>
      <c r="X3" s="45"/>
      <c r="Y3" s="138"/>
      <c r="Z3" s="326" t="s">
        <v>230</v>
      </c>
      <c r="AA3" s="328" t="s">
        <v>231</v>
      </c>
      <c r="AB3" s="329" t="s">
        <v>233</v>
      </c>
      <c r="AC3" s="330" t="s">
        <v>228</v>
      </c>
      <c r="AD3" s="331" t="s">
        <v>229</v>
      </c>
      <c r="AE3" s="8"/>
      <c r="AF3" s="8"/>
      <c r="AG3" s="8"/>
      <c r="AH3" s="8"/>
      <c r="AI3" s="8"/>
      <c r="AJ3" s="8"/>
      <c r="AK3" s="8"/>
      <c r="AL3" s="9"/>
      <c r="AM3" s="332" t="s">
        <v>230</v>
      </c>
      <c r="AN3" s="333" t="s">
        <v>231</v>
      </c>
      <c r="AO3" s="331" t="s">
        <v>232</v>
      </c>
      <c r="AP3" s="8"/>
      <c r="AQ3" s="9"/>
      <c r="AR3" s="333" t="s">
        <v>228</v>
      </c>
      <c r="AS3" s="331" t="s">
        <v>229</v>
      </c>
      <c r="AT3" s="8"/>
      <c r="AU3" s="8"/>
      <c r="AV3" s="8"/>
      <c r="AW3" s="8"/>
      <c r="AX3" s="8"/>
      <c r="AY3" s="8"/>
      <c r="AZ3" s="8"/>
      <c r="BA3" s="9"/>
      <c r="BB3" s="332" t="s">
        <v>230</v>
      </c>
      <c r="BC3" s="333" t="s">
        <v>231</v>
      </c>
      <c r="BD3" s="329" t="s">
        <v>233</v>
      </c>
    </row>
    <row r="4" ht="18.75" customHeight="1">
      <c r="A4" s="334" t="str">
        <f>IF(IGRF!B14="","",IGRF!B14)</f>
        <v>04</v>
      </c>
      <c r="B4" s="335" t="s">
        <v>234</v>
      </c>
      <c r="C4" s="336"/>
      <c r="D4" s="336"/>
      <c r="E4" s="336"/>
      <c r="F4" s="336"/>
      <c r="G4" s="337"/>
      <c r="H4" s="338"/>
      <c r="I4" s="339"/>
      <c r="J4" s="340"/>
      <c r="K4" s="341"/>
      <c r="L4" s="342">
        <f>IF(COUNTA(B4:J4)=0,"",COUNTA(B4:J4))</f>
        <v>1</v>
      </c>
      <c r="M4" s="343">
        <v>1.0</v>
      </c>
      <c r="N4" s="344"/>
      <c r="O4" s="345"/>
      <c r="P4" s="334" t="str">
        <f>IF(IGRF!I14="","",IGRF!I14)</f>
        <v>040</v>
      </c>
      <c r="Q4" s="335"/>
      <c r="R4" s="336"/>
      <c r="S4" s="336"/>
      <c r="T4" s="336"/>
      <c r="U4" s="336"/>
      <c r="V4" s="337"/>
      <c r="W4" s="338"/>
      <c r="X4" s="339"/>
      <c r="Y4" s="340"/>
      <c r="Z4" s="341"/>
      <c r="AA4" s="346" t="str">
        <f>IF(COUNTA(Q4:Y4)=0,"",COUNTA(Q4:Y4))</f>
        <v/>
      </c>
      <c r="AB4" s="347" t="s">
        <v>235</v>
      </c>
      <c r="AC4" s="334" t="str">
        <f>IF(IGRF!B14="","",IGRF!B14)</f>
        <v>04</v>
      </c>
      <c r="AD4" s="339"/>
      <c r="AE4" s="336"/>
      <c r="AF4" s="336"/>
      <c r="AG4" s="336"/>
      <c r="AH4" s="336"/>
      <c r="AI4" s="337"/>
      <c r="AJ4" s="338"/>
      <c r="AK4" s="339"/>
      <c r="AL4" s="340"/>
      <c r="AM4" s="341"/>
      <c r="AN4" s="342" t="str">
        <f>IF(COUNTA(AD4:AL4)=0,"",COUNTA(AD4:AL4))</f>
        <v/>
      </c>
      <c r="AO4" s="343">
        <v>1.0</v>
      </c>
      <c r="AP4" s="344"/>
      <c r="AQ4" s="345"/>
      <c r="AR4" s="348" t="str">
        <f>IF(IGRF!I14="","",IGRF!I14)</f>
        <v>040</v>
      </c>
      <c r="AS4" s="335"/>
      <c r="AT4" s="336"/>
      <c r="AU4" s="336"/>
      <c r="AV4" s="336"/>
      <c r="AW4" s="336"/>
      <c r="AX4" s="337"/>
      <c r="AY4" s="338"/>
      <c r="AZ4" s="339"/>
      <c r="BA4" s="340"/>
      <c r="BB4" s="341"/>
      <c r="BC4" s="342" t="str">
        <f>IF(COUNTA(AS4:BA4)=0,"",COUNTA(AS4:BA4))</f>
        <v/>
      </c>
      <c r="BD4" s="347" t="s">
        <v>235</v>
      </c>
    </row>
    <row r="5" ht="18.75" customHeight="1">
      <c r="A5" s="349"/>
      <c r="B5" s="350">
        <v>12.0</v>
      </c>
      <c r="C5" s="351"/>
      <c r="D5" s="351"/>
      <c r="E5" s="351"/>
      <c r="F5" s="351"/>
      <c r="G5" s="352"/>
      <c r="H5" s="353"/>
      <c r="I5" s="354"/>
      <c r="J5" s="355"/>
      <c r="K5" s="356"/>
      <c r="L5" s="349"/>
      <c r="M5" s="357">
        <v>2.0</v>
      </c>
      <c r="N5" s="8"/>
      <c r="O5" s="160"/>
      <c r="P5" s="349"/>
      <c r="Q5" s="350"/>
      <c r="R5" s="351"/>
      <c r="S5" s="351"/>
      <c r="T5" s="351"/>
      <c r="U5" s="351"/>
      <c r="V5" s="352"/>
      <c r="W5" s="353"/>
      <c r="X5" s="354"/>
      <c r="Y5" s="355"/>
      <c r="Z5" s="356"/>
      <c r="AA5" s="155"/>
      <c r="AB5" s="358" t="s">
        <v>236</v>
      </c>
      <c r="AC5" s="349"/>
      <c r="AD5" s="354"/>
      <c r="AE5" s="351"/>
      <c r="AF5" s="351"/>
      <c r="AG5" s="351"/>
      <c r="AH5" s="351"/>
      <c r="AI5" s="352"/>
      <c r="AJ5" s="353"/>
      <c r="AK5" s="354"/>
      <c r="AL5" s="355"/>
      <c r="AM5" s="356"/>
      <c r="AN5" s="349"/>
      <c r="AO5" s="357">
        <v>2.0</v>
      </c>
      <c r="AP5" s="8"/>
      <c r="AQ5" s="160"/>
      <c r="AR5" s="69"/>
      <c r="AS5" s="350"/>
      <c r="AT5" s="351"/>
      <c r="AU5" s="351"/>
      <c r="AV5" s="351"/>
      <c r="AW5" s="351"/>
      <c r="AX5" s="352"/>
      <c r="AY5" s="353"/>
      <c r="AZ5" s="354"/>
      <c r="BA5" s="355"/>
      <c r="BB5" s="356"/>
      <c r="BC5" s="349"/>
      <c r="BD5" s="358" t="s">
        <v>236</v>
      </c>
    </row>
    <row r="6" ht="18.75" customHeight="1">
      <c r="A6" s="359" t="str">
        <f>IF(IGRF!B15="","",IGRF!B15)</f>
        <v>16</v>
      </c>
      <c r="B6" s="360" t="s">
        <v>237</v>
      </c>
      <c r="C6" s="361"/>
      <c r="D6" s="361"/>
      <c r="E6" s="361"/>
      <c r="F6" s="361"/>
      <c r="G6" s="362"/>
      <c r="H6" s="363"/>
      <c r="I6" s="364"/>
      <c r="J6" s="365"/>
      <c r="K6" s="341"/>
      <c r="L6" s="366">
        <f>IF(COUNTA(B6:J6)=0,"",COUNTA(B6:J6))</f>
        <v>1</v>
      </c>
      <c r="M6" s="367">
        <v>3.0</v>
      </c>
      <c r="O6" s="2"/>
      <c r="P6" s="359" t="str">
        <f>IF(IGRF!I15="","",IGRF!I15)</f>
        <v>101</v>
      </c>
      <c r="Q6" s="360" t="s">
        <v>238</v>
      </c>
      <c r="R6" s="361"/>
      <c r="S6" s="361"/>
      <c r="T6" s="361"/>
      <c r="U6" s="361"/>
      <c r="V6" s="362"/>
      <c r="W6" s="363"/>
      <c r="X6" s="364"/>
      <c r="Y6" s="365"/>
      <c r="Z6" s="341"/>
      <c r="AA6" s="366">
        <f>IF(COUNTA(Q6:Y6)=0,"",COUNTA(Q6:Y6))</f>
        <v>1</v>
      </c>
      <c r="AB6" s="358" t="s">
        <v>239</v>
      </c>
      <c r="AC6" s="359" t="str">
        <f>IF(IGRF!B15="","",IGRF!B15)</f>
        <v>16</v>
      </c>
      <c r="AD6" s="368"/>
      <c r="AE6" s="361"/>
      <c r="AF6" s="361"/>
      <c r="AG6" s="361"/>
      <c r="AH6" s="361"/>
      <c r="AI6" s="362"/>
      <c r="AJ6" s="363"/>
      <c r="AK6" s="364"/>
      <c r="AL6" s="365"/>
      <c r="AM6" s="341"/>
      <c r="AN6" s="366" t="str">
        <f>IF(COUNTA(AD6:AL6)=0,"",COUNTA(AD6:AL6))</f>
        <v/>
      </c>
      <c r="AO6" s="367">
        <v>3.0</v>
      </c>
      <c r="AQ6" s="2"/>
      <c r="AR6" s="369" t="str">
        <f>IF(IGRF!I15="","",IGRF!I15)</f>
        <v>101</v>
      </c>
      <c r="AS6" s="360"/>
      <c r="AT6" s="361" t="s">
        <v>222</v>
      </c>
      <c r="AU6" s="361"/>
      <c r="AV6" s="361"/>
      <c r="AW6" s="361"/>
      <c r="AX6" s="362"/>
      <c r="AY6" s="363"/>
      <c r="AZ6" s="364"/>
      <c r="BA6" s="365"/>
      <c r="BB6" s="341"/>
      <c r="BC6" s="366">
        <f>IF(COUNTA(AS6:BA6)=0,"",COUNTA(AS6:BA6))</f>
        <v>1</v>
      </c>
      <c r="BD6" s="358" t="s">
        <v>239</v>
      </c>
    </row>
    <row r="7" ht="18.75" customHeight="1">
      <c r="A7" s="349"/>
      <c r="B7" s="370">
        <v>6.0</v>
      </c>
      <c r="C7" s="371"/>
      <c r="D7" s="371"/>
      <c r="E7" s="371"/>
      <c r="F7" s="371"/>
      <c r="G7" s="372"/>
      <c r="H7" s="373"/>
      <c r="I7" s="374"/>
      <c r="J7" s="375"/>
      <c r="K7" s="356"/>
      <c r="L7" s="349"/>
      <c r="M7" s="357">
        <v>4.0</v>
      </c>
      <c r="N7" s="8"/>
      <c r="O7" s="160"/>
      <c r="P7" s="349"/>
      <c r="Q7" s="370">
        <v>5.0</v>
      </c>
      <c r="R7" s="371"/>
      <c r="S7" s="371"/>
      <c r="T7" s="371"/>
      <c r="U7" s="371"/>
      <c r="V7" s="372"/>
      <c r="W7" s="373"/>
      <c r="X7" s="374"/>
      <c r="Y7" s="375"/>
      <c r="Z7" s="356"/>
      <c r="AA7" s="349"/>
      <c r="AB7" s="376" t="s">
        <v>240</v>
      </c>
      <c r="AC7" s="349"/>
      <c r="AD7" s="377"/>
      <c r="AE7" s="371"/>
      <c r="AF7" s="371"/>
      <c r="AG7" s="371"/>
      <c r="AH7" s="371"/>
      <c r="AI7" s="372"/>
      <c r="AJ7" s="373"/>
      <c r="AK7" s="374"/>
      <c r="AL7" s="375"/>
      <c r="AM7" s="356"/>
      <c r="AN7" s="349"/>
      <c r="AO7" s="357">
        <v>4.0</v>
      </c>
      <c r="AP7" s="8"/>
      <c r="AQ7" s="160"/>
      <c r="AR7" s="378"/>
      <c r="AS7" s="370"/>
      <c r="AT7" s="371">
        <v>22.0</v>
      </c>
      <c r="AU7" s="371"/>
      <c r="AV7" s="371"/>
      <c r="AW7" s="371"/>
      <c r="AX7" s="372"/>
      <c r="AY7" s="373"/>
      <c r="AZ7" s="374"/>
      <c r="BA7" s="375"/>
      <c r="BB7" s="356"/>
      <c r="BC7" s="349"/>
      <c r="BD7" s="376" t="s">
        <v>240</v>
      </c>
    </row>
    <row r="8" ht="18.75" customHeight="1">
      <c r="A8" s="334" t="str">
        <f>IF(IGRF!B16="","",IGRF!B16)</f>
        <v>177</v>
      </c>
      <c r="B8" s="335" t="s">
        <v>241</v>
      </c>
      <c r="C8" s="336" t="s">
        <v>242</v>
      </c>
      <c r="D8" s="336" t="s">
        <v>237</v>
      </c>
      <c r="E8" s="336"/>
      <c r="F8" s="336"/>
      <c r="G8" s="337"/>
      <c r="H8" s="338"/>
      <c r="I8" s="339"/>
      <c r="J8" s="340"/>
      <c r="K8" s="341"/>
      <c r="L8" s="342">
        <f>IF(COUNTA(B8:J8)=0,"",COUNTA(B8:J8))</f>
        <v>3</v>
      </c>
      <c r="M8" s="367">
        <v>5.0</v>
      </c>
      <c r="O8" s="2"/>
      <c r="P8" s="334" t="str">
        <f>IF(IGRF!I16="","",IGRF!I16)</f>
        <v>11</v>
      </c>
      <c r="Q8" s="335" t="s">
        <v>222</v>
      </c>
      <c r="R8" s="336"/>
      <c r="S8" s="336"/>
      <c r="T8" s="336"/>
      <c r="U8" s="336"/>
      <c r="V8" s="337"/>
      <c r="W8" s="338"/>
      <c r="X8" s="339"/>
      <c r="Y8" s="340"/>
      <c r="Z8" s="341"/>
      <c r="AA8" s="342">
        <f>IF(COUNTA(Q8:Y8)=0,"",COUNTA(Q8:Y8))</f>
        <v>1</v>
      </c>
      <c r="AB8" s="379" t="s">
        <v>243</v>
      </c>
      <c r="AC8" s="334" t="str">
        <f>IF(IGRF!B16="","",IGRF!B16)</f>
        <v>177</v>
      </c>
      <c r="AD8" s="339"/>
      <c r="AE8" s="336"/>
      <c r="AF8" s="336"/>
      <c r="AG8" s="336" t="s">
        <v>242</v>
      </c>
      <c r="AH8" s="336" t="s">
        <v>238</v>
      </c>
      <c r="AI8" s="337"/>
      <c r="AJ8" s="338"/>
      <c r="AK8" s="339"/>
      <c r="AL8" s="340"/>
      <c r="AM8" s="341"/>
      <c r="AN8" s="342">
        <f>IF(COUNTA(AD8:AL8)=0,"",COUNTA(AD8:AL8))</f>
        <v>2</v>
      </c>
      <c r="AO8" s="367">
        <v>5.0</v>
      </c>
      <c r="AQ8" s="2"/>
      <c r="AR8" s="348" t="str">
        <f>IF(IGRF!I16="","",IGRF!I16)</f>
        <v>11</v>
      </c>
      <c r="AS8" s="335"/>
      <c r="AT8" s="336" t="s">
        <v>222</v>
      </c>
      <c r="AU8" s="336" t="s">
        <v>237</v>
      </c>
      <c r="AV8" s="336"/>
      <c r="AW8" s="336"/>
      <c r="AX8" s="337"/>
      <c r="AY8" s="338"/>
      <c r="AZ8" s="339"/>
      <c r="BA8" s="340"/>
      <c r="BB8" s="341"/>
      <c r="BC8" s="342">
        <f>IF(COUNTA(AS8:BA8)=0,"",COUNTA(AS8:BA8))</f>
        <v>2</v>
      </c>
      <c r="BD8" s="379" t="s">
        <v>243</v>
      </c>
    </row>
    <row r="9" ht="18.75" customHeight="1">
      <c r="A9" s="349"/>
      <c r="B9" s="350">
        <v>2.0</v>
      </c>
      <c r="C9" s="351">
        <v>8.0</v>
      </c>
      <c r="D9" s="351">
        <v>16.0</v>
      </c>
      <c r="E9" s="351"/>
      <c r="F9" s="351"/>
      <c r="G9" s="352"/>
      <c r="H9" s="353"/>
      <c r="I9" s="354"/>
      <c r="J9" s="355"/>
      <c r="K9" s="356"/>
      <c r="L9" s="349"/>
      <c r="M9" s="357">
        <v>6.0</v>
      </c>
      <c r="N9" s="8"/>
      <c r="O9" s="160"/>
      <c r="P9" s="349"/>
      <c r="Q9" s="350">
        <v>11.0</v>
      </c>
      <c r="R9" s="351"/>
      <c r="S9" s="351"/>
      <c r="T9" s="351"/>
      <c r="U9" s="351"/>
      <c r="V9" s="352"/>
      <c r="W9" s="353"/>
      <c r="X9" s="354"/>
      <c r="Y9" s="355"/>
      <c r="Z9" s="356"/>
      <c r="AA9" s="349"/>
      <c r="AB9" s="380" t="s">
        <v>244</v>
      </c>
      <c r="AC9" s="349"/>
      <c r="AD9" s="354"/>
      <c r="AE9" s="351"/>
      <c r="AF9" s="351"/>
      <c r="AG9" s="351">
        <v>3.0</v>
      </c>
      <c r="AH9" s="351">
        <v>15.0</v>
      </c>
      <c r="AI9" s="352"/>
      <c r="AJ9" s="353"/>
      <c r="AK9" s="354"/>
      <c r="AL9" s="355"/>
      <c r="AM9" s="356"/>
      <c r="AN9" s="349"/>
      <c r="AO9" s="357">
        <v>6.0</v>
      </c>
      <c r="AP9" s="8"/>
      <c r="AQ9" s="160"/>
      <c r="AR9" s="69"/>
      <c r="AS9" s="350"/>
      <c r="AT9" s="351">
        <v>6.0</v>
      </c>
      <c r="AU9" s="351">
        <v>15.0</v>
      </c>
      <c r="AV9" s="351"/>
      <c r="AW9" s="351"/>
      <c r="AX9" s="352"/>
      <c r="AY9" s="353"/>
      <c r="AZ9" s="354"/>
      <c r="BA9" s="355"/>
      <c r="BB9" s="356"/>
      <c r="BC9" s="349"/>
      <c r="BD9" s="380" t="s">
        <v>244</v>
      </c>
    </row>
    <row r="10" ht="18.75" customHeight="1">
      <c r="A10" s="359" t="str">
        <f>IF(IGRF!B17="","",IGRF!B17)</f>
        <v>215</v>
      </c>
      <c r="B10" s="360"/>
      <c r="C10" s="361"/>
      <c r="D10" s="361"/>
      <c r="E10" s="361"/>
      <c r="F10" s="361"/>
      <c r="G10" s="362"/>
      <c r="H10" s="363"/>
      <c r="I10" s="364"/>
      <c r="J10" s="365"/>
      <c r="K10" s="341"/>
      <c r="L10" s="366" t="str">
        <f>IF(COUNTA(B10:J10)=0,"",COUNTA(B10:J10))</f>
        <v/>
      </c>
      <c r="M10" s="367">
        <v>7.0</v>
      </c>
      <c r="O10" s="2"/>
      <c r="P10" s="359" t="str">
        <f>IF(IGRF!I17="","",IGRF!I17)</f>
        <v>33</v>
      </c>
      <c r="Q10" s="360"/>
      <c r="R10" s="361"/>
      <c r="S10" s="361"/>
      <c r="T10" s="361"/>
      <c r="U10" s="361"/>
      <c r="V10" s="362"/>
      <c r="W10" s="363"/>
      <c r="X10" s="364"/>
      <c r="Y10" s="365"/>
      <c r="Z10" s="341"/>
      <c r="AA10" s="366" t="str">
        <f>IF(COUNTA(Q10:Y10)=0,"",COUNTA(Q10:Y10))</f>
        <v/>
      </c>
      <c r="AB10" s="381" t="s">
        <v>238</v>
      </c>
      <c r="AC10" s="359" t="str">
        <f>IF(IGRF!B17="","",IGRF!B17)</f>
        <v>215</v>
      </c>
      <c r="AD10" s="368"/>
      <c r="AE10" s="361"/>
      <c r="AF10" s="361"/>
      <c r="AG10" s="361"/>
      <c r="AH10" s="361"/>
      <c r="AI10" s="362"/>
      <c r="AJ10" s="363"/>
      <c r="AK10" s="364"/>
      <c r="AL10" s="365"/>
      <c r="AM10" s="341"/>
      <c r="AN10" s="366" t="str">
        <f>IF(COUNTA(AD10:AL10)=0,"",COUNTA(AD10:AL10))</f>
        <v/>
      </c>
      <c r="AO10" s="367">
        <v>7.0</v>
      </c>
      <c r="AQ10" s="2"/>
      <c r="AR10" s="369" t="str">
        <f>IF(IGRF!I17="","",IGRF!I17)</f>
        <v>33</v>
      </c>
      <c r="AS10" s="360"/>
      <c r="AT10" s="361"/>
      <c r="AU10" s="361"/>
      <c r="AV10" s="361"/>
      <c r="AW10" s="361"/>
      <c r="AX10" s="362"/>
      <c r="AY10" s="363"/>
      <c r="AZ10" s="364"/>
      <c r="BA10" s="365"/>
      <c r="BB10" s="341"/>
      <c r="BC10" s="366" t="str">
        <f>IF(COUNTA(AS10:BA10)=0,"",COUNTA(AS10:BA10))</f>
        <v/>
      </c>
      <c r="BD10" s="381" t="s">
        <v>238</v>
      </c>
    </row>
    <row r="11" ht="18.75" customHeight="1">
      <c r="A11" s="349"/>
      <c r="B11" s="370"/>
      <c r="C11" s="371"/>
      <c r="D11" s="371"/>
      <c r="E11" s="371"/>
      <c r="F11" s="371"/>
      <c r="G11" s="372"/>
      <c r="H11" s="373"/>
      <c r="I11" s="374"/>
      <c r="J11" s="375"/>
      <c r="K11" s="356"/>
      <c r="L11" s="349"/>
      <c r="M11" s="357">
        <v>8.0</v>
      </c>
      <c r="N11" s="8"/>
      <c r="O11" s="160"/>
      <c r="P11" s="349"/>
      <c r="Q11" s="370"/>
      <c r="R11" s="371"/>
      <c r="S11" s="371"/>
      <c r="T11" s="371"/>
      <c r="U11" s="371"/>
      <c r="V11" s="372"/>
      <c r="W11" s="373"/>
      <c r="X11" s="374"/>
      <c r="Y11" s="375"/>
      <c r="Z11" s="356"/>
      <c r="AA11" s="349"/>
      <c r="AB11" s="380" t="s">
        <v>245</v>
      </c>
      <c r="AC11" s="349"/>
      <c r="AD11" s="377"/>
      <c r="AE11" s="371"/>
      <c r="AF11" s="371"/>
      <c r="AG11" s="371"/>
      <c r="AH11" s="371"/>
      <c r="AI11" s="372"/>
      <c r="AJ11" s="373"/>
      <c r="AK11" s="374"/>
      <c r="AL11" s="375"/>
      <c r="AM11" s="356"/>
      <c r="AN11" s="349"/>
      <c r="AO11" s="357">
        <v>8.0</v>
      </c>
      <c r="AP11" s="8"/>
      <c r="AQ11" s="160"/>
      <c r="AR11" s="378"/>
      <c r="AS11" s="370"/>
      <c r="AT11" s="371"/>
      <c r="AU11" s="371"/>
      <c r="AV11" s="371"/>
      <c r="AW11" s="371"/>
      <c r="AX11" s="372"/>
      <c r="AY11" s="373"/>
      <c r="AZ11" s="374"/>
      <c r="BA11" s="375"/>
      <c r="BB11" s="356"/>
      <c r="BC11" s="349"/>
      <c r="BD11" s="380" t="s">
        <v>245</v>
      </c>
    </row>
    <row r="12" ht="18.75" customHeight="1">
      <c r="A12" s="334" t="str">
        <f>IF(IGRF!B18="","",IGRF!B18)</f>
        <v>27</v>
      </c>
      <c r="B12" s="335"/>
      <c r="C12" s="336"/>
      <c r="D12" s="336"/>
      <c r="E12" s="336"/>
      <c r="F12" s="336"/>
      <c r="G12" s="337"/>
      <c r="H12" s="338"/>
      <c r="I12" s="339"/>
      <c r="J12" s="340"/>
      <c r="K12" s="341"/>
      <c r="L12" s="342" t="str">
        <f>IF(COUNTA(B12:J12)=0,"",COUNTA(B12:J12))</f>
        <v/>
      </c>
      <c r="M12" s="367">
        <v>9.0</v>
      </c>
      <c r="O12" s="2"/>
      <c r="P12" s="334" t="str">
        <f>IF(IGRF!I18="","",IGRF!I18)</f>
        <v>1337</v>
      </c>
      <c r="Q12" s="335" t="s">
        <v>238</v>
      </c>
      <c r="R12" s="336" t="s">
        <v>238</v>
      </c>
      <c r="S12" s="336" t="s">
        <v>222</v>
      </c>
      <c r="T12" s="336"/>
      <c r="U12" s="336"/>
      <c r="V12" s="337"/>
      <c r="W12" s="338"/>
      <c r="X12" s="339"/>
      <c r="Y12" s="340"/>
      <c r="Z12" s="341"/>
      <c r="AA12" s="342">
        <f>IF(COUNTA(Q12:Y12)=0,"",COUNTA(Q12:Y12))</f>
        <v>3</v>
      </c>
      <c r="AB12" s="381" t="s">
        <v>234</v>
      </c>
      <c r="AC12" s="334" t="str">
        <f>IF(IGRF!B18="","",IGRF!B18)</f>
        <v>27</v>
      </c>
      <c r="AD12" s="339"/>
      <c r="AE12" s="336"/>
      <c r="AF12" s="336"/>
      <c r="AG12" s="336"/>
      <c r="AH12" s="336"/>
      <c r="AI12" s="337"/>
      <c r="AJ12" s="338"/>
      <c r="AK12" s="339"/>
      <c r="AL12" s="340"/>
      <c r="AM12" s="341"/>
      <c r="AN12" s="342" t="str">
        <f>IF(COUNTA(AD12:AL12)=0,"",COUNTA(AD12:AL12))</f>
        <v/>
      </c>
      <c r="AO12" s="367">
        <v>9.0</v>
      </c>
      <c r="AQ12" s="2"/>
      <c r="AR12" s="348" t="str">
        <f>IF(IGRF!I18="","",IGRF!I18)</f>
        <v>1337</v>
      </c>
      <c r="AS12" s="335"/>
      <c r="AT12" s="336"/>
      <c r="AU12" s="336"/>
      <c r="AV12" s="336" t="s">
        <v>238</v>
      </c>
      <c r="AW12" s="336"/>
      <c r="AX12" s="337"/>
      <c r="AY12" s="338"/>
      <c r="AZ12" s="339"/>
      <c r="BA12" s="340"/>
      <c r="BB12" s="341"/>
      <c r="BC12" s="342">
        <f>IF(COUNTA(AS12:BA12)=0,"",COUNTA(AS12:BA12))</f>
        <v>1</v>
      </c>
      <c r="BD12" s="381" t="s">
        <v>234</v>
      </c>
    </row>
    <row r="13" ht="18.75" customHeight="1">
      <c r="A13" s="349"/>
      <c r="B13" s="350"/>
      <c r="C13" s="351"/>
      <c r="D13" s="351"/>
      <c r="E13" s="351"/>
      <c r="F13" s="351"/>
      <c r="G13" s="352"/>
      <c r="H13" s="353"/>
      <c r="I13" s="354"/>
      <c r="J13" s="355"/>
      <c r="K13" s="356"/>
      <c r="L13" s="349"/>
      <c r="M13" s="357">
        <v>10.0</v>
      </c>
      <c r="N13" s="8"/>
      <c r="O13" s="160"/>
      <c r="P13" s="349"/>
      <c r="Q13" s="350">
        <v>6.0</v>
      </c>
      <c r="R13" s="351">
        <v>10.0</v>
      </c>
      <c r="S13" s="351">
        <v>14.0</v>
      </c>
      <c r="T13" s="351"/>
      <c r="U13" s="351"/>
      <c r="V13" s="352"/>
      <c r="W13" s="353"/>
      <c r="X13" s="354"/>
      <c r="Y13" s="355"/>
      <c r="Z13" s="356"/>
      <c r="AA13" s="349"/>
      <c r="AB13" s="380" t="s">
        <v>246</v>
      </c>
      <c r="AC13" s="349"/>
      <c r="AD13" s="354"/>
      <c r="AE13" s="351"/>
      <c r="AF13" s="351"/>
      <c r="AG13" s="351"/>
      <c r="AH13" s="351"/>
      <c r="AI13" s="352"/>
      <c r="AJ13" s="353"/>
      <c r="AK13" s="354"/>
      <c r="AL13" s="355"/>
      <c r="AM13" s="356"/>
      <c r="AN13" s="349"/>
      <c r="AO13" s="357">
        <v>10.0</v>
      </c>
      <c r="AP13" s="8"/>
      <c r="AQ13" s="160"/>
      <c r="AR13" s="69"/>
      <c r="AS13" s="350"/>
      <c r="AT13" s="351"/>
      <c r="AU13" s="351"/>
      <c r="AV13" s="351">
        <v>2.0</v>
      </c>
      <c r="AW13" s="351"/>
      <c r="AX13" s="352"/>
      <c r="AY13" s="353"/>
      <c r="AZ13" s="354"/>
      <c r="BA13" s="355"/>
      <c r="BB13" s="356"/>
      <c r="BC13" s="349"/>
      <c r="BD13" s="380" t="s">
        <v>246</v>
      </c>
    </row>
    <row r="14" ht="18.75" customHeight="1">
      <c r="A14" s="359" t="str">
        <f>IF(IGRF!B19="","",IGRF!B19)</f>
        <v>271</v>
      </c>
      <c r="B14" s="360"/>
      <c r="C14" s="361"/>
      <c r="D14" s="361"/>
      <c r="E14" s="361"/>
      <c r="F14" s="361"/>
      <c r="G14" s="362"/>
      <c r="H14" s="363"/>
      <c r="I14" s="364"/>
      <c r="J14" s="365"/>
      <c r="K14" s="341"/>
      <c r="L14" s="366" t="str">
        <f>IF(COUNTA(B14:J14)=0,"",COUNTA(B14:J14))</f>
        <v/>
      </c>
      <c r="M14" s="367">
        <v>11.0</v>
      </c>
      <c r="O14" s="2"/>
      <c r="P14" s="359" t="str">
        <f>IF(IGRF!I19="","",IGRF!I19)</f>
        <v>150</v>
      </c>
      <c r="Q14" s="360"/>
      <c r="R14" s="361"/>
      <c r="S14" s="361"/>
      <c r="T14" s="361"/>
      <c r="U14" s="361"/>
      <c r="V14" s="362"/>
      <c r="W14" s="363"/>
      <c r="X14" s="364"/>
      <c r="Y14" s="365"/>
      <c r="Z14" s="341"/>
      <c r="AA14" s="366" t="str">
        <f>IF(COUNTA(Q14:Y14)=0,"",COUNTA(Q14:Y14))</f>
        <v/>
      </c>
      <c r="AB14" s="347" t="s">
        <v>247</v>
      </c>
      <c r="AC14" s="359" t="str">
        <f>IF(IGRF!B19="","",IGRF!B19)</f>
        <v>271</v>
      </c>
      <c r="AD14" s="368"/>
      <c r="AE14" s="361"/>
      <c r="AF14" s="361"/>
      <c r="AG14" s="361"/>
      <c r="AH14" s="361"/>
      <c r="AI14" s="362"/>
      <c r="AJ14" s="363"/>
      <c r="AK14" s="364"/>
      <c r="AL14" s="365"/>
      <c r="AM14" s="341"/>
      <c r="AN14" s="366" t="str">
        <f>IF(COUNTA(AD14:AL14)=0,"",COUNTA(AD14:AL14))</f>
        <v/>
      </c>
      <c r="AO14" s="367">
        <v>11.0</v>
      </c>
      <c r="AQ14" s="2"/>
      <c r="AR14" s="369" t="str">
        <f>IF(IGRF!I19="","",IGRF!I19)</f>
        <v>150</v>
      </c>
      <c r="AS14" s="360" t="s">
        <v>242</v>
      </c>
      <c r="AT14" s="361"/>
      <c r="AU14" s="361"/>
      <c r="AV14" s="361"/>
      <c r="AW14" s="361"/>
      <c r="AX14" s="362"/>
      <c r="AY14" s="363"/>
      <c r="AZ14" s="364"/>
      <c r="BA14" s="365"/>
      <c r="BB14" s="341"/>
      <c r="BC14" s="366">
        <f>IF(COUNTA(AS14:BA14)=0,"",COUNTA(AS14:BA14))</f>
        <v>1</v>
      </c>
      <c r="BD14" s="347" t="s">
        <v>247</v>
      </c>
    </row>
    <row r="15" ht="18.75" customHeight="1">
      <c r="A15" s="349"/>
      <c r="B15" s="370"/>
      <c r="C15" s="371"/>
      <c r="D15" s="371"/>
      <c r="E15" s="371"/>
      <c r="F15" s="371"/>
      <c r="G15" s="372"/>
      <c r="H15" s="373"/>
      <c r="I15" s="374"/>
      <c r="J15" s="375"/>
      <c r="K15" s="356"/>
      <c r="L15" s="349"/>
      <c r="M15" s="357">
        <v>12.0</v>
      </c>
      <c r="N15" s="8"/>
      <c r="O15" s="160"/>
      <c r="P15" s="349"/>
      <c r="Q15" s="370"/>
      <c r="R15" s="371"/>
      <c r="S15" s="371"/>
      <c r="T15" s="371"/>
      <c r="U15" s="371"/>
      <c r="V15" s="372"/>
      <c r="W15" s="373"/>
      <c r="X15" s="374"/>
      <c r="Y15" s="375"/>
      <c r="Z15" s="356"/>
      <c r="AA15" s="349"/>
      <c r="AB15" s="382" t="s">
        <v>248</v>
      </c>
      <c r="AC15" s="349"/>
      <c r="AD15" s="377"/>
      <c r="AE15" s="371"/>
      <c r="AF15" s="371"/>
      <c r="AG15" s="371"/>
      <c r="AH15" s="371"/>
      <c r="AI15" s="372"/>
      <c r="AJ15" s="373"/>
      <c r="AK15" s="374"/>
      <c r="AL15" s="375"/>
      <c r="AM15" s="356"/>
      <c r="AN15" s="349"/>
      <c r="AO15" s="357">
        <v>12.0</v>
      </c>
      <c r="AP15" s="8"/>
      <c r="AQ15" s="160"/>
      <c r="AR15" s="378"/>
      <c r="AS15" s="370">
        <v>16.0</v>
      </c>
      <c r="AT15" s="371"/>
      <c r="AU15" s="371"/>
      <c r="AV15" s="371"/>
      <c r="AW15" s="371"/>
      <c r="AX15" s="372"/>
      <c r="AY15" s="373"/>
      <c r="AZ15" s="374"/>
      <c r="BA15" s="375"/>
      <c r="BB15" s="356"/>
      <c r="BC15" s="349"/>
      <c r="BD15" s="382" t="s">
        <v>248</v>
      </c>
    </row>
    <row r="16" ht="18.75" customHeight="1">
      <c r="A16" s="334" t="str">
        <f>IF(IGRF!B20="","",IGRF!B20)</f>
        <v>220</v>
      </c>
      <c r="B16" s="335" t="s">
        <v>241</v>
      </c>
      <c r="C16" s="336" t="s">
        <v>222</v>
      </c>
      <c r="D16" s="336"/>
      <c r="E16" s="336"/>
      <c r="F16" s="336"/>
      <c r="G16" s="337"/>
      <c r="H16" s="338"/>
      <c r="I16" s="339"/>
      <c r="J16" s="340"/>
      <c r="K16" s="341"/>
      <c r="L16" s="342">
        <f>IF(COUNTA(B16:J16)=0,"",COUNTA(B16:J16))</f>
        <v>2</v>
      </c>
      <c r="M16" s="367">
        <v>13.0</v>
      </c>
      <c r="O16" s="2"/>
      <c r="P16" s="334" t="str">
        <f>IF(IGRF!I20="","",IGRF!I20)</f>
        <v>16</v>
      </c>
      <c r="Q16" s="335"/>
      <c r="R16" s="336"/>
      <c r="S16" s="336"/>
      <c r="T16" s="336"/>
      <c r="U16" s="336"/>
      <c r="V16" s="337"/>
      <c r="W16" s="338"/>
      <c r="X16" s="339"/>
      <c r="Y16" s="340"/>
      <c r="Z16" s="341"/>
      <c r="AA16" s="342" t="str">
        <f>IF(COUNTA(Q16:Y16)=0,"",COUNTA(Q16:Y16))</f>
        <v/>
      </c>
      <c r="AB16" s="347" t="s">
        <v>249</v>
      </c>
      <c r="AC16" s="334" t="str">
        <f>IF(IGRF!B20="","",IGRF!B20)</f>
        <v>220</v>
      </c>
      <c r="AD16" s="339"/>
      <c r="AE16" s="336"/>
      <c r="AF16" s="336" t="s">
        <v>222</v>
      </c>
      <c r="AG16" s="336"/>
      <c r="AH16" s="336"/>
      <c r="AI16" s="337"/>
      <c r="AJ16" s="338"/>
      <c r="AK16" s="339"/>
      <c r="AL16" s="340"/>
      <c r="AM16" s="341"/>
      <c r="AN16" s="342">
        <f>IF(COUNTA(AD16:AL16)=0,"",COUNTA(AD16:AL16))</f>
        <v>1</v>
      </c>
      <c r="AO16" s="367">
        <v>13.0</v>
      </c>
      <c r="AQ16" s="2"/>
      <c r="AR16" s="348" t="str">
        <f>IF(IGRF!I20="","",IGRF!I20)</f>
        <v>16</v>
      </c>
      <c r="AS16" s="335"/>
      <c r="AT16" s="336"/>
      <c r="AU16" s="336"/>
      <c r="AV16" s="336"/>
      <c r="AW16" s="336"/>
      <c r="AX16" s="337"/>
      <c r="AY16" s="338"/>
      <c r="AZ16" s="339"/>
      <c r="BA16" s="340"/>
      <c r="BB16" s="341"/>
      <c r="BC16" s="342" t="str">
        <f>IF(COUNTA(AS16:BA16)=0,"",COUNTA(AS16:BA16))</f>
        <v/>
      </c>
      <c r="BD16" s="347" t="s">
        <v>249</v>
      </c>
    </row>
    <row r="17" ht="18.75" customHeight="1">
      <c r="A17" s="349"/>
      <c r="B17" s="350">
        <v>3.0</v>
      </c>
      <c r="C17" s="351">
        <v>21.0</v>
      </c>
      <c r="D17" s="351"/>
      <c r="E17" s="351"/>
      <c r="F17" s="351"/>
      <c r="G17" s="352"/>
      <c r="H17" s="353"/>
      <c r="I17" s="354"/>
      <c r="J17" s="355"/>
      <c r="K17" s="356"/>
      <c r="L17" s="349"/>
      <c r="M17" s="357">
        <v>14.0</v>
      </c>
      <c r="N17" s="8"/>
      <c r="O17" s="160"/>
      <c r="P17" s="349"/>
      <c r="Q17" s="350"/>
      <c r="R17" s="351"/>
      <c r="S17" s="351"/>
      <c r="T17" s="351"/>
      <c r="U17" s="351"/>
      <c r="V17" s="352"/>
      <c r="W17" s="353"/>
      <c r="X17" s="354"/>
      <c r="Y17" s="355"/>
      <c r="Z17" s="356"/>
      <c r="AA17" s="349"/>
      <c r="AB17" s="382" t="s">
        <v>250</v>
      </c>
      <c r="AC17" s="349"/>
      <c r="AD17" s="354"/>
      <c r="AE17" s="351"/>
      <c r="AF17" s="351">
        <v>10.0</v>
      </c>
      <c r="AG17" s="351"/>
      <c r="AH17" s="351"/>
      <c r="AI17" s="352"/>
      <c r="AJ17" s="353"/>
      <c r="AK17" s="354"/>
      <c r="AL17" s="355"/>
      <c r="AM17" s="356"/>
      <c r="AN17" s="349"/>
      <c r="AO17" s="357">
        <v>14.0</v>
      </c>
      <c r="AP17" s="8"/>
      <c r="AQ17" s="160"/>
      <c r="AR17" s="69"/>
      <c r="AS17" s="350"/>
      <c r="AT17" s="351"/>
      <c r="AU17" s="351"/>
      <c r="AV17" s="351"/>
      <c r="AW17" s="351"/>
      <c r="AX17" s="352"/>
      <c r="AY17" s="353"/>
      <c r="AZ17" s="354"/>
      <c r="BA17" s="355"/>
      <c r="BB17" s="356"/>
      <c r="BC17" s="349"/>
      <c r="BD17" s="382" t="s">
        <v>250</v>
      </c>
    </row>
    <row r="18" ht="18.75" customHeight="1">
      <c r="A18" s="359" t="str">
        <f>IF(IGRF!B21="","",IGRF!B21)</f>
        <v>3556</v>
      </c>
      <c r="B18" s="360"/>
      <c r="C18" s="361"/>
      <c r="D18" s="361"/>
      <c r="E18" s="361"/>
      <c r="F18" s="361"/>
      <c r="G18" s="362"/>
      <c r="H18" s="363"/>
      <c r="I18" s="364"/>
      <c r="J18" s="365"/>
      <c r="K18" s="341"/>
      <c r="L18" s="366" t="str">
        <f>IF(COUNTA(B18:J18)=0,"",COUNTA(B18:J18))</f>
        <v/>
      </c>
      <c r="M18" s="367">
        <v>15.0</v>
      </c>
      <c r="O18" s="2"/>
      <c r="P18" s="359" t="str">
        <f>IF(IGRF!I21="","",IGRF!I21)</f>
        <v>3110</v>
      </c>
      <c r="Q18" s="360"/>
      <c r="R18" s="361"/>
      <c r="S18" s="361"/>
      <c r="T18" s="361"/>
      <c r="U18" s="361"/>
      <c r="V18" s="362"/>
      <c r="W18" s="363"/>
      <c r="X18" s="364"/>
      <c r="Y18" s="365"/>
      <c r="Z18" s="341"/>
      <c r="AA18" s="383" t="str">
        <f>IF(COUNTA(Q18:Y18)=0,"",COUNTA(Q18:Y18))</f>
        <v/>
      </c>
      <c r="AB18" s="347" t="s">
        <v>251</v>
      </c>
      <c r="AC18" s="359" t="str">
        <f>IF(IGRF!B21="","",IGRF!B21)</f>
        <v>3556</v>
      </c>
      <c r="AD18" s="368"/>
      <c r="AE18" s="361"/>
      <c r="AF18" s="361"/>
      <c r="AG18" s="361"/>
      <c r="AH18" s="361"/>
      <c r="AI18" s="362"/>
      <c r="AJ18" s="363"/>
      <c r="AK18" s="364"/>
      <c r="AL18" s="365"/>
      <c r="AM18" s="341"/>
      <c r="AN18" s="366" t="str">
        <f>IF(COUNTA(AD18:AL18)=0,"",COUNTA(AD18:AL18))</f>
        <v/>
      </c>
      <c r="AO18" s="367">
        <v>15.0</v>
      </c>
      <c r="AQ18" s="2"/>
      <c r="AR18" s="369" t="str">
        <f>IF(IGRF!I21="","",IGRF!I21)</f>
        <v>3110</v>
      </c>
      <c r="AS18" s="360" t="s">
        <v>222</v>
      </c>
      <c r="AT18" s="361" t="s">
        <v>252</v>
      </c>
      <c r="AU18" s="361" t="s">
        <v>252</v>
      </c>
      <c r="AV18" s="361"/>
      <c r="AW18" s="361"/>
      <c r="AX18" s="362"/>
      <c r="AY18" s="363"/>
      <c r="AZ18" s="364"/>
      <c r="BA18" s="365"/>
      <c r="BB18" s="341"/>
      <c r="BC18" s="366">
        <f>IF(COUNTA(AS18:BA18)=0,"",COUNTA(AS18:BA18))</f>
        <v>3</v>
      </c>
      <c r="BD18" s="347" t="s">
        <v>251</v>
      </c>
    </row>
    <row r="19" ht="18.75" customHeight="1">
      <c r="A19" s="349"/>
      <c r="B19" s="370"/>
      <c r="C19" s="371"/>
      <c r="D19" s="371"/>
      <c r="E19" s="371"/>
      <c r="F19" s="371"/>
      <c r="G19" s="372"/>
      <c r="H19" s="373"/>
      <c r="I19" s="374"/>
      <c r="J19" s="375"/>
      <c r="K19" s="356"/>
      <c r="L19" s="349"/>
      <c r="M19" s="357">
        <v>16.0</v>
      </c>
      <c r="N19" s="8"/>
      <c r="O19" s="160"/>
      <c r="P19" s="349"/>
      <c r="Q19" s="370"/>
      <c r="R19" s="371"/>
      <c r="S19" s="371"/>
      <c r="T19" s="371"/>
      <c r="U19" s="371"/>
      <c r="V19" s="372"/>
      <c r="W19" s="373"/>
      <c r="X19" s="374"/>
      <c r="Y19" s="375"/>
      <c r="Z19" s="356"/>
      <c r="AA19" s="378"/>
      <c r="AB19" s="358" t="s">
        <v>253</v>
      </c>
      <c r="AC19" s="349"/>
      <c r="AD19" s="377"/>
      <c r="AE19" s="371"/>
      <c r="AF19" s="371"/>
      <c r="AG19" s="371"/>
      <c r="AH19" s="371"/>
      <c r="AI19" s="372"/>
      <c r="AJ19" s="373"/>
      <c r="AK19" s="374"/>
      <c r="AL19" s="375"/>
      <c r="AM19" s="356"/>
      <c r="AN19" s="349"/>
      <c r="AO19" s="357">
        <v>16.0</v>
      </c>
      <c r="AP19" s="8"/>
      <c r="AQ19" s="160"/>
      <c r="AR19" s="378"/>
      <c r="AS19" s="370">
        <v>9.0</v>
      </c>
      <c r="AT19" s="371">
        <v>15.0</v>
      </c>
      <c r="AU19" s="371">
        <v>17.0</v>
      </c>
      <c r="AV19" s="371"/>
      <c r="AW19" s="371"/>
      <c r="AX19" s="372"/>
      <c r="AY19" s="373"/>
      <c r="AZ19" s="374"/>
      <c r="BA19" s="375"/>
      <c r="BB19" s="356"/>
      <c r="BC19" s="349"/>
      <c r="BD19" s="358" t="s">
        <v>253</v>
      </c>
    </row>
    <row r="20" ht="18.75" customHeight="1">
      <c r="A20" s="334" t="str">
        <f>IF(IGRF!B22="","",IGRF!B22)</f>
        <v>360</v>
      </c>
      <c r="B20" s="335"/>
      <c r="C20" s="336"/>
      <c r="D20" s="336"/>
      <c r="E20" s="336"/>
      <c r="F20" s="336"/>
      <c r="G20" s="337"/>
      <c r="H20" s="338"/>
      <c r="I20" s="339"/>
      <c r="J20" s="340"/>
      <c r="K20" s="341"/>
      <c r="L20" s="342" t="str">
        <f>IF(COUNTA(B20:J20)=0,"",COUNTA(B20:J20))</f>
        <v/>
      </c>
      <c r="M20" s="367">
        <v>17.0</v>
      </c>
      <c r="O20" s="2"/>
      <c r="P20" s="334" t="str">
        <f>IF(IGRF!I22="","",IGRF!I22)</f>
        <v>333</v>
      </c>
      <c r="Q20" s="335"/>
      <c r="R20" s="336"/>
      <c r="S20" s="336"/>
      <c r="T20" s="336"/>
      <c r="U20" s="336"/>
      <c r="V20" s="337"/>
      <c r="W20" s="338"/>
      <c r="X20" s="339"/>
      <c r="Y20" s="340"/>
      <c r="Z20" s="341"/>
      <c r="AA20" s="346" t="str">
        <f>IF(COUNTA(Q20:Y20)=0,"",COUNTA(Q20:Y20))</f>
        <v/>
      </c>
      <c r="AB20" s="347" t="s">
        <v>242</v>
      </c>
      <c r="AC20" s="334" t="str">
        <f>IF(IGRF!B22="","",IGRF!B22)</f>
        <v>360</v>
      </c>
      <c r="AD20" s="339"/>
      <c r="AE20" s="336"/>
      <c r="AF20" s="336"/>
      <c r="AG20" s="336"/>
      <c r="AH20" s="336"/>
      <c r="AI20" s="337"/>
      <c r="AJ20" s="338"/>
      <c r="AK20" s="339"/>
      <c r="AL20" s="340"/>
      <c r="AM20" s="341"/>
      <c r="AN20" s="342" t="str">
        <f>IF(COUNTA(AD20:AL20)=0,"",COUNTA(AD20:AL20))</f>
        <v/>
      </c>
      <c r="AO20" s="367">
        <v>17.0</v>
      </c>
      <c r="AQ20" s="2"/>
      <c r="AR20" s="348" t="str">
        <f>IF(IGRF!I22="","",IGRF!I22)</f>
        <v>333</v>
      </c>
      <c r="AS20" s="335"/>
      <c r="AT20" s="336"/>
      <c r="AU20" s="336"/>
      <c r="AV20" s="336"/>
      <c r="AW20" s="336"/>
      <c r="AX20" s="337"/>
      <c r="AY20" s="338"/>
      <c r="AZ20" s="339"/>
      <c r="BA20" s="340"/>
      <c r="BB20" s="341"/>
      <c r="BC20" s="342" t="str">
        <f>IF(COUNTA(AS20:BA20)=0,"",COUNTA(AS20:BA20))</f>
        <v/>
      </c>
      <c r="BD20" s="347" t="s">
        <v>242</v>
      </c>
    </row>
    <row r="21" ht="18.75" customHeight="1">
      <c r="A21" s="349"/>
      <c r="B21" s="350"/>
      <c r="C21" s="351"/>
      <c r="D21" s="351"/>
      <c r="E21" s="351"/>
      <c r="F21" s="351"/>
      <c r="G21" s="352"/>
      <c r="H21" s="353"/>
      <c r="I21" s="354"/>
      <c r="J21" s="355"/>
      <c r="K21" s="356"/>
      <c r="L21" s="349"/>
      <c r="M21" s="357">
        <v>18.0</v>
      </c>
      <c r="N21" s="8"/>
      <c r="O21" s="160"/>
      <c r="P21" s="349"/>
      <c r="Q21" s="350"/>
      <c r="R21" s="351"/>
      <c r="S21" s="351"/>
      <c r="T21" s="351"/>
      <c r="U21" s="351"/>
      <c r="V21" s="352"/>
      <c r="W21" s="353"/>
      <c r="X21" s="354"/>
      <c r="Y21" s="355"/>
      <c r="Z21" s="356"/>
      <c r="AA21" s="155"/>
      <c r="AB21" s="358" t="s">
        <v>254</v>
      </c>
      <c r="AC21" s="349"/>
      <c r="AD21" s="354"/>
      <c r="AE21" s="351"/>
      <c r="AF21" s="351"/>
      <c r="AG21" s="351"/>
      <c r="AH21" s="351"/>
      <c r="AI21" s="352"/>
      <c r="AJ21" s="353"/>
      <c r="AK21" s="354"/>
      <c r="AL21" s="355"/>
      <c r="AM21" s="356"/>
      <c r="AN21" s="349"/>
      <c r="AO21" s="357">
        <v>18.0</v>
      </c>
      <c r="AP21" s="8"/>
      <c r="AQ21" s="160"/>
      <c r="AR21" s="69"/>
      <c r="AS21" s="350"/>
      <c r="AT21" s="351"/>
      <c r="AU21" s="351"/>
      <c r="AV21" s="351"/>
      <c r="AW21" s="351"/>
      <c r="AX21" s="352"/>
      <c r="AY21" s="353"/>
      <c r="AZ21" s="354"/>
      <c r="BA21" s="355"/>
      <c r="BB21" s="356"/>
      <c r="BC21" s="349"/>
      <c r="BD21" s="358" t="s">
        <v>254</v>
      </c>
    </row>
    <row r="22" ht="18.75" customHeight="1">
      <c r="A22" s="359" t="str">
        <f>IF(IGRF!B23="","",IGRF!B23)</f>
        <v>40</v>
      </c>
      <c r="B22" s="360"/>
      <c r="C22" s="361"/>
      <c r="D22" s="361"/>
      <c r="E22" s="361"/>
      <c r="F22" s="361"/>
      <c r="G22" s="362"/>
      <c r="H22" s="363"/>
      <c r="I22" s="364"/>
      <c r="J22" s="365"/>
      <c r="K22" s="341"/>
      <c r="L22" s="366" t="str">
        <f>IF(COUNTA(B22:J22)=0,"",COUNTA(B22:J22))</f>
        <v/>
      </c>
      <c r="M22" s="367">
        <v>19.0</v>
      </c>
      <c r="O22" s="2"/>
      <c r="P22" s="359" t="str">
        <f>IF(IGRF!I23="","",IGRF!I23)</f>
        <v>4</v>
      </c>
      <c r="Q22" s="360"/>
      <c r="R22" s="361"/>
      <c r="S22" s="361"/>
      <c r="T22" s="361"/>
      <c r="U22" s="361"/>
      <c r="V22" s="362"/>
      <c r="W22" s="363"/>
      <c r="X22" s="364"/>
      <c r="Y22" s="365"/>
      <c r="Z22" s="341"/>
      <c r="AA22" s="383" t="str">
        <f>IF(COUNTA(Q22:Y22)=0,"",COUNTA(Q22:Y22))</f>
        <v/>
      </c>
      <c r="AB22" s="381" t="s">
        <v>237</v>
      </c>
      <c r="AC22" s="359" t="str">
        <f>IF(IGRF!B23="","",IGRF!B23)</f>
        <v>40</v>
      </c>
      <c r="AD22" s="368"/>
      <c r="AE22" s="361"/>
      <c r="AF22" s="361"/>
      <c r="AG22" s="361"/>
      <c r="AH22" s="361"/>
      <c r="AI22" s="362"/>
      <c r="AJ22" s="363"/>
      <c r="AK22" s="364"/>
      <c r="AL22" s="365"/>
      <c r="AM22" s="341"/>
      <c r="AN22" s="366" t="str">
        <f>IF(COUNTA(AD22:AL22)=0,"",COUNTA(AD22:AL22))</f>
        <v/>
      </c>
      <c r="AO22" s="367">
        <v>19.0</v>
      </c>
      <c r="AQ22" s="2"/>
      <c r="AR22" s="369" t="str">
        <f>IF(IGRF!I23="","",IGRF!I23)</f>
        <v>4</v>
      </c>
      <c r="AS22" s="360"/>
      <c r="AT22" s="361"/>
      <c r="AU22" s="361"/>
      <c r="AV22" s="361"/>
      <c r="AW22" s="361"/>
      <c r="AX22" s="362"/>
      <c r="AY22" s="363"/>
      <c r="AZ22" s="364"/>
      <c r="BA22" s="365"/>
      <c r="BB22" s="341"/>
      <c r="BC22" s="366" t="str">
        <f>IF(COUNTA(AS22:BA22)=0,"",COUNTA(AS22:BA22))</f>
        <v/>
      </c>
      <c r="BD22" s="381" t="s">
        <v>237</v>
      </c>
    </row>
    <row r="23" ht="18.75" customHeight="1">
      <c r="A23" s="349"/>
      <c r="B23" s="370"/>
      <c r="C23" s="371"/>
      <c r="D23" s="371"/>
      <c r="E23" s="371"/>
      <c r="F23" s="371"/>
      <c r="G23" s="372"/>
      <c r="H23" s="373"/>
      <c r="I23" s="374"/>
      <c r="J23" s="375"/>
      <c r="K23" s="356"/>
      <c r="L23" s="349"/>
      <c r="M23" s="357">
        <v>20.0</v>
      </c>
      <c r="N23" s="8"/>
      <c r="O23" s="160"/>
      <c r="P23" s="349"/>
      <c r="Q23" s="370"/>
      <c r="R23" s="371"/>
      <c r="S23" s="371"/>
      <c r="T23" s="371"/>
      <c r="U23" s="371"/>
      <c r="V23" s="372"/>
      <c r="W23" s="373"/>
      <c r="X23" s="374"/>
      <c r="Y23" s="375"/>
      <c r="Z23" s="356"/>
      <c r="AA23" s="378"/>
      <c r="AB23" s="384" t="s">
        <v>255</v>
      </c>
      <c r="AC23" s="349"/>
      <c r="AD23" s="377"/>
      <c r="AE23" s="371"/>
      <c r="AF23" s="371"/>
      <c r="AG23" s="371"/>
      <c r="AH23" s="371"/>
      <c r="AI23" s="372"/>
      <c r="AJ23" s="373"/>
      <c r="AK23" s="374"/>
      <c r="AL23" s="375"/>
      <c r="AM23" s="356"/>
      <c r="AN23" s="349"/>
      <c r="AO23" s="357">
        <v>20.0</v>
      </c>
      <c r="AP23" s="8"/>
      <c r="AQ23" s="160"/>
      <c r="AR23" s="378"/>
      <c r="AS23" s="370"/>
      <c r="AT23" s="371"/>
      <c r="AU23" s="371"/>
      <c r="AV23" s="371"/>
      <c r="AW23" s="371"/>
      <c r="AX23" s="372"/>
      <c r="AY23" s="373"/>
      <c r="AZ23" s="374"/>
      <c r="BA23" s="375"/>
      <c r="BB23" s="356"/>
      <c r="BC23" s="349"/>
      <c r="BD23" s="384" t="s">
        <v>255</v>
      </c>
    </row>
    <row r="24" ht="18.75" customHeight="1">
      <c r="A24" s="334" t="str">
        <f>IF(IGRF!B24="","",IGRF!B24)</f>
        <v>42</v>
      </c>
      <c r="B24" s="335" t="s">
        <v>238</v>
      </c>
      <c r="C24" s="336"/>
      <c r="D24" s="336"/>
      <c r="E24" s="336"/>
      <c r="F24" s="336"/>
      <c r="G24" s="337"/>
      <c r="H24" s="338"/>
      <c r="I24" s="339"/>
      <c r="J24" s="340"/>
      <c r="K24" s="341"/>
      <c r="L24" s="342">
        <f>IF(COUNTA(B24:J24)=0,"",COUNTA(B24:J24))</f>
        <v>1</v>
      </c>
      <c r="M24" s="367">
        <v>21.0</v>
      </c>
      <c r="O24" s="2"/>
      <c r="P24" s="334" t="str">
        <f>IF(IGRF!I24="","",IGRF!I24)</f>
        <v>42</v>
      </c>
      <c r="Q24" s="335" t="s">
        <v>241</v>
      </c>
      <c r="R24" s="336"/>
      <c r="S24" s="336"/>
      <c r="T24" s="336"/>
      <c r="U24" s="336"/>
      <c r="V24" s="337"/>
      <c r="W24" s="338"/>
      <c r="X24" s="339"/>
      <c r="Y24" s="340"/>
      <c r="Z24" s="341"/>
      <c r="AA24" s="342">
        <f>IF(COUNTA(Q24:Y24)=0,"",COUNTA(Q24:Y24))</f>
        <v>1</v>
      </c>
      <c r="AB24" s="385" t="s">
        <v>256</v>
      </c>
      <c r="AC24" s="334" t="str">
        <f>IF(IGRF!B24="","",IGRF!B24)</f>
        <v>42</v>
      </c>
      <c r="AD24" s="339"/>
      <c r="AE24" s="336" t="s">
        <v>249</v>
      </c>
      <c r="AF24" s="336" t="s">
        <v>241</v>
      </c>
      <c r="AG24" s="336" t="s">
        <v>241</v>
      </c>
      <c r="AH24" s="336"/>
      <c r="AI24" s="337"/>
      <c r="AJ24" s="338"/>
      <c r="AK24" s="339"/>
      <c r="AL24" s="340"/>
      <c r="AM24" s="341"/>
      <c r="AN24" s="342">
        <f>IF(COUNTA(AD24:AL24)=0,"",COUNTA(AD24:AL24))</f>
        <v>3</v>
      </c>
      <c r="AO24" s="367">
        <v>21.0</v>
      </c>
      <c r="AQ24" s="2"/>
      <c r="AR24" s="348" t="str">
        <f>IF(IGRF!I24="","",IGRF!I24)</f>
        <v>42</v>
      </c>
      <c r="AS24" s="335"/>
      <c r="AT24" s="336"/>
      <c r="AU24" s="336"/>
      <c r="AV24" s="336"/>
      <c r="AW24" s="336"/>
      <c r="AX24" s="337"/>
      <c r="AY24" s="338"/>
      <c r="AZ24" s="339"/>
      <c r="BA24" s="340"/>
      <c r="BB24" s="341"/>
      <c r="BC24" s="342" t="str">
        <f>IF(COUNTA(AS24:BA24)=0,"",COUNTA(AS24:BA24))</f>
        <v/>
      </c>
      <c r="BD24" s="385" t="s">
        <v>256</v>
      </c>
    </row>
    <row r="25" ht="18.75" customHeight="1">
      <c r="A25" s="349"/>
      <c r="B25" s="350">
        <v>16.0</v>
      </c>
      <c r="C25" s="351"/>
      <c r="D25" s="351"/>
      <c r="E25" s="351"/>
      <c r="F25" s="351"/>
      <c r="G25" s="352"/>
      <c r="H25" s="353"/>
      <c r="I25" s="354"/>
      <c r="J25" s="355"/>
      <c r="K25" s="356"/>
      <c r="L25" s="349"/>
      <c r="M25" s="357">
        <v>22.0</v>
      </c>
      <c r="N25" s="8"/>
      <c r="O25" s="160"/>
      <c r="P25" s="349"/>
      <c r="Q25" s="350">
        <v>8.0</v>
      </c>
      <c r="R25" s="351"/>
      <c r="S25" s="351"/>
      <c r="T25" s="351"/>
      <c r="U25" s="351"/>
      <c r="V25" s="352"/>
      <c r="W25" s="353"/>
      <c r="X25" s="354"/>
      <c r="Y25" s="355"/>
      <c r="Z25" s="356"/>
      <c r="AA25" s="349"/>
      <c r="AB25" s="386" t="s">
        <v>257</v>
      </c>
      <c r="AC25" s="349"/>
      <c r="AD25" s="354"/>
      <c r="AE25" s="351">
        <v>5.0</v>
      </c>
      <c r="AF25" s="351">
        <v>15.0</v>
      </c>
      <c r="AG25" s="351">
        <v>23.0</v>
      </c>
      <c r="AH25" s="351"/>
      <c r="AI25" s="352"/>
      <c r="AJ25" s="353"/>
      <c r="AK25" s="354"/>
      <c r="AL25" s="355"/>
      <c r="AM25" s="356"/>
      <c r="AN25" s="349"/>
      <c r="AO25" s="357">
        <v>22.0</v>
      </c>
      <c r="AP25" s="8"/>
      <c r="AQ25" s="160"/>
      <c r="AR25" s="69"/>
      <c r="AS25" s="350"/>
      <c r="AT25" s="351"/>
      <c r="AU25" s="351"/>
      <c r="AV25" s="351"/>
      <c r="AW25" s="351"/>
      <c r="AX25" s="352"/>
      <c r="AY25" s="353"/>
      <c r="AZ25" s="354"/>
      <c r="BA25" s="355"/>
      <c r="BB25" s="356"/>
      <c r="BC25" s="349"/>
      <c r="BD25" s="386" t="s">
        <v>257</v>
      </c>
    </row>
    <row r="26" ht="18.75" customHeight="1">
      <c r="A26" s="359" t="str">
        <f>IF(IGRF!B25="","",IGRF!B25)</f>
        <v>44</v>
      </c>
      <c r="B26" s="360"/>
      <c r="C26" s="361"/>
      <c r="D26" s="361"/>
      <c r="E26" s="361"/>
      <c r="F26" s="361"/>
      <c r="G26" s="362"/>
      <c r="H26" s="363"/>
      <c r="I26" s="364"/>
      <c r="J26" s="365"/>
      <c r="K26" s="341"/>
      <c r="L26" s="366" t="str">
        <f>IF(COUNTA(B26:J26)=0,"",COUNTA(B26:J26))</f>
        <v/>
      </c>
      <c r="M26" s="367">
        <v>23.0</v>
      </c>
      <c r="O26" s="2"/>
      <c r="P26" s="359" t="str">
        <f>IF(IGRF!I25="","",IGRF!I25)</f>
        <v>48</v>
      </c>
      <c r="Q26" s="360"/>
      <c r="R26" s="361"/>
      <c r="S26" s="361"/>
      <c r="T26" s="361"/>
      <c r="U26" s="361"/>
      <c r="V26" s="362"/>
      <c r="W26" s="363"/>
      <c r="X26" s="364"/>
      <c r="Y26" s="365"/>
      <c r="Z26" s="341"/>
      <c r="AA26" s="383" t="str">
        <f>IF(COUNTA(Q26:Y26)=0,"",COUNTA(Q26:Y26))</f>
        <v/>
      </c>
      <c r="AB26" s="381" t="s">
        <v>241</v>
      </c>
      <c r="AC26" s="359" t="str">
        <f>IF(IGRF!B25="","",IGRF!B25)</f>
        <v>44</v>
      </c>
      <c r="AD26" s="368"/>
      <c r="AE26" s="361"/>
      <c r="AF26" s="361"/>
      <c r="AG26" s="361"/>
      <c r="AH26" s="361"/>
      <c r="AI26" s="362"/>
      <c r="AJ26" s="363"/>
      <c r="AK26" s="364"/>
      <c r="AL26" s="365"/>
      <c r="AM26" s="341"/>
      <c r="AN26" s="366" t="str">
        <f>IF(COUNTA(AD26:AL26)=0,"",COUNTA(AD26:AL26))</f>
        <v/>
      </c>
      <c r="AO26" s="367">
        <v>23.0</v>
      </c>
      <c r="AQ26" s="2"/>
      <c r="AR26" s="369" t="str">
        <f>IF(IGRF!I25="","",IGRF!I25)</f>
        <v>48</v>
      </c>
      <c r="AS26" s="360"/>
      <c r="AT26" s="361"/>
      <c r="AU26" s="361"/>
      <c r="AV26" s="361"/>
      <c r="AW26" s="361"/>
      <c r="AX26" s="362"/>
      <c r="AY26" s="363"/>
      <c r="AZ26" s="364"/>
      <c r="BA26" s="365"/>
      <c r="BB26" s="341"/>
      <c r="BC26" s="366" t="str">
        <f>IF(COUNTA(AS26:BA26)=0,"",COUNTA(AS26:BA26))</f>
        <v/>
      </c>
      <c r="BD26" s="381" t="s">
        <v>241</v>
      </c>
    </row>
    <row r="27" ht="18.75" customHeight="1">
      <c r="A27" s="349"/>
      <c r="B27" s="370"/>
      <c r="C27" s="371"/>
      <c r="D27" s="371"/>
      <c r="E27" s="371"/>
      <c r="F27" s="371"/>
      <c r="G27" s="372"/>
      <c r="H27" s="373"/>
      <c r="I27" s="374"/>
      <c r="J27" s="375"/>
      <c r="K27" s="356"/>
      <c r="L27" s="349"/>
      <c r="M27" s="357">
        <v>24.0</v>
      </c>
      <c r="N27" s="8"/>
      <c r="O27" s="160"/>
      <c r="P27" s="349"/>
      <c r="Q27" s="370"/>
      <c r="R27" s="371"/>
      <c r="S27" s="371"/>
      <c r="T27" s="371"/>
      <c r="U27" s="371"/>
      <c r="V27" s="372"/>
      <c r="W27" s="373"/>
      <c r="X27" s="374"/>
      <c r="Y27" s="375"/>
      <c r="Z27" s="356"/>
      <c r="AA27" s="378"/>
      <c r="AB27" s="384" t="s">
        <v>258</v>
      </c>
      <c r="AC27" s="349"/>
      <c r="AD27" s="377"/>
      <c r="AE27" s="371"/>
      <c r="AF27" s="371"/>
      <c r="AG27" s="371"/>
      <c r="AH27" s="371"/>
      <c r="AI27" s="372"/>
      <c r="AJ27" s="373"/>
      <c r="AK27" s="374"/>
      <c r="AL27" s="375"/>
      <c r="AM27" s="356"/>
      <c r="AN27" s="349"/>
      <c r="AO27" s="357">
        <v>24.0</v>
      </c>
      <c r="AP27" s="8"/>
      <c r="AQ27" s="160"/>
      <c r="AR27" s="378"/>
      <c r="AS27" s="370"/>
      <c r="AT27" s="371"/>
      <c r="AU27" s="371"/>
      <c r="AV27" s="371"/>
      <c r="AW27" s="371"/>
      <c r="AX27" s="372"/>
      <c r="AY27" s="373"/>
      <c r="AZ27" s="374"/>
      <c r="BA27" s="375"/>
      <c r="BB27" s="356"/>
      <c r="BC27" s="349"/>
      <c r="BD27" s="384" t="s">
        <v>258</v>
      </c>
    </row>
    <row r="28" ht="18.75" customHeight="1">
      <c r="A28" s="334" t="str">
        <f>IF(IGRF!B26="","",IGRF!B26)</f>
        <v>45</v>
      </c>
      <c r="B28" s="335"/>
      <c r="C28" s="336"/>
      <c r="D28" s="336"/>
      <c r="E28" s="336"/>
      <c r="F28" s="336"/>
      <c r="G28" s="337"/>
      <c r="H28" s="338"/>
      <c r="I28" s="339"/>
      <c r="J28" s="340"/>
      <c r="K28" s="341"/>
      <c r="L28" s="342" t="str">
        <f>IF(COUNTA(B28:J28)=0,"",COUNTA(B28:J28))</f>
        <v/>
      </c>
      <c r="M28" s="367">
        <v>25.0</v>
      </c>
      <c r="O28" s="2"/>
      <c r="P28" s="334" t="str">
        <f>IF(IGRF!I26="","",IGRF!I26)</f>
        <v>167</v>
      </c>
      <c r="Q28" s="335"/>
      <c r="R28" s="336"/>
      <c r="S28" s="336"/>
      <c r="T28" s="336"/>
      <c r="U28" s="336"/>
      <c r="V28" s="337"/>
      <c r="W28" s="338"/>
      <c r="X28" s="339"/>
      <c r="Y28" s="340"/>
      <c r="Z28" s="341"/>
      <c r="AA28" s="346" t="str">
        <f>IF(COUNTA(Q28:Y28)=0,"",COUNTA(Q28:Y28))</f>
        <v/>
      </c>
      <c r="AB28" s="385" t="s">
        <v>259</v>
      </c>
      <c r="AC28" s="334" t="str">
        <f>IF(IGRF!B26="","",IGRF!B26)</f>
        <v>45</v>
      </c>
      <c r="AD28" s="339"/>
      <c r="AE28" s="336"/>
      <c r="AF28" s="336"/>
      <c r="AG28" s="336"/>
      <c r="AH28" s="336"/>
      <c r="AI28" s="337"/>
      <c r="AJ28" s="338"/>
      <c r="AK28" s="339"/>
      <c r="AL28" s="340"/>
      <c r="AM28" s="341"/>
      <c r="AN28" s="342" t="str">
        <f>IF(COUNTA(AD28:AL28)=0,"",COUNTA(AD28:AL28))</f>
        <v/>
      </c>
      <c r="AO28" s="367">
        <v>25.0</v>
      </c>
      <c r="AQ28" s="2"/>
      <c r="AR28" s="348" t="str">
        <f>IF(IGRF!I26="","",IGRF!I26)</f>
        <v>167</v>
      </c>
      <c r="AS28" s="335"/>
      <c r="AT28" s="336"/>
      <c r="AU28" s="336"/>
      <c r="AV28" s="336"/>
      <c r="AW28" s="336"/>
      <c r="AX28" s="337"/>
      <c r="AY28" s="338"/>
      <c r="AZ28" s="339"/>
      <c r="BA28" s="340"/>
      <c r="BB28" s="341"/>
      <c r="BC28" s="342" t="str">
        <f>IF(COUNTA(AS28:BA28)=0,"",COUNTA(AS28:BA28))</f>
        <v/>
      </c>
      <c r="BD28" s="385" t="s">
        <v>259</v>
      </c>
    </row>
    <row r="29" ht="18.75" customHeight="1">
      <c r="A29" s="349"/>
      <c r="B29" s="350"/>
      <c r="C29" s="351"/>
      <c r="D29" s="351"/>
      <c r="E29" s="351"/>
      <c r="F29" s="351"/>
      <c r="G29" s="352"/>
      <c r="H29" s="353"/>
      <c r="I29" s="354"/>
      <c r="J29" s="355"/>
      <c r="K29" s="356"/>
      <c r="L29" s="349"/>
      <c r="M29" s="357">
        <v>26.0</v>
      </c>
      <c r="N29" s="8"/>
      <c r="O29" s="160"/>
      <c r="P29" s="349"/>
      <c r="Q29" s="350"/>
      <c r="R29" s="351"/>
      <c r="S29" s="351"/>
      <c r="T29" s="351"/>
      <c r="U29" s="351"/>
      <c r="V29" s="352"/>
      <c r="W29" s="353"/>
      <c r="X29" s="354"/>
      <c r="Y29" s="355"/>
      <c r="Z29" s="356"/>
      <c r="AA29" s="155"/>
      <c r="AB29" s="347" t="s">
        <v>252</v>
      </c>
      <c r="AC29" s="349"/>
      <c r="AD29" s="354"/>
      <c r="AE29" s="351"/>
      <c r="AF29" s="351"/>
      <c r="AG29" s="351"/>
      <c r="AH29" s="351"/>
      <c r="AI29" s="352"/>
      <c r="AJ29" s="353"/>
      <c r="AK29" s="354"/>
      <c r="AL29" s="355"/>
      <c r="AM29" s="356"/>
      <c r="AN29" s="349"/>
      <c r="AO29" s="357">
        <v>26.0</v>
      </c>
      <c r="AP29" s="8"/>
      <c r="AQ29" s="160"/>
      <c r="AR29" s="69"/>
      <c r="AS29" s="350"/>
      <c r="AT29" s="351"/>
      <c r="AU29" s="351"/>
      <c r="AV29" s="351"/>
      <c r="AW29" s="351"/>
      <c r="AX29" s="352"/>
      <c r="AY29" s="353"/>
      <c r="AZ29" s="354"/>
      <c r="BA29" s="355"/>
      <c r="BB29" s="356"/>
      <c r="BC29" s="349"/>
      <c r="BD29" s="347" t="s">
        <v>252</v>
      </c>
    </row>
    <row r="30" ht="18.75" customHeight="1">
      <c r="A30" s="359" t="str">
        <f>IF(IGRF!B27="","",IGRF!B27)</f>
        <v>48</v>
      </c>
      <c r="B30" s="360"/>
      <c r="C30" s="361"/>
      <c r="D30" s="361"/>
      <c r="E30" s="361"/>
      <c r="F30" s="361"/>
      <c r="G30" s="362"/>
      <c r="H30" s="363"/>
      <c r="I30" s="364"/>
      <c r="J30" s="365"/>
      <c r="K30" s="341"/>
      <c r="L30" s="366" t="str">
        <f>IF(COUNTA(B30:J30)=0,"",COUNTA(B30:J30))</f>
        <v/>
      </c>
      <c r="M30" s="367">
        <v>27.0</v>
      </c>
      <c r="O30" s="2"/>
      <c r="P30" s="359" t="str">
        <f>IF(IGRF!I27="","",IGRF!I27)</f>
        <v>602</v>
      </c>
      <c r="Q30" s="360" t="s">
        <v>252</v>
      </c>
      <c r="R30" s="361"/>
      <c r="S30" s="361"/>
      <c r="T30" s="361"/>
      <c r="U30" s="361"/>
      <c r="V30" s="362"/>
      <c r="W30" s="363"/>
      <c r="X30" s="364"/>
      <c r="Y30" s="365"/>
      <c r="Z30" s="341"/>
      <c r="AA30" s="383">
        <f>IF(COUNTA(Q30:Y30)=0,"",COUNTA(Q30:Y30))</f>
        <v>1</v>
      </c>
      <c r="AB30" s="358" t="s">
        <v>260</v>
      </c>
      <c r="AC30" s="359" t="str">
        <f>IF(IGRF!B27="","",IGRF!B27)</f>
        <v>48</v>
      </c>
      <c r="AD30" s="368" t="s">
        <v>238</v>
      </c>
      <c r="AE30" s="361" t="s">
        <v>241</v>
      </c>
      <c r="AF30" s="361"/>
      <c r="AG30" s="361"/>
      <c r="AH30" s="361"/>
      <c r="AI30" s="362"/>
      <c r="AJ30" s="363"/>
      <c r="AK30" s="364"/>
      <c r="AL30" s="365"/>
      <c r="AM30" s="341"/>
      <c r="AN30" s="366">
        <f>IF(COUNTA(AD30:AL30)=0,"",COUNTA(AD30:AL30))</f>
        <v>2</v>
      </c>
      <c r="AO30" s="367">
        <v>27.0</v>
      </c>
      <c r="AQ30" s="2"/>
      <c r="AR30" s="369" t="str">
        <f>IF(IGRF!I27="","",IGRF!I27)</f>
        <v>602</v>
      </c>
      <c r="AS30" s="360"/>
      <c r="AT30" s="361"/>
      <c r="AU30" s="361"/>
      <c r="AV30" s="361"/>
      <c r="AW30" s="361"/>
      <c r="AX30" s="362"/>
      <c r="AY30" s="363"/>
      <c r="AZ30" s="364"/>
      <c r="BA30" s="365"/>
      <c r="BB30" s="341"/>
      <c r="BC30" s="366" t="str">
        <f>IF(COUNTA(AS30:BA30)=0,"",COUNTA(AS30:BA30))</f>
        <v/>
      </c>
      <c r="BD30" s="358" t="s">
        <v>260</v>
      </c>
    </row>
    <row r="31" ht="18.75" customHeight="1">
      <c r="A31" s="349"/>
      <c r="B31" s="370"/>
      <c r="C31" s="371"/>
      <c r="D31" s="371"/>
      <c r="E31" s="371"/>
      <c r="F31" s="371"/>
      <c r="G31" s="372"/>
      <c r="H31" s="373"/>
      <c r="I31" s="374"/>
      <c r="J31" s="375"/>
      <c r="K31" s="356"/>
      <c r="L31" s="349"/>
      <c r="M31" s="357">
        <v>28.0</v>
      </c>
      <c r="N31" s="8"/>
      <c r="O31" s="160"/>
      <c r="P31" s="349"/>
      <c r="Q31" s="370">
        <v>16.0</v>
      </c>
      <c r="R31" s="371"/>
      <c r="S31" s="371"/>
      <c r="T31" s="371"/>
      <c r="U31" s="371"/>
      <c r="V31" s="372"/>
      <c r="W31" s="373"/>
      <c r="X31" s="374"/>
      <c r="Y31" s="375"/>
      <c r="Z31" s="356"/>
      <c r="AA31" s="378"/>
      <c r="AB31" s="387" t="s">
        <v>261</v>
      </c>
      <c r="AC31" s="349"/>
      <c r="AD31" s="377">
        <v>5.0</v>
      </c>
      <c r="AE31" s="371">
        <v>6.0</v>
      </c>
      <c r="AF31" s="371"/>
      <c r="AG31" s="371"/>
      <c r="AH31" s="371"/>
      <c r="AI31" s="372"/>
      <c r="AJ31" s="373"/>
      <c r="AK31" s="374"/>
      <c r="AL31" s="375"/>
      <c r="AM31" s="356"/>
      <c r="AN31" s="349"/>
      <c r="AO31" s="357">
        <v>28.0</v>
      </c>
      <c r="AP31" s="8"/>
      <c r="AQ31" s="160"/>
      <c r="AR31" s="378"/>
      <c r="AS31" s="370"/>
      <c r="AT31" s="371"/>
      <c r="AU31" s="371"/>
      <c r="AV31" s="371"/>
      <c r="AW31" s="371"/>
      <c r="AX31" s="372"/>
      <c r="AY31" s="373"/>
      <c r="AZ31" s="374"/>
      <c r="BA31" s="375"/>
      <c r="BB31" s="356"/>
      <c r="BC31" s="349"/>
      <c r="BD31" s="387" t="s">
        <v>261</v>
      </c>
    </row>
    <row r="32" ht="18.75" customHeight="1">
      <c r="A32" s="334" t="str">
        <f>IF(IGRF!B28="","",IGRF!B28)</f>
        <v>565</v>
      </c>
      <c r="B32" s="335"/>
      <c r="C32" s="336"/>
      <c r="D32" s="336"/>
      <c r="E32" s="336"/>
      <c r="F32" s="336"/>
      <c r="G32" s="337"/>
      <c r="H32" s="338"/>
      <c r="I32" s="339"/>
      <c r="J32" s="340"/>
      <c r="K32" s="341"/>
      <c r="L32" s="342" t="str">
        <f>IF(COUNTA(B32:J32)=0,"",COUNTA(B32:J32))</f>
        <v/>
      </c>
      <c r="M32" s="367">
        <v>29.0</v>
      </c>
      <c r="O32" s="2"/>
      <c r="P32" s="334" t="str">
        <f>IF(IGRF!I28="","",IGRF!I28)</f>
        <v>777</v>
      </c>
      <c r="Q32" s="335" t="s">
        <v>241</v>
      </c>
      <c r="R32" s="336" t="s">
        <v>252</v>
      </c>
      <c r="S32" s="336" t="s">
        <v>241</v>
      </c>
      <c r="T32" s="336" t="s">
        <v>242</v>
      </c>
      <c r="U32" s="336" t="s">
        <v>241</v>
      </c>
      <c r="V32" s="337"/>
      <c r="W32" s="338"/>
      <c r="X32" s="339"/>
      <c r="Y32" s="340"/>
      <c r="Z32" s="341"/>
      <c r="AA32" s="346">
        <f>IF(COUNTA(Q32:Y32)=0,"",COUNTA(Q32:Y32))</f>
        <v>5</v>
      </c>
      <c r="AB32" s="387" t="s">
        <v>262</v>
      </c>
      <c r="AC32" s="334" t="str">
        <f>IF(IGRF!B28="","",IGRF!B28)</f>
        <v>565</v>
      </c>
      <c r="AD32" s="339"/>
      <c r="AE32" s="336"/>
      <c r="AF32" s="336"/>
      <c r="AG32" s="336"/>
      <c r="AH32" s="336"/>
      <c r="AI32" s="337"/>
      <c r="AJ32" s="338"/>
      <c r="AK32" s="339"/>
      <c r="AL32" s="340"/>
      <c r="AM32" s="341"/>
      <c r="AN32" s="342" t="str">
        <f>IF(COUNTA(AD32:AL32)=0,"",COUNTA(AD32:AL32))</f>
        <v/>
      </c>
      <c r="AO32" s="367">
        <v>29.0</v>
      </c>
      <c r="AQ32" s="2"/>
      <c r="AR32" s="348" t="str">
        <f>IF(IGRF!I28="","",IGRF!I28)</f>
        <v>777</v>
      </c>
      <c r="AS32" s="335"/>
      <c r="AT32" s="336"/>
      <c r="AU32" s="336"/>
      <c r="AV32" s="336"/>
      <c r="AW32" s="336"/>
      <c r="AX32" s="337" t="s">
        <v>242</v>
      </c>
      <c r="AY32" s="338"/>
      <c r="AZ32" s="339"/>
      <c r="BA32" s="340"/>
      <c r="BB32" s="341"/>
      <c r="BC32" s="342">
        <f>IF(COUNTA(AS32:BA32)=0,"",COUNTA(AS32:BA32))</f>
        <v>1</v>
      </c>
      <c r="BD32" s="387" t="s">
        <v>262</v>
      </c>
    </row>
    <row r="33" ht="18.75" customHeight="1">
      <c r="A33" s="349"/>
      <c r="B33" s="350"/>
      <c r="C33" s="351"/>
      <c r="D33" s="351"/>
      <c r="E33" s="351"/>
      <c r="F33" s="351"/>
      <c r="G33" s="352"/>
      <c r="H33" s="353"/>
      <c r="I33" s="354"/>
      <c r="J33" s="355"/>
      <c r="K33" s="356"/>
      <c r="L33" s="349"/>
      <c r="M33" s="357">
        <v>30.0</v>
      </c>
      <c r="N33" s="8"/>
      <c r="O33" s="160"/>
      <c r="P33" s="349"/>
      <c r="Q33" s="350">
        <v>1.0</v>
      </c>
      <c r="R33" s="351">
        <v>5.0</v>
      </c>
      <c r="S33" s="351">
        <v>15.0</v>
      </c>
      <c r="T33" s="351">
        <v>19.0</v>
      </c>
      <c r="U33" s="351">
        <v>21.0</v>
      </c>
      <c r="V33" s="352"/>
      <c r="W33" s="353"/>
      <c r="X33" s="354"/>
      <c r="Y33" s="355"/>
      <c r="Z33" s="356"/>
      <c r="AA33" s="155"/>
      <c r="AB33" s="388" t="s">
        <v>263</v>
      </c>
      <c r="AC33" s="349"/>
      <c r="AD33" s="354"/>
      <c r="AE33" s="351"/>
      <c r="AF33" s="351"/>
      <c r="AG33" s="351"/>
      <c r="AH33" s="351"/>
      <c r="AI33" s="352"/>
      <c r="AJ33" s="353"/>
      <c r="AK33" s="354"/>
      <c r="AL33" s="355"/>
      <c r="AM33" s="356"/>
      <c r="AN33" s="349"/>
      <c r="AO33" s="357">
        <v>30.0</v>
      </c>
      <c r="AP33" s="8"/>
      <c r="AQ33" s="160"/>
      <c r="AR33" s="69"/>
      <c r="AS33" s="350"/>
      <c r="AT33" s="351"/>
      <c r="AU33" s="351"/>
      <c r="AV33" s="351"/>
      <c r="AW33" s="351"/>
      <c r="AX33" s="352">
        <v>13.0</v>
      </c>
      <c r="AY33" s="353"/>
      <c r="AZ33" s="354"/>
      <c r="BA33" s="355"/>
      <c r="BB33" s="356"/>
      <c r="BC33" s="349"/>
      <c r="BD33" s="388" t="s">
        <v>263</v>
      </c>
    </row>
    <row r="34" ht="18.75" customHeight="1">
      <c r="A34" s="359" t="str">
        <f>IF(IGRF!B29="","",IGRF!B29)</f>
        <v>50</v>
      </c>
      <c r="B34" s="360" t="s">
        <v>242</v>
      </c>
      <c r="C34" s="361" t="s">
        <v>241</v>
      </c>
      <c r="D34" s="361" t="s">
        <v>241</v>
      </c>
      <c r="E34" s="361"/>
      <c r="F34" s="361"/>
      <c r="G34" s="362"/>
      <c r="H34" s="363"/>
      <c r="I34" s="364"/>
      <c r="J34" s="365"/>
      <c r="K34" s="341"/>
      <c r="L34" s="366">
        <f>IF(COUNTA(B34:J34)=0,"",COUNTA(B34:J34))</f>
        <v>3</v>
      </c>
      <c r="M34" s="367">
        <v>31.0</v>
      </c>
      <c r="O34" s="2"/>
      <c r="P34" s="359" t="str">
        <f>IF(IGRF!I29="","",IGRF!I29)</f>
        <v>88</v>
      </c>
      <c r="Q34" s="360" t="s">
        <v>242</v>
      </c>
      <c r="R34" s="361"/>
      <c r="S34" s="361"/>
      <c r="T34" s="361"/>
      <c r="U34" s="361"/>
      <c r="V34" s="362"/>
      <c r="W34" s="363"/>
      <c r="X34" s="364"/>
      <c r="Y34" s="365"/>
      <c r="Z34" s="341"/>
      <c r="AA34" s="383">
        <f>IF(COUNTA(Q34:Y34)=0,"",COUNTA(Q34:Y34))</f>
        <v>1</v>
      </c>
      <c r="AB34" s="388" t="s">
        <v>264</v>
      </c>
      <c r="AC34" s="359" t="str">
        <f>IF(IGRF!B29="","",IGRF!B29)</f>
        <v>50</v>
      </c>
      <c r="AD34" s="368"/>
      <c r="AE34" s="361"/>
      <c r="AF34" s="361"/>
      <c r="AG34" s="361"/>
      <c r="AH34" s="361"/>
      <c r="AI34" s="362"/>
      <c r="AJ34" s="363"/>
      <c r="AK34" s="364"/>
      <c r="AL34" s="365"/>
      <c r="AM34" s="341"/>
      <c r="AN34" s="366" t="str">
        <f>IF(COUNTA(AD34:AL34)=0,"",COUNTA(AD34:AL34))</f>
        <v/>
      </c>
      <c r="AO34" s="367">
        <v>31.0</v>
      </c>
      <c r="AQ34" s="2"/>
      <c r="AR34" s="369" t="str">
        <f>IF(IGRF!I29="","",IGRF!I29)</f>
        <v>88</v>
      </c>
      <c r="AS34" s="360"/>
      <c r="AT34" s="361"/>
      <c r="AU34" s="361"/>
      <c r="AV34" s="361"/>
      <c r="AW34" s="361"/>
      <c r="AX34" s="362"/>
      <c r="AY34" s="363"/>
      <c r="AZ34" s="364"/>
      <c r="BA34" s="365"/>
      <c r="BB34" s="341"/>
      <c r="BC34" s="366" t="str">
        <f>IF(COUNTA(AS34:BA34)=0,"",COUNTA(AS34:BA34))</f>
        <v/>
      </c>
      <c r="BD34" s="388" t="s">
        <v>264</v>
      </c>
    </row>
    <row r="35" ht="18.75" customHeight="1">
      <c r="A35" s="349"/>
      <c r="B35" s="370">
        <v>7.0</v>
      </c>
      <c r="C35" s="371">
        <v>11.0</v>
      </c>
      <c r="D35" s="371">
        <v>15.0</v>
      </c>
      <c r="E35" s="371"/>
      <c r="F35" s="371"/>
      <c r="G35" s="372"/>
      <c r="H35" s="373"/>
      <c r="I35" s="374"/>
      <c r="J35" s="375"/>
      <c r="K35" s="356"/>
      <c r="L35" s="349"/>
      <c r="M35" s="357">
        <v>32.0</v>
      </c>
      <c r="N35" s="8"/>
      <c r="O35" s="160"/>
      <c r="P35" s="349"/>
      <c r="Q35" s="370">
        <v>11.0</v>
      </c>
      <c r="R35" s="371"/>
      <c r="S35" s="371"/>
      <c r="T35" s="371"/>
      <c r="U35" s="371"/>
      <c r="V35" s="372"/>
      <c r="W35" s="373"/>
      <c r="X35" s="374"/>
      <c r="Y35" s="375"/>
      <c r="Z35" s="356"/>
      <c r="AA35" s="378"/>
      <c r="AB35" s="388" t="s">
        <v>265</v>
      </c>
      <c r="AC35" s="349"/>
      <c r="AD35" s="377"/>
      <c r="AE35" s="371"/>
      <c r="AF35" s="371"/>
      <c r="AG35" s="371"/>
      <c r="AH35" s="371"/>
      <c r="AI35" s="372"/>
      <c r="AJ35" s="373"/>
      <c r="AK35" s="374"/>
      <c r="AL35" s="375"/>
      <c r="AM35" s="356"/>
      <c r="AN35" s="349"/>
      <c r="AO35" s="357">
        <v>32.0</v>
      </c>
      <c r="AP35" s="8"/>
      <c r="AQ35" s="160"/>
      <c r="AR35" s="378"/>
      <c r="AS35" s="370"/>
      <c r="AT35" s="371"/>
      <c r="AU35" s="371"/>
      <c r="AV35" s="371"/>
      <c r="AW35" s="371"/>
      <c r="AX35" s="372"/>
      <c r="AY35" s="373"/>
      <c r="AZ35" s="374"/>
      <c r="BA35" s="375"/>
      <c r="BB35" s="356"/>
      <c r="BC35" s="349"/>
      <c r="BD35" s="388" t="s">
        <v>265</v>
      </c>
    </row>
    <row r="36" ht="18.75" customHeight="1">
      <c r="A36" s="334" t="str">
        <f>IF(IGRF!B30="","",IGRF!B30)</f>
        <v>808</v>
      </c>
      <c r="B36" s="335"/>
      <c r="C36" s="336"/>
      <c r="D36" s="336"/>
      <c r="E36" s="336"/>
      <c r="F36" s="336"/>
      <c r="G36" s="337"/>
      <c r="H36" s="338"/>
      <c r="I36" s="339"/>
      <c r="J36" s="340"/>
      <c r="K36" s="341"/>
      <c r="L36" s="342" t="str">
        <f>IF(COUNTA(B36:J36)=0,"",COUNTA(B36:J36))</f>
        <v/>
      </c>
      <c r="M36" s="367">
        <v>33.0</v>
      </c>
      <c r="O36" s="2"/>
      <c r="P36" s="389" t="str">
        <f>IF(IGRF!I30="","",IGRF!I30)</f>
        <v/>
      </c>
      <c r="Q36" s="335"/>
      <c r="R36" s="336"/>
      <c r="S36" s="336"/>
      <c r="T36" s="336"/>
      <c r="U36" s="336"/>
      <c r="V36" s="337"/>
      <c r="W36" s="338"/>
      <c r="X36" s="339"/>
      <c r="Y36" s="340"/>
      <c r="Z36" s="341"/>
      <c r="AA36" s="346" t="str">
        <f>IF(COUNTA(Q36:Y36)=0,"",COUNTA(Q36:Y36))</f>
        <v/>
      </c>
      <c r="AB36" s="381" t="s">
        <v>222</v>
      </c>
      <c r="AC36" s="334" t="str">
        <f>IF(IGRF!B30="","",IGRF!B30)</f>
        <v>808</v>
      </c>
      <c r="AD36" s="339" t="s">
        <v>249</v>
      </c>
      <c r="AE36" s="336"/>
      <c r="AF36" s="336"/>
      <c r="AG36" s="336"/>
      <c r="AH36" s="336"/>
      <c r="AI36" s="337"/>
      <c r="AJ36" s="338"/>
      <c r="AK36" s="339"/>
      <c r="AL36" s="340"/>
      <c r="AM36" s="341"/>
      <c r="AN36" s="342">
        <f>IF(COUNTA(AD36:AL36)=0,"",COUNTA(AD36:AL36))</f>
        <v>1</v>
      </c>
      <c r="AO36" s="367">
        <v>33.0</v>
      </c>
      <c r="AQ36" s="2"/>
      <c r="AR36" s="390" t="str">
        <f>IF(IGRF!I30="","",IGRF!I30)</f>
        <v/>
      </c>
      <c r="AS36" s="335"/>
      <c r="AT36" s="336"/>
      <c r="AU36" s="336"/>
      <c r="AV36" s="336"/>
      <c r="AW36" s="336"/>
      <c r="AX36" s="337"/>
      <c r="AY36" s="338"/>
      <c r="AZ36" s="339"/>
      <c r="BA36" s="340"/>
      <c r="BB36" s="341"/>
      <c r="BC36" s="342" t="str">
        <f>IF(COUNTA(AS36:BA36)=0,"",COUNTA(AS36:BA36))</f>
        <v/>
      </c>
      <c r="BD36" s="381" t="s">
        <v>222</v>
      </c>
    </row>
    <row r="37" ht="18.75" customHeight="1">
      <c r="A37" s="349"/>
      <c r="B37" s="350"/>
      <c r="C37" s="351"/>
      <c r="D37" s="351"/>
      <c r="E37" s="351"/>
      <c r="F37" s="351"/>
      <c r="G37" s="352"/>
      <c r="H37" s="353"/>
      <c r="I37" s="354"/>
      <c r="J37" s="355"/>
      <c r="K37" s="356"/>
      <c r="L37" s="349"/>
      <c r="M37" s="357">
        <v>34.0</v>
      </c>
      <c r="N37" s="8"/>
      <c r="O37" s="160"/>
      <c r="P37" s="349"/>
      <c r="Q37" s="350"/>
      <c r="R37" s="351"/>
      <c r="S37" s="351"/>
      <c r="T37" s="351"/>
      <c r="U37" s="351"/>
      <c r="V37" s="352"/>
      <c r="W37" s="353"/>
      <c r="X37" s="354"/>
      <c r="Y37" s="355"/>
      <c r="Z37" s="356"/>
      <c r="AA37" s="155"/>
      <c r="AB37" s="384" t="s">
        <v>266</v>
      </c>
      <c r="AC37" s="349"/>
      <c r="AD37" s="354">
        <v>2.0</v>
      </c>
      <c r="AE37" s="351"/>
      <c r="AF37" s="351"/>
      <c r="AG37" s="351"/>
      <c r="AH37" s="351"/>
      <c r="AI37" s="352"/>
      <c r="AJ37" s="353"/>
      <c r="AK37" s="354"/>
      <c r="AL37" s="355"/>
      <c r="AM37" s="356"/>
      <c r="AN37" s="349"/>
      <c r="AO37" s="357">
        <v>34.0</v>
      </c>
      <c r="AP37" s="8"/>
      <c r="AQ37" s="160"/>
      <c r="AR37" s="69"/>
      <c r="AS37" s="350"/>
      <c r="AT37" s="351"/>
      <c r="AU37" s="351"/>
      <c r="AV37" s="351"/>
      <c r="AW37" s="351"/>
      <c r="AX37" s="352"/>
      <c r="AY37" s="353"/>
      <c r="AZ37" s="354"/>
      <c r="BA37" s="355"/>
      <c r="BB37" s="356"/>
      <c r="BC37" s="349"/>
      <c r="BD37" s="384" t="s">
        <v>266</v>
      </c>
    </row>
    <row r="38" ht="18.75" customHeight="1">
      <c r="A38" s="359" t="str">
        <f>IF(IGRF!B31="","",IGRF!B31)</f>
        <v>912</v>
      </c>
      <c r="B38" s="360" t="s">
        <v>242</v>
      </c>
      <c r="C38" s="361"/>
      <c r="D38" s="361"/>
      <c r="E38" s="361"/>
      <c r="F38" s="361"/>
      <c r="G38" s="362"/>
      <c r="H38" s="363"/>
      <c r="I38" s="364"/>
      <c r="J38" s="365"/>
      <c r="K38" s="341"/>
      <c r="L38" s="366">
        <f>IF(COUNTA(B38:J38)=0,"",COUNTA(B38:J38))</f>
        <v>1</v>
      </c>
      <c r="M38" s="367">
        <v>35.0</v>
      </c>
      <c r="O38" s="2"/>
      <c r="P38" s="391" t="str">
        <f>IF(IGRF!I31="","",IGRF!I31)</f>
        <v/>
      </c>
      <c r="Q38" s="360"/>
      <c r="R38" s="361"/>
      <c r="S38" s="361"/>
      <c r="T38" s="361"/>
      <c r="U38" s="361"/>
      <c r="V38" s="362"/>
      <c r="W38" s="363"/>
      <c r="X38" s="364"/>
      <c r="Y38" s="365"/>
      <c r="Z38" s="341"/>
      <c r="AA38" s="383" t="str">
        <f>IF(COUNTA(Q38:Y38)=0,"",COUNTA(Q38:Y38))</f>
        <v/>
      </c>
      <c r="AB38" s="386" t="s">
        <v>267</v>
      </c>
      <c r="AC38" s="359" t="str">
        <f>IF(IGRF!B31="","",IGRF!B31)</f>
        <v>912</v>
      </c>
      <c r="AD38" s="368"/>
      <c r="AE38" s="361"/>
      <c r="AF38" s="361"/>
      <c r="AG38" s="361"/>
      <c r="AH38" s="361"/>
      <c r="AI38" s="362"/>
      <c r="AJ38" s="363"/>
      <c r="AK38" s="364"/>
      <c r="AL38" s="365"/>
      <c r="AM38" s="341"/>
      <c r="AN38" s="366" t="str">
        <f>IF(COUNTA(AD38:AL38)=0,"",COUNTA(AD38:AL38))</f>
        <v/>
      </c>
      <c r="AO38" s="367">
        <v>35.0</v>
      </c>
      <c r="AQ38" s="2"/>
      <c r="AR38" s="392" t="str">
        <f>IF(IGRF!I31="","",IGRF!I31)</f>
        <v/>
      </c>
      <c r="AS38" s="360"/>
      <c r="AT38" s="361"/>
      <c r="AU38" s="361"/>
      <c r="AV38" s="361"/>
      <c r="AW38" s="361"/>
      <c r="AX38" s="362"/>
      <c r="AY38" s="363"/>
      <c r="AZ38" s="364"/>
      <c r="BA38" s="365"/>
      <c r="BB38" s="341"/>
      <c r="BC38" s="366" t="str">
        <f>IF(COUNTA(AS38:BA38)=0,"",COUNTA(AS38:BA38))</f>
        <v/>
      </c>
      <c r="BD38" s="386" t="s">
        <v>267</v>
      </c>
    </row>
    <row r="39" ht="18.75" customHeight="1">
      <c r="A39" s="349"/>
      <c r="B39" s="370">
        <v>16.0</v>
      </c>
      <c r="C39" s="371"/>
      <c r="D39" s="371"/>
      <c r="E39" s="371"/>
      <c r="F39" s="371"/>
      <c r="G39" s="372"/>
      <c r="H39" s="373"/>
      <c r="I39" s="374"/>
      <c r="J39" s="375"/>
      <c r="K39" s="356"/>
      <c r="L39" s="349"/>
      <c r="M39" s="357">
        <v>36.0</v>
      </c>
      <c r="N39" s="8"/>
      <c r="O39" s="160"/>
      <c r="P39" s="349"/>
      <c r="Q39" s="370"/>
      <c r="R39" s="371"/>
      <c r="S39" s="371"/>
      <c r="T39" s="371"/>
      <c r="U39" s="371"/>
      <c r="V39" s="372"/>
      <c r="W39" s="373"/>
      <c r="X39" s="374"/>
      <c r="Y39" s="375"/>
      <c r="Z39" s="356"/>
      <c r="AA39" s="378"/>
      <c r="AB39" s="347" t="s">
        <v>268</v>
      </c>
      <c r="AC39" s="349"/>
      <c r="AD39" s="377"/>
      <c r="AE39" s="371"/>
      <c r="AF39" s="371"/>
      <c r="AG39" s="371"/>
      <c r="AH39" s="371"/>
      <c r="AI39" s="372"/>
      <c r="AJ39" s="373"/>
      <c r="AK39" s="374"/>
      <c r="AL39" s="375"/>
      <c r="AM39" s="356"/>
      <c r="AN39" s="349"/>
      <c r="AO39" s="357">
        <v>36.0</v>
      </c>
      <c r="AP39" s="8"/>
      <c r="AQ39" s="160"/>
      <c r="AR39" s="378"/>
      <c r="AS39" s="370"/>
      <c r="AT39" s="371"/>
      <c r="AU39" s="371"/>
      <c r="AV39" s="371"/>
      <c r="AW39" s="371"/>
      <c r="AX39" s="372"/>
      <c r="AY39" s="373"/>
      <c r="AZ39" s="374"/>
      <c r="BA39" s="375"/>
      <c r="BB39" s="356"/>
      <c r="BC39" s="349"/>
      <c r="BD39" s="347" t="s">
        <v>268</v>
      </c>
    </row>
    <row r="40" ht="18.75" customHeight="1">
      <c r="A40" s="334" t="str">
        <f>IF(IGRF!B32="","",IGRF!B32)</f>
        <v>93</v>
      </c>
      <c r="B40" s="335"/>
      <c r="C40" s="336"/>
      <c r="D40" s="336"/>
      <c r="E40" s="336"/>
      <c r="F40" s="336"/>
      <c r="G40" s="337"/>
      <c r="H40" s="338"/>
      <c r="I40" s="339"/>
      <c r="J40" s="340"/>
      <c r="K40" s="341"/>
      <c r="L40" s="342" t="str">
        <f>IF(COUNTA(B40:J40)=0,"",COUNTA(B40:J40))</f>
        <v/>
      </c>
      <c r="M40" s="367">
        <v>37.0</v>
      </c>
      <c r="O40" s="2"/>
      <c r="P40" s="389" t="str">
        <f>IF(IGRF!I32="","",IGRF!I32)</f>
        <v/>
      </c>
      <c r="Q40" s="335"/>
      <c r="R40" s="336"/>
      <c r="S40" s="336"/>
      <c r="T40" s="336"/>
      <c r="U40" s="336"/>
      <c r="V40" s="337"/>
      <c r="W40" s="338"/>
      <c r="X40" s="339"/>
      <c r="Y40" s="340"/>
      <c r="Z40" s="341"/>
      <c r="AA40" s="346" t="str">
        <f>IF(COUNTA(Q40:Y40)=0,"",COUNTA(Q40:Y40))</f>
        <v/>
      </c>
      <c r="AB40" s="358" t="s">
        <v>269</v>
      </c>
      <c r="AC40" s="334" t="str">
        <f>IF(IGRF!B32="","",IGRF!B32)</f>
        <v>93</v>
      </c>
      <c r="AD40" s="339" t="s">
        <v>222</v>
      </c>
      <c r="AE40" s="336"/>
      <c r="AF40" s="336"/>
      <c r="AG40" s="336"/>
      <c r="AH40" s="336"/>
      <c r="AI40" s="337"/>
      <c r="AJ40" s="338"/>
      <c r="AK40" s="339"/>
      <c r="AL40" s="340"/>
      <c r="AM40" s="341"/>
      <c r="AN40" s="342">
        <f>IF(COUNTA(AD40:AL40)=0,"",COUNTA(AD40:AL40))</f>
        <v>1</v>
      </c>
      <c r="AO40" s="367">
        <v>37.0</v>
      </c>
      <c r="AQ40" s="2"/>
      <c r="AR40" s="390" t="str">
        <f>IF(IGRF!I32="","",IGRF!I32)</f>
        <v/>
      </c>
      <c r="AS40" s="335"/>
      <c r="AT40" s="336"/>
      <c r="AU40" s="336"/>
      <c r="AV40" s="336"/>
      <c r="AW40" s="336"/>
      <c r="AX40" s="337"/>
      <c r="AY40" s="338"/>
      <c r="AZ40" s="339"/>
      <c r="BA40" s="340"/>
      <c r="BB40" s="341"/>
      <c r="BC40" s="342" t="str">
        <f>IF(COUNTA(AS40:BA40)=0,"",COUNTA(AS40:BA40))</f>
        <v/>
      </c>
      <c r="BD40" s="358" t="s">
        <v>269</v>
      </c>
    </row>
    <row r="41" ht="18.75" customHeight="1">
      <c r="A41" s="349"/>
      <c r="B41" s="350"/>
      <c r="C41" s="351"/>
      <c r="D41" s="351"/>
      <c r="E41" s="351"/>
      <c r="F41" s="351"/>
      <c r="G41" s="352"/>
      <c r="H41" s="353"/>
      <c r="I41" s="354"/>
      <c r="J41" s="355"/>
      <c r="K41" s="356"/>
      <c r="L41" s="349"/>
      <c r="M41" s="357">
        <v>38.0</v>
      </c>
      <c r="N41" s="8"/>
      <c r="O41" s="160"/>
      <c r="P41" s="349"/>
      <c r="Q41" s="350"/>
      <c r="R41" s="351"/>
      <c r="S41" s="351"/>
      <c r="T41" s="351"/>
      <c r="U41" s="351"/>
      <c r="V41" s="352"/>
      <c r="W41" s="353"/>
      <c r="X41" s="354"/>
      <c r="Y41" s="355"/>
      <c r="Z41" s="356"/>
      <c r="AA41" s="155"/>
      <c r="AB41" s="393" t="s">
        <v>270</v>
      </c>
      <c r="AC41" s="349"/>
      <c r="AD41" s="354">
        <v>15.0</v>
      </c>
      <c r="AE41" s="351"/>
      <c r="AF41" s="351"/>
      <c r="AG41" s="351"/>
      <c r="AH41" s="351"/>
      <c r="AI41" s="352"/>
      <c r="AJ41" s="353"/>
      <c r="AK41" s="354"/>
      <c r="AL41" s="355"/>
      <c r="AM41" s="356"/>
      <c r="AN41" s="349"/>
      <c r="AO41" s="357">
        <v>38.0</v>
      </c>
      <c r="AP41" s="8"/>
      <c r="AQ41" s="160"/>
      <c r="AR41" s="69"/>
      <c r="AS41" s="350"/>
      <c r="AT41" s="351"/>
      <c r="AU41" s="351"/>
      <c r="AV41" s="351"/>
      <c r="AW41" s="351"/>
      <c r="AX41" s="352"/>
      <c r="AY41" s="353"/>
      <c r="AZ41" s="354"/>
      <c r="BA41" s="355"/>
      <c r="BB41" s="356"/>
      <c r="BC41" s="349"/>
      <c r="BD41" s="393" t="s">
        <v>270</v>
      </c>
    </row>
    <row r="42" ht="18.75" customHeight="1">
      <c r="A42" s="359" t="str">
        <f>IF(IGRF!B33="","",IGRF!B33)</f>
        <v>999</v>
      </c>
      <c r="B42" s="360" t="s">
        <v>241</v>
      </c>
      <c r="C42" s="361"/>
      <c r="D42" s="361"/>
      <c r="E42" s="361"/>
      <c r="F42" s="361"/>
      <c r="G42" s="362"/>
      <c r="H42" s="363"/>
      <c r="I42" s="364"/>
      <c r="J42" s="365"/>
      <c r="K42" s="341"/>
      <c r="L42" s="366">
        <f>IF(COUNTA(B42:J42)=0,"",COUNTA(B42:J42))</f>
        <v>1</v>
      </c>
      <c r="M42" s="367">
        <v>39.0</v>
      </c>
      <c r="O42" s="2"/>
      <c r="P42" s="391" t="str">
        <f>IF(IGRF!I33="","",IGRF!I33)</f>
        <v/>
      </c>
      <c r="Q42" s="360"/>
      <c r="R42" s="361"/>
      <c r="S42" s="361"/>
      <c r="T42" s="361"/>
      <c r="U42" s="361"/>
      <c r="V42" s="362"/>
      <c r="W42" s="363"/>
      <c r="X42" s="364"/>
      <c r="Y42" s="365"/>
      <c r="Z42" s="341"/>
      <c r="AA42" s="383" t="str">
        <f>IF(COUNTA(Q42:Y42)=0,"",COUNTA(Q42:Y42))</f>
        <v/>
      </c>
      <c r="AB42" s="381" t="s">
        <v>271</v>
      </c>
      <c r="AC42" s="359" t="str">
        <f>IF(IGRF!B33="","",IGRF!B33)</f>
        <v>999</v>
      </c>
      <c r="AD42" s="368"/>
      <c r="AE42" s="361" t="s">
        <v>241</v>
      </c>
      <c r="AF42" s="361"/>
      <c r="AG42" s="361"/>
      <c r="AH42" s="361"/>
      <c r="AI42" s="362"/>
      <c r="AJ42" s="363"/>
      <c r="AK42" s="364"/>
      <c r="AL42" s="365"/>
      <c r="AM42" s="341"/>
      <c r="AN42" s="366">
        <f>IF(COUNTA(AD42:AL42)=0,"",COUNTA(AD42:AL42))</f>
        <v>1</v>
      </c>
      <c r="AO42" s="367"/>
      <c r="AQ42" s="2"/>
      <c r="AR42" s="392" t="str">
        <f>IF(IGRF!I33="","",IGRF!I33)</f>
        <v/>
      </c>
      <c r="AS42" s="360"/>
      <c r="AT42" s="361"/>
      <c r="AU42" s="361"/>
      <c r="AV42" s="361"/>
      <c r="AW42" s="361"/>
      <c r="AX42" s="362"/>
      <c r="AY42" s="363"/>
      <c r="AZ42" s="364"/>
      <c r="BA42" s="365"/>
      <c r="BB42" s="341"/>
      <c r="BC42" s="366" t="str">
        <f>IF(COUNTA(AS42:BA42)=0,"",COUNTA(AS42:BA42))</f>
        <v/>
      </c>
      <c r="BD42" s="381" t="s">
        <v>271</v>
      </c>
    </row>
    <row r="43" ht="18.75" customHeight="1">
      <c r="A43" s="394"/>
      <c r="B43" s="395">
        <v>11.0</v>
      </c>
      <c r="C43" s="396"/>
      <c r="D43" s="396"/>
      <c r="E43" s="396"/>
      <c r="F43" s="396"/>
      <c r="G43" s="397"/>
      <c r="H43" s="398"/>
      <c r="I43" s="399"/>
      <c r="J43" s="400"/>
      <c r="K43" s="356"/>
      <c r="L43" s="394"/>
      <c r="M43" s="357">
        <v>40.0</v>
      </c>
      <c r="N43" s="8"/>
      <c r="O43" s="160"/>
      <c r="P43" s="394"/>
      <c r="Q43" s="395"/>
      <c r="R43" s="396"/>
      <c r="S43" s="396"/>
      <c r="T43" s="396"/>
      <c r="U43" s="396"/>
      <c r="V43" s="397"/>
      <c r="W43" s="398"/>
      <c r="X43" s="399"/>
      <c r="Y43" s="400"/>
      <c r="Z43" s="356"/>
      <c r="AA43" s="401"/>
      <c r="AB43" s="402" t="s">
        <v>272</v>
      </c>
      <c r="AC43" s="349"/>
      <c r="AD43" s="403"/>
      <c r="AE43" s="396">
        <v>10.0</v>
      </c>
      <c r="AF43" s="396"/>
      <c r="AG43" s="396"/>
      <c r="AH43" s="396"/>
      <c r="AI43" s="397"/>
      <c r="AJ43" s="398"/>
      <c r="AK43" s="399"/>
      <c r="AL43" s="400"/>
      <c r="AM43" s="356"/>
      <c r="AN43" s="394"/>
      <c r="AO43" s="357"/>
      <c r="AP43" s="8"/>
      <c r="AQ43" s="160"/>
      <c r="AR43" s="401"/>
      <c r="AS43" s="395"/>
      <c r="AT43" s="396"/>
      <c r="AU43" s="396"/>
      <c r="AV43" s="396"/>
      <c r="AW43" s="396"/>
      <c r="AX43" s="397"/>
      <c r="AY43" s="398"/>
      <c r="AZ43" s="399"/>
      <c r="BA43" s="400"/>
      <c r="BB43" s="356"/>
      <c r="BC43" s="394"/>
      <c r="BD43" s="402" t="s">
        <v>272</v>
      </c>
    </row>
    <row r="44" ht="16.5" customHeight="1">
      <c r="A44" s="404" t="s">
        <v>273</v>
      </c>
      <c r="B44" s="15"/>
      <c r="C44" s="339"/>
      <c r="D44" s="336"/>
      <c r="E44" s="405">
        <f>COUNTA(C44:D44)</f>
        <v>0</v>
      </c>
      <c r="F44" s="406" t="s">
        <v>274</v>
      </c>
      <c r="G44" s="344"/>
      <c r="H44" s="344"/>
      <c r="I44" s="344"/>
      <c r="J44" s="344"/>
      <c r="K44" s="345"/>
      <c r="L44" s="407">
        <f>IF(SUM(L4:L43)=0,"",SUM(L4:L43,E44))</f>
        <v>13</v>
      </c>
      <c r="M44" s="367">
        <v>41.0</v>
      </c>
      <c r="O44" s="2"/>
      <c r="P44" s="404" t="s">
        <v>273</v>
      </c>
      <c r="Q44" s="15"/>
      <c r="R44" s="339"/>
      <c r="S44" s="336"/>
      <c r="T44" s="405">
        <f>COUNTA(R44:S44)</f>
        <v>0</v>
      </c>
      <c r="U44" s="406" t="s">
        <v>274</v>
      </c>
      <c r="V44" s="344"/>
      <c r="W44" s="344"/>
      <c r="X44" s="344"/>
      <c r="Y44" s="344"/>
      <c r="Z44" s="345"/>
      <c r="AA44" s="408">
        <f>IF(SUM(AA4:AA43)=0,"",SUM(AA4:AA43,T44))</f>
        <v>13</v>
      </c>
      <c r="AB44" s="409" t="s">
        <v>275</v>
      </c>
      <c r="AC44" s="404" t="s">
        <v>273</v>
      </c>
      <c r="AD44" s="15"/>
      <c r="AE44" s="339"/>
      <c r="AF44" s="336"/>
      <c r="AG44" s="405">
        <f>COUNTA(AE44:AF44)</f>
        <v>0</v>
      </c>
      <c r="AH44" s="406" t="s">
        <v>276</v>
      </c>
      <c r="AI44" s="344"/>
      <c r="AJ44" s="344"/>
      <c r="AK44" s="344"/>
      <c r="AL44" s="344"/>
      <c r="AM44" s="345"/>
      <c r="AN44" s="408">
        <f>IF(SUM(AN4:AN43)=0,"",SUM(AN4:AN43,AG44))</f>
        <v>11</v>
      </c>
      <c r="AO44" s="367"/>
      <c r="AQ44" s="2"/>
      <c r="AR44" s="404" t="s">
        <v>273</v>
      </c>
      <c r="AS44" s="15"/>
      <c r="AT44" s="339"/>
      <c r="AU44" s="336"/>
      <c r="AV44" s="405">
        <f>COUNTA(AT44:AU44)</f>
        <v>0</v>
      </c>
      <c r="AW44" s="406" t="s">
        <v>276</v>
      </c>
      <c r="AX44" s="344"/>
      <c r="AY44" s="344"/>
      <c r="AZ44" s="344"/>
      <c r="BA44" s="344"/>
      <c r="BB44" s="345"/>
      <c r="BC44" s="410">
        <f>IF(SUM(BC4:BC43)=0,"",SUM(BC4:BC43,AV44))</f>
        <v>9</v>
      </c>
      <c r="BD44" s="409" t="s">
        <v>275</v>
      </c>
    </row>
    <row r="45" ht="16.5" customHeight="1">
      <c r="A45" s="411"/>
      <c r="B45" s="412"/>
      <c r="C45" s="354"/>
      <c r="D45" s="351"/>
      <c r="E45" s="413"/>
      <c r="F45" s="213"/>
      <c r="G45" s="20"/>
      <c r="H45" s="20"/>
      <c r="I45" s="20"/>
      <c r="J45" s="20"/>
      <c r="K45" s="21"/>
      <c r="L45" s="349"/>
      <c r="M45" s="414">
        <v>42.0</v>
      </c>
      <c r="N45" s="39"/>
      <c r="O45" s="173"/>
      <c r="P45" s="411"/>
      <c r="Q45" s="412"/>
      <c r="R45" s="354"/>
      <c r="S45" s="351"/>
      <c r="T45" s="413"/>
      <c r="U45" s="213"/>
      <c r="V45" s="20"/>
      <c r="W45" s="20"/>
      <c r="X45" s="20"/>
      <c r="Y45" s="20"/>
      <c r="Z45" s="21"/>
      <c r="AA45" s="415"/>
      <c r="AB45" s="386" t="s">
        <v>277</v>
      </c>
      <c r="AC45" s="416"/>
      <c r="AD45" s="417"/>
      <c r="AE45" s="354"/>
      <c r="AF45" s="351"/>
      <c r="AG45" s="413"/>
      <c r="AH45" s="213"/>
      <c r="AI45" s="20"/>
      <c r="AJ45" s="20"/>
      <c r="AK45" s="20"/>
      <c r="AL45" s="20"/>
      <c r="AM45" s="21"/>
      <c r="AN45" s="415"/>
      <c r="AO45" s="414"/>
      <c r="AP45" s="39"/>
      <c r="AQ45" s="173"/>
      <c r="AR45" s="416"/>
      <c r="AS45" s="417"/>
      <c r="AT45" s="354"/>
      <c r="AU45" s="351"/>
      <c r="AV45" s="413"/>
      <c r="AW45" s="213"/>
      <c r="AX45" s="20"/>
      <c r="AY45" s="20"/>
      <c r="AZ45" s="20"/>
      <c r="BA45" s="20"/>
      <c r="BB45" s="21"/>
      <c r="BC45" s="418"/>
      <c r="BD45" s="386" t="s">
        <v>277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Tiger Bay Brawlers / Challengers</v>
      </c>
      <c r="B1" s="204"/>
      <c r="C1" s="204"/>
      <c r="D1" s="204"/>
      <c r="E1" s="204"/>
      <c r="F1" s="204"/>
      <c r="G1" s="205"/>
      <c r="H1" s="206" t="str">
        <f>IF(ISBLANK(IGRF!$B$12), "", IGRF!$B$12)</f>
        <v>Orange</v>
      </c>
      <c r="I1" s="151"/>
      <c r="J1" s="151"/>
      <c r="K1" s="151"/>
      <c r="L1" s="421">
        <f>IF(ISBLANK(IGRF!$B$7), "", IGRF!$B$7)</f>
        <v>45220</v>
      </c>
      <c r="M1" s="168"/>
      <c r="N1" s="168"/>
      <c r="O1" s="210"/>
      <c r="P1" s="422"/>
      <c r="Q1" s="151"/>
      <c r="R1" s="151"/>
      <c r="S1" s="151"/>
      <c r="T1" s="151"/>
      <c r="U1" s="151"/>
      <c r="V1" s="151"/>
      <c r="W1" s="151"/>
      <c r="X1" s="151"/>
      <c r="Y1" s="151"/>
      <c r="Z1" s="423">
        <v>1.0</v>
      </c>
      <c r="AA1" s="420" t="str">
        <f>Score!T1</f>
        <v>Dublin Roller Derby / The Be Grands</v>
      </c>
      <c r="AB1" s="204"/>
      <c r="AC1" s="204"/>
      <c r="AD1" s="204"/>
      <c r="AE1" s="204"/>
      <c r="AF1" s="204"/>
      <c r="AG1" s="205"/>
      <c r="AH1" s="206" t="str">
        <f>IF(ISBLANK(IGRF!$I$12), "", IGRF!$I$12)</f>
        <v>Blue</v>
      </c>
      <c r="AI1" s="151"/>
      <c r="AJ1" s="151"/>
      <c r="AK1" s="151"/>
      <c r="AL1" s="421">
        <f>L1</f>
        <v>45220</v>
      </c>
      <c r="AM1" s="168"/>
      <c r="AN1" s="168"/>
      <c r="AO1" s="210"/>
      <c r="AP1" s="422"/>
      <c r="AQ1" s="151"/>
      <c r="AR1" s="151"/>
      <c r="AS1" s="151"/>
      <c r="AT1" s="151"/>
      <c r="AU1" s="151"/>
      <c r="AV1" s="151"/>
      <c r="AW1" s="151"/>
      <c r="AX1" s="151"/>
      <c r="AY1" s="151"/>
      <c r="AZ1" s="423">
        <v>1.0</v>
      </c>
    </row>
    <row r="2" ht="15.0" customHeight="1">
      <c r="A2" s="213"/>
      <c r="B2" s="20"/>
      <c r="C2" s="20"/>
      <c r="D2" s="20"/>
      <c r="E2" s="20"/>
      <c r="F2" s="20"/>
      <c r="G2" s="156"/>
      <c r="H2" s="424" t="s">
        <v>200</v>
      </c>
      <c r="I2" s="71"/>
      <c r="J2" s="71"/>
      <c r="K2" s="71"/>
      <c r="L2" s="425" t="s">
        <v>201</v>
      </c>
      <c r="M2" s="71"/>
      <c r="N2" s="71"/>
      <c r="O2" s="72"/>
      <c r="P2" s="426" t="s">
        <v>178</v>
      </c>
      <c r="Q2" s="20"/>
      <c r="R2" s="20"/>
      <c r="S2" s="20"/>
      <c r="T2" s="20"/>
      <c r="U2" s="20"/>
      <c r="V2" s="20"/>
      <c r="W2" s="20"/>
      <c r="X2" s="20"/>
      <c r="Y2" s="20"/>
      <c r="Z2" s="427" t="str">
        <f>IF(ISBLANK(IGRF!$L$3), "", "GAME " &amp; IGRF!$L$3)</f>
        <v>GAME 1</v>
      </c>
      <c r="AA2" s="213"/>
      <c r="AB2" s="20"/>
      <c r="AC2" s="20"/>
      <c r="AD2" s="20"/>
      <c r="AE2" s="20"/>
      <c r="AF2" s="20"/>
      <c r="AG2" s="156"/>
      <c r="AH2" s="424" t="s">
        <v>200</v>
      </c>
      <c r="AI2" s="71"/>
      <c r="AJ2" s="71"/>
      <c r="AK2" s="71"/>
      <c r="AL2" s="425" t="s">
        <v>201</v>
      </c>
      <c r="AM2" s="71"/>
      <c r="AN2" s="71"/>
      <c r="AO2" s="72"/>
      <c r="AP2" s="426" t="s">
        <v>178</v>
      </c>
      <c r="AQ2" s="20"/>
      <c r="AR2" s="20"/>
      <c r="AS2" s="20"/>
      <c r="AT2" s="20"/>
      <c r="AU2" s="20"/>
      <c r="AV2" s="20"/>
      <c r="AW2" s="20"/>
      <c r="AX2" s="20"/>
      <c r="AY2" s="20"/>
      <c r="AZ2" s="427" t="str">
        <f>Z2</f>
        <v>GAME 1</v>
      </c>
    </row>
    <row r="3" ht="13.5" customHeight="1">
      <c r="A3" s="428" t="s">
        <v>278</v>
      </c>
      <c r="B3" s="429" t="s">
        <v>279</v>
      </c>
      <c r="C3" s="430" t="s">
        <v>280</v>
      </c>
      <c r="D3" s="431" t="s">
        <v>281</v>
      </c>
      <c r="E3" s="45"/>
      <c r="F3" s="432"/>
      <c r="G3" s="430" t="s">
        <v>282</v>
      </c>
      <c r="H3" s="431" t="s">
        <v>281</v>
      </c>
      <c r="I3" s="45"/>
      <c r="J3" s="432"/>
      <c r="K3" s="430" t="s">
        <v>283</v>
      </c>
      <c r="L3" s="431" t="s">
        <v>281</v>
      </c>
      <c r="M3" s="45"/>
      <c r="N3" s="432"/>
      <c r="O3" s="430" t="s">
        <v>283</v>
      </c>
      <c r="P3" s="431" t="s">
        <v>281</v>
      </c>
      <c r="Q3" s="45"/>
      <c r="R3" s="432"/>
      <c r="S3" s="430" t="s">
        <v>283</v>
      </c>
      <c r="T3" s="431" t="s">
        <v>281</v>
      </c>
      <c r="U3" s="45"/>
      <c r="V3" s="432"/>
      <c r="W3" s="433"/>
      <c r="X3" s="431" t="s">
        <v>284</v>
      </c>
      <c r="Y3" s="45"/>
      <c r="Z3" s="46"/>
      <c r="AA3" s="428" t="s">
        <v>278</v>
      </c>
      <c r="AB3" s="429" t="s">
        <v>279</v>
      </c>
      <c r="AC3" s="430" t="s">
        <v>280</v>
      </c>
      <c r="AD3" s="431" t="s">
        <v>281</v>
      </c>
      <c r="AE3" s="45"/>
      <c r="AF3" s="432"/>
      <c r="AG3" s="430" t="s">
        <v>282</v>
      </c>
      <c r="AH3" s="431" t="s">
        <v>281</v>
      </c>
      <c r="AI3" s="45"/>
      <c r="AJ3" s="432"/>
      <c r="AK3" s="430" t="s">
        <v>283</v>
      </c>
      <c r="AL3" s="431" t="s">
        <v>281</v>
      </c>
      <c r="AM3" s="45"/>
      <c r="AN3" s="432"/>
      <c r="AO3" s="430" t="s">
        <v>283</v>
      </c>
      <c r="AP3" s="431" t="s">
        <v>281</v>
      </c>
      <c r="AQ3" s="45"/>
      <c r="AR3" s="432"/>
      <c r="AS3" s="430" t="s">
        <v>283</v>
      </c>
      <c r="AT3" s="431" t="s">
        <v>281</v>
      </c>
      <c r="AU3" s="45"/>
      <c r="AV3" s="432"/>
      <c r="AW3" s="433"/>
      <c r="AX3" s="431" t="s">
        <v>284</v>
      </c>
      <c r="AY3" s="45"/>
      <c r="AZ3" s="46"/>
    </row>
    <row r="4" ht="39.0" customHeight="1">
      <c r="A4" s="434">
        <f>IF(Score!A4="", "",Score!A4 )</f>
        <v>1</v>
      </c>
      <c r="B4" s="435"/>
      <c r="C4" s="436" t="str">
        <f>IF(Score!B4="", "",Score!B4 )</f>
        <v>16</v>
      </c>
      <c r="D4" s="437"/>
      <c r="E4" s="437"/>
      <c r="F4" s="437"/>
      <c r="G4" s="436" t="s">
        <v>123</v>
      </c>
      <c r="H4" s="437"/>
      <c r="I4" s="437"/>
      <c r="J4" s="437"/>
      <c r="K4" s="436" t="s">
        <v>80</v>
      </c>
      <c r="L4" s="437"/>
      <c r="M4" s="437"/>
      <c r="N4" s="437"/>
      <c r="O4" s="436" t="s">
        <v>109</v>
      </c>
      <c r="P4" s="437"/>
      <c r="Q4" s="437"/>
      <c r="R4" s="437"/>
      <c r="S4" s="436" t="s">
        <v>117</v>
      </c>
      <c r="T4" s="437"/>
      <c r="U4" s="437"/>
      <c r="V4" s="438"/>
      <c r="W4" s="439">
        <f>IF(A4="","",SUMIF(SK!B$3:B$78,ROW(),SK!D$3:D$78))</f>
        <v>0</v>
      </c>
      <c r="X4" s="43"/>
      <c r="Y4" s="440" t="str">
        <f>IF(IGRF!B14="","",IGRF!B14)</f>
        <v>04</v>
      </c>
      <c r="Z4" s="441" t="str">
        <f>IF(IGRF!C14="","",IGRF!C14)</f>
        <v>Nina</v>
      </c>
      <c r="AA4" s="442">
        <f>IF(Score!T4="", "",Score!T4 )</f>
        <v>1</v>
      </c>
      <c r="AB4" s="435"/>
      <c r="AC4" s="436" t="str">
        <f>IF(Score!U4="", "",Score!U4 )</f>
        <v>101</v>
      </c>
      <c r="AD4" s="437"/>
      <c r="AE4" s="437"/>
      <c r="AF4" s="437"/>
      <c r="AG4" s="436" t="s">
        <v>115</v>
      </c>
      <c r="AH4" s="437"/>
      <c r="AI4" s="437"/>
      <c r="AJ4" s="437"/>
      <c r="AK4" s="436" t="s">
        <v>58</v>
      </c>
      <c r="AL4" s="437"/>
      <c r="AM4" s="437"/>
      <c r="AN4" s="437"/>
      <c r="AO4" s="436" t="s">
        <v>111</v>
      </c>
      <c r="AP4" s="437" t="s">
        <v>285</v>
      </c>
      <c r="AQ4" s="437"/>
      <c r="AR4" s="437"/>
      <c r="AS4" s="436" t="s">
        <v>85</v>
      </c>
      <c r="AT4" s="437"/>
      <c r="AU4" s="437"/>
      <c r="AV4" s="438"/>
      <c r="AW4" s="439">
        <f>IF(AA4="","",SUMIF(SK!R$3:R$78,ROW(),SK!T$3:T$78))</f>
        <v>4</v>
      </c>
      <c r="AX4" s="43"/>
      <c r="AY4" s="440" t="str">
        <f>IF(IGRF!I14="","",IGRF!I14)</f>
        <v>040</v>
      </c>
      <c r="AZ4" s="441" t="str">
        <f>IF(IGRF!J14="","",IGRF!J14)</f>
        <v>Ruff Rackelhahn</v>
      </c>
    </row>
    <row r="5" ht="39.0" customHeight="1">
      <c r="A5" s="443">
        <f>IF(Score!A5="", "",Score!A5 )</f>
        <v>2</v>
      </c>
      <c r="B5" s="444"/>
      <c r="C5" s="445" t="str">
        <f>IF(Score!B5="", "",Score!B5 )</f>
        <v>271</v>
      </c>
      <c r="D5" s="446"/>
      <c r="E5" s="446"/>
      <c r="F5" s="446"/>
      <c r="G5" s="445" t="s">
        <v>95</v>
      </c>
      <c r="H5" s="446"/>
      <c r="I5" s="446"/>
      <c r="J5" s="446"/>
      <c r="K5" s="445" t="s">
        <v>119</v>
      </c>
      <c r="L5" s="446"/>
      <c r="M5" s="446"/>
      <c r="N5" s="446"/>
      <c r="O5" s="445" t="s">
        <v>56</v>
      </c>
      <c r="P5" s="446"/>
      <c r="Q5" s="446"/>
      <c r="R5" s="446"/>
      <c r="S5" s="445" t="s">
        <v>64</v>
      </c>
      <c r="T5" s="446" t="s">
        <v>285</v>
      </c>
      <c r="U5" s="446"/>
      <c r="V5" s="447"/>
      <c r="W5" s="439">
        <f>IF(A5="","",SUMIF(SK!B$3:B$78,ROW(),SK!D$3:D$78))</f>
        <v>0</v>
      </c>
      <c r="X5" s="43"/>
      <c r="Y5" s="43"/>
      <c r="Z5" s="43"/>
      <c r="AA5" s="444">
        <f>IF(Score!T5="", "",Score!T5 )</f>
        <v>2</v>
      </c>
      <c r="AB5" s="444"/>
      <c r="AC5" s="445" t="str">
        <f>IF(Score!U5="", "",Score!U5 )</f>
        <v>16</v>
      </c>
      <c r="AD5" s="446"/>
      <c r="AE5" s="446"/>
      <c r="AF5" s="446"/>
      <c r="AG5" s="445" t="s">
        <v>95</v>
      </c>
      <c r="AH5" s="446"/>
      <c r="AI5" s="446"/>
      <c r="AJ5" s="446"/>
      <c r="AK5" s="445" t="s">
        <v>107</v>
      </c>
      <c r="AL5" s="446"/>
      <c r="AM5" s="446"/>
      <c r="AN5" s="446"/>
      <c r="AO5" s="445" t="s">
        <v>111</v>
      </c>
      <c r="AP5" s="446" t="s">
        <v>286</v>
      </c>
      <c r="AQ5" s="446"/>
      <c r="AR5" s="446"/>
      <c r="AS5" s="445" t="s">
        <v>74</v>
      </c>
      <c r="AT5" s="446"/>
      <c r="AU5" s="446"/>
      <c r="AV5" s="447"/>
      <c r="AW5" s="439">
        <f>IF(AA5="","",SUMIF(SK!R$3:R$78,ROW(),SK!T$3:T$78))</f>
        <v>12</v>
      </c>
      <c r="AX5" s="43"/>
      <c r="AY5" s="43"/>
      <c r="AZ5" s="43"/>
    </row>
    <row r="6" ht="39.0" customHeight="1">
      <c r="A6" s="448" t="str">
        <f>IF(Score!A6="", "",Score!A6 )</f>
        <v>SP</v>
      </c>
      <c r="B6" s="442" t="s">
        <v>222</v>
      </c>
      <c r="C6" s="449" t="str">
        <f>IF(Score!B6="", "",Score!B6 )</f>
        <v>42</v>
      </c>
      <c r="D6" s="446"/>
      <c r="E6" s="446"/>
      <c r="F6" s="446"/>
      <c r="G6" s="449" t="s">
        <v>76</v>
      </c>
      <c r="H6" s="446"/>
      <c r="I6" s="446"/>
      <c r="J6" s="446"/>
      <c r="K6" s="449" t="s">
        <v>119</v>
      </c>
      <c r="L6" s="446"/>
      <c r="M6" s="446"/>
      <c r="N6" s="446"/>
      <c r="O6" s="449" t="s">
        <v>56</v>
      </c>
      <c r="P6" s="446"/>
      <c r="Q6" s="446"/>
      <c r="R6" s="446"/>
      <c r="S6" s="449" t="s">
        <v>64</v>
      </c>
      <c r="T6" s="446" t="s">
        <v>287</v>
      </c>
      <c r="U6" s="446"/>
      <c r="V6" s="447"/>
      <c r="W6" s="439">
        <f>IF(A6="","",SUMIF(SK!B$3:B$78,ROW(),SK!D$3:D$78))</f>
        <v>0</v>
      </c>
      <c r="X6" s="43"/>
      <c r="Y6" s="440" t="str">
        <f>IF(IGRF!B15="","",IGRF!B15)</f>
        <v>16</v>
      </c>
      <c r="Z6" s="441" t="str">
        <f>IF(IGRF!C15="","",IGRF!C15)</f>
        <v>Saabor</v>
      </c>
      <c r="AA6" s="442" t="str">
        <f>IF(Score!T6="", "",Score!T6 )</f>
        <v>SP*</v>
      </c>
      <c r="AB6" s="442"/>
      <c r="AC6" s="450" t="str">
        <f>IF(Score!U6="", "",Score!U6 )</f>
        <v/>
      </c>
      <c r="AD6" s="446"/>
      <c r="AE6" s="446"/>
      <c r="AF6" s="446"/>
      <c r="AG6" s="449"/>
      <c r="AH6" s="446"/>
      <c r="AI6" s="446"/>
      <c r="AJ6" s="446"/>
      <c r="AK6" s="449"/>
      <c r="AL6" s="446"/>
      <c r="AM6" s="446"/>
      <c r="AN6" s="446"/>
      <c r="AO6" s="449"/>
      <c r="AP6" s="446"/>
      <c r="AQ6" s="446"/>
      <c r="AR6" s="446"/>
      <c r="AS6" s="449"/>
      <c r="AT6" s="446"/>
      <c r="AU6" s="446"/>
      <c r="AV6" s="447"/>
      <c r="AW6" s="439">
        <f>IF(AA6="","",SUMIF(SK!R$3:R$78,ROW(),SK!T$3:T$78))</f>
        <v>0</v>
      </c>
      <c r="AX6" s="43"/>
      <c r="AY6" s="440" t="str">
        <f>IF(IGRF!I15="","",IGRF!I15)</f>
        <v>101</v>
      </c>
      <c r="AZ6" s="441" t="str">
        <f>IF(IGRF!J15="","",IGRF!J15)</f>
        <v>Powell</v>
      </c>
    </row>
    <row r="7" ht="39.0" customHeight="1">
      <c r="A7" s="443">
        <f>IF(Score!A7="", "",Score!A7 )</f>
        <v>3</v>
      </c>
      <c r="B7" s="444"/>
      <c r="C7" s="445" t="str">
        <f>IF(Score!B7="", "",Score!B7 )</f>
        <v>45</v>
      </c>
      <c r="D7" s="446"/>
      <c r="E7" s="446"/>
      <c r="F7" s="446"/>
      <c r="G7" s="445" t="s">
        <v>123</v>
      </c>
      <c r="H7" s="446"/>
      <c r="I7" s="446"/>
      <c r="J7" s="446"/>
      <c r="K7" s="445" t="s">
        <v>80</v>
      </c>
      <c r="L7" s="446" t="s">
        <v>285</v>
      </c>
      <c r="M7" s="446"/>
      <c r="N7" s="446"/>
      <c r="O7" s="445" t="s">
        <v>113</v>
      </c>
      <c r="P7" s="446"/>
      <c r="Q7" s="446"/>
      <c r="R7" s="446"/>
      <c r="S7" s="445" t="s">
        <v>64</v>
      </c>
      <c r="T7" s="446" t="s">
        <v>286</v>
      </c>
      <c r="U7" s="446"/>
      <c r="V7" s="447"/>
      <c r="W7" s="439">
        <f>IF(A7="","",SUMIF(SK!B$3:B$78,ROW(),SK!D$3:D$78))</f>
        <v>0</v>
      </c>
      <c r="X7" s="43"/>
      <c r="Y7" s="43"/>
      <c r="Z7" s="43"/>
      <c r="AA7" s="444">
        <f>IF(Score!T7="", "",Score!T7 )</f>
        <v>3</v>
      </c>
      <c r="AB7" s="444"/>
      <c r="AC7" s="445" t="str">
        <f>IF(Score!U7="", "",Score!U7 )</f>
        <v>11</v>
      </c>
      <c r="AD7" s="446"/>
      <c r="AE7" s="446"/>
      <c r="AF7" s="446"/>
      <c r="AG7" s="445" t="s">
        <v>115</v>
      </c>
      <c r="AH7" s="446"/>
      <c r="AI7" s="446"/>
      <c r="AJ7" s="446"/>
      <c r="AK7" s="445" t="s">
        <v>58</v>
      </c>
      <c r="AL7" s="446"/>
      <c r="AM7" s="446"/>
      <c r="AN7" s="446"/>
      <c r="AO7" s="445" t="s">
        <v>111</v>
      </c>
      <c r="AP7" s="446"/>
      <c r="AQ7" s="446"/>
      <c r="AR7" s="446"/>
      <c r="AS7" s="445" t="s">
        <v>104</v>
      </c>
      <c r="AT7" s="446"/>
      <c r="AU7" s="446"/>
      <c r="AV7" s="447"/>
      <c r="AW7" s="439">
        <f>IF(AA7="","",SUMIF(SK!R$3:R$78,ROW(),SK!T$3:T$78))</f>
        <v>11</v>
      </c>
      <c r="AX7" s="43"/>
      <c r="AY7" s="43"/>
      <c r="AZ7" s="43"/>
    </row>
    <row r="8" ht="39.0" customHeight="1">
      <c r="A8" s="448" t="str">
        <f>IF(Score!A8="", "",Score!A8 )</f>
        <v>SP</v>
      </c>
      <c r="B8" s="442" t="s">
        <v>222</v>
      </c>
      <c r="C8" s="449" t="str">
        <f>IF(Score!B8="", "",Score!B8 )</f>
        <v>999</v>
      </c>
      <c r="D8" s="446"/>
      <c r="E8" s="446"/>
      <c r="F8" s="446"/>
      <c r="G8" s="449" t="s">
        <v>102</v>
      </c>
      <c r="H8" s="446"/>
      <c r="I8" s="446"/>
      <c r="J8" s="446"/>
      <c r="K8" s="449" t="s">
        <v>80</v>
      </c>
      <c r="L8" s="446" t="s">
        <v>287</v>
      </c>
      <c r="M8" s="446"/>
      <c r="N8" s="446"/>
      <c r="O8" s="449" t="s">
        <v>113</v>
      </c>
      <c r="P8" s="446"/>
      <c r="Q8" s="446"/>
      <c r="R8" s="446"/>
      <c r="S8" s="449" t="s">
        <v>64</v>
      </c>
      <c r="T8" s="446"/>
      <c r="U8" s="446"/>
      <c r="V8" s="447"/>
      <c r="W8" s="439">
        <f>IF(A8="","",SUMIF(SK!B$3:B$78,ROW(),SK!D$3:D$78))</f>
        <v>0</v>
      </c>
      <c r="X8" s="43"/>
      <c r="Y8" s="440" t="str">
        <f>IF(IGRF!B16="","",IGRF!B16)</f>
        <v>177</v>
      </c>
      <c r="Z8" s="441" t="str">
        <f>IF(IGRF!C16="","",IGRF!C16)</f>
        <v>Phoenix</v>
      </c>
      <c r="AA8" s="442" t="str">
        <f>IF(Score!T8="", "",Score!T8 )</f>
        <v>SP*</v>
      </c>
      <c r="AB8" s="442"/>
      <c r="AC8" s="450" t="str">
        <f>IF(Score!U8="", "",Score!U8 )</f>
        <v/>
      </c>
      <c r="AD8" s="446"/>
      <c r="AE8" s="446"/>
      <c r="AF8" s="446"/>
      <c r="AG8" s="449"/>
      <c r="AH8" s="446"/>
      <c r="AI8" s="446"/>
      <c r="AJ8" s="446"/>
      <c r="AK8" s="449"/>
      <c r="AL8" s="446"/>
      <c r="AM8" s="446"/>
      <c r="AN8" s="446"/>
      <c r="AO8" s="449"/>
      <c r="AP8" s="446"/>
      <c r="AQ8" s="446"/>
      <c r="AR8" s="446"/>
      <c r="AS8" s="449"/>
      <c r="AT8" s="446"/>
      <c r="AU8" s="446"/>
      <c r="AV8" s="447"/>
      <c r="AW8" s="439">
        <f>IF(AA8="","",SUMIF(SK!R$3:R$78,ROW(),SK!T$3:T$78))</f>
        <v>0</v>
      </c>
      <c r="AX8" s="43"/>
      <c r="AY8" s="440" t="str">
        <f>IF(IGRF!I16="","",IGRF!I16)</f>
        <v>11</v>
      </c>
      <c r="AZ8" s="441" t="str">
        <f>IF(IGRF!J16="","",IGRF!J16)</f>
        <v>Bambi Deerdevil</v>
      </c>
    </row>
    <row r="9" ht="39.0" customHeight="1">
      <c r="A9" s="443">
        <f>IF(Score!A9="", "",Score!A9 )</f>
        <v>4</v>
      </c>
      <c r="B9" s="444"/>
      <c r="C9" s="445" t="str">
        <f>IF(Score!B9="", "",Score!B9 )</f>
        <v>215</v>
      </c>
      <c r="D9" s="446"/>
      <c r="E9" s="446"/>
      <c r="F9" s="446"/>
      <c r="G9" s="445" t="s">
        <v>119</v>
      </c>
      <c r="H9" s="446"/>
      <c r="I9" s="446"/>
      <c r="J9" s="446"/>
      <c r="K9" s="445" t="s">
        <v>80</v>
      </c>
      <c r="L9" s="446" t="s">
        <v>286</v>
      </c>
      <c r="M9" s="446"/>
      <c r="N9" s="446"/>
      <c r="O9" s="445" t="s">
        <v>64</v>
      </c>
      <c r="P9" s="446"/>
      <c r="Q9" s="446"/>
      <c r="R9" s="446"/>
      <c r="S9" s="445" t="s">
        <v>95</v>
      </c>
      <c r="T9" s="446"/>
      <c r="U9" s="446"/>
      <c r="V9" s="447"/>
      <c r="W9" s="439">
        <f>IF(A9="","",SUMIF(SK!B$3:B$78,ROW(),SK!D$3:D$78))</f>
        <v>0</v>
      </c>
      <c r="X9" s="43"/>
      <c r="Y9" s="43"/>
      <c r="Z9" s="43"/>
      <c r="AA9" s="444">
        <f>IF(Score!T9="", "",Score!T9 )</f>
        <v>4</v>
      </c>
      <c r="AB9" s="444"/>
      <c r="AC9" s="445" t="str">
        <f>IF(Score!U9="", "",Score!U9 )</f>
        <v>33</v>
      </c>
      <c r="AD9" s="446"/>
      <c r="AE9" s="446"/>
      <c r="AF9" s="446"/>
      <c r="AG9" s="445" t="s">
        <v>95</v>
      </c>
      <c r="AH9" s="446"/>
      <c r="AI9" s="446"/>
      <c r="AJ9" s="446"/>
      <c r="AK9" s="445" t="s">
        <v>74</v>
      </c>
      <c r="AL9" s="446"/>
      <c r="AM9" s="446"/>
      <c r="AN9" s="446"/>
      <c r="AO9" s="445" t="s">
        <v>93</v>
      </c>
      <c r="AP9" s="446"/>
      <c r="AQ9" s="446"/>
      <c r="AR9" s="446"/>
      <c r="AS9" s="445" t="s">
        <v>100</v>
      </c>
      <c r="AT9" s="446"/>
      <c r="AU9" s="446"/>
      <c r="AV9" s="447"/>
      <c r="AW9" s="439">
        <f>IF(AA9="","",SUMIF(SK!R$3:R$78,ROW(),SK!T$3:T$78))</f>
        <v>6</v>
      </c>
      <c r="AX9" s="43"/>
      <c r="AY9" s="43"/>
      <c r="AZ9" s="43"/>
    </row>
    <row r="10" ht="39.0" customHeight="1">
      <c r="A10" s="448">
        <f>IF(Score!A10="", "",Score!A10 )</f>
        <v>5</v>
      </c>
      <c r="B10" s="442"/>
      <c r="C10" s="449" t="str">
        <f>IF(Score!B10="", "",Score!B10 )</f>
        <v>93</v>
      </c>
      <c r="D10" s="446"/>
      <c r="E10" s="446"/>
      <c r="F10" s="446"/>
      <c r="G10" s="449" t="s">
        <v>123</v>
      </c>
      <c r="H10" s="446"/>
      <c r="I10" s="446"/>
      <c r="J10" s="446"/>
      <c r="K10" s="449" t="s">
        <v>117</v>
      </c>
      <c r="L10" s="446"/>
      <c r="M10" s="446"/>
      <c r="N10" s="446"/>
      <c r="O10" s="449" t="s">
        <v>109</v>
      </c>
      <c r="P10" s="446"/>
      <c r="Q10" s="446"/>
      <c r="R10" s="446"/>
      <c r="S10" s="449" t="s">
        <v>113</v>
      </c>
      <c r="T10" s="446"/>
      <c r="U10" s="446"/>
      <c r="V10" s="447"/>
      <c r="W10" s="439">
        <f>IF(A10="","",SUMIF(SK!B$3:B$78,ROW(),SK!D$3:D$78))</f>
        <v>0</v>
      </c>
      <c r="X10" s="43"/>
      <c r="Y10" s="440" t="str">
        <f>IF(IGRF!B17="","",IGRF!B17)</f>
        <v>215</v>
      </c>
      <c r="Z10" s="441" t="str">
        <f>IF(IGRF!C17="","",IGRF!C17)</f>
        <v>Pollock</v>
      </c>
      <c r="AA10" s="442">
        <f>IF(Score!T10="", "",Score!T10 )</f>
        <v>5</v>
      </c>
      <c r="AB10" s="442"/>
      <c r="AC10" s="449" t="str">
        <f>IF(Score!U10="", "",Score!U10 )</f>
        <v>101</v>
      </c>
      <c r="AD10" s="446" t="s">
        <v>288</v>
      </c>
      <c r="AE10" s="446"/>
      <c r="AF10" s="446"/>
      <c r="AG10" s="449" t="s">
        <v>115</v>
      </c>
      <c r="AH10" s="446"/>
      <c r="AI10" s="446"/>
      <c r="AJ10" s="446"/>
      <c r="AK10" s="449" t="s">
        <v>58</v>
      </c>
      <c r="AL10" s="446"/>
      <c r="AM10" s="446"/>
      <c r="AN10" s="446"/>
      <c r="AO10" s="449" t="s">
        <v>85</v>
      </c>
      <c r="AP10" s="446"/>
      <c r="AQ10" s="446"/>
      <c r="AR10" s="446"/>
      <c r="AS10" s="449" t="s">
        <v>111</v>
      </c>
      <c r="AT10" s="446" t="s">
        <v>285</v>
      </c>
      <c r="AU10" s="446"/>
      <c r="AV10" s="447"/>
      <c r="AW10" s="439">
        <f>IF(AA10="","",SUMIF(SK!R$3:R$78,ROW(),SK!T$3:T$78))</f>
        <v>14</v>
      </c>
      <c r="AX10" s="43"/>
      <c r="AY10" s="440" t="str">
        <f>IF(IGRF!I17="","",IGRF!I17)</f>
        <v>33</v>
      </c>
      <c r="AZ10" s="441" t="str">
        <f>IF(IGRF!J17="","",IGRF!J17)</f>
        <v>Fox Mauler</v>
      </c>
    </row>
    <row r="11" ht="39.0" customHeight="1">
      <c r="A11" s="443" t="str">
        <f>IF(Score!A11="", "",Score!A11 )</f>
        <v>SP</v>
      </c>
      <c r="B11" s="444" t="s">
        <v>222</v>
      </c>
      <c r="C11" s="445" t="str">
        <f>IF(Score!B11="", "",Score!B11 )</f>
        <v>999</v>
      </c>
      <c r="D11" s="446"/>
      <c r="E11" s="446"/>
      <c r="F11" s="446"/>
      <c r="G11" s="445" t="s">
        <v>121</v>
      </c>
      <c r="H11" s="446"/>
      <c r="I11" s="446"/>
      <c r="J11" s="446"/>
      <c r="K11" s="445" t="s">
        <v>117</v>
      </c>
      <c r="L11" s="446"/>
      <c r="M11" s="446"/>
      <c r="N11" s="446"/>
      <c r="O11" s="445" t="s">
        <v>109</v>
      </c>
      <c r="P11" s="446"/>
      <c r="Q11" s="446"/>
      <c r="R11" s="446"/>
      <c r="S11" s="445" t="s">
        <v>113</v>
      </c>
      <c r="T11" s="446"/>
      <c r="U11" s="446"/>
      <c r="V11" s="447"/>
      <c r="W11" s="439">
        <f>IF(A11="","",SUMIF(SK!B$3:B$78,ROW(),SK!D$3:D$78))</f>
        <v>4</v>
      </c>
      <c r="X11" s="43"/>
      <c r="Y11" s="43"/>
      <c r="Z11" s="43"/>
      <c r="AA11" s="444" t="str">
        <f>IF(Score!T11="", "",Score!T11 )</f>
        <v>SP*</v>
      </c>
      <c r="AB11" s="444"/>
      <c r="AC11" s="451" t="str">
        <f>IF(Score!U11="", "",Score!U11 )</f>
        <v/>
      </c>
      <c r="AD11" s="446"/>
      <c r="AE11" s="446"/>
      <c r="AF11" s="446"/>
      <c r="AG11" s="445"/>
      <c r="AH11" s="446"/>
      <c r="AI11" s="446"/>
      <c r="AJ11" s="446"/>
      <c r="AK11" s="445"/>
      <c r="AL11" s="446"/>
      <c r="AM11" s="446"/>
      <c r="AN11" s="446"/>
      <c r="AO11" s="445"/>
      <c r="AP11" s="446"/>
      <c r="AQ11" s="446"/>
      <c r="AR11" s="446"/>
      <c r="AS11" s="445"/>
      <c r="AT11" s="446"/>
      <c r="AU11" s="446"/>
      <c r="AV11" s="447"/>
      <c r="AW11" s="439">
        <f>IF(AA11="","",SUMIF(SK!R$3:R$78,ROW(),SK!T$3:T$78))</f>
        <v>0</v>
      </c>
      <c r="AX11" s="43"/>
      <c r="AY11" s="43"/>
      <c r="AZ11" s="43"/>
    </row>
    <row r="12" ht="39.0" customHeight="1">
      <c r="A12" s="448">
        <f>IF(Score!A12="", "",Score!A12 )</f>
        <v>6</v>
      </c>
      <c r="B12" s="442"/>
      <c r="C12" s="449" t="str">
        <f>IF(Score!B12="", "",Score!B12 )</f>
        <v>16</v>
      </c>
      <c r="D12" s="446" t="s">
        <v>285</v>
      </c>
      <c r="E12" s="446"/>
      <c r="F12" s="446"/>
      <c r="G12" s="449" t="s">
        <v>95</v>
      </c>
      <c r="H12" s="446"/>
      <c r="I12" s="446"/>
      <c r="J12" s="446"/>
      <c r="K12" s="449" t="s">
        <v>119</v>
      </c>
      <c r="L12" s="446"/>
      <c r="M12" s="446"/>
      <c r="N12" s="446"/>
      <c r="O12" s="449" t="s">
        <v>100</v>
      </c>
      <c r="P12" s="446"/>
      <c r="Q12" s="446"/>
      <c r="R12" s="446"/>
      <c r="S12" s="449" t="s">
        <v>56</v>
      </c>
      <c r="T12" s="446"/>
      <c r="U12" s="446"/>
      <c r="V12" s="447"/>
      <c r="W12" s="439">
        <f>IF(A12="","",SUMIF(SK!B$3:B$78,ROW(),SK!D$3:D$78))</f>
        <v>0</v>
      </c>
      <c r="X12" s="43"/>
      <c r="Y12" s="440" t="str">
        <f>IF(IGRF!B18="","",IGRF!B18)</f>
        <v>27</v>
      </c>
      <c r="Z12" s="441" t="str">
        <f>IF(IGRF!C18="","",IGRF!C18)</f>
        <v>MegaHurtz</v>
      </c>
      <c r="AA12" s="442">
        <f>IF(Score!T12="", "",Score!T12 )</f>
        <v>6</v>
      </c>
      <c r="AB12" s="442"/>
      <c r="AC12" s="449" t="str">
        <f>IF(Score!U12="", "",Score!U12 )</f>
        <v>16</v>
      </c>
      <c r="AD12" s="446"/>
      <c r="AE12" s="446"/>
      <c r="AF12" s="446"/>
      <c r="AG12" s="449" t="s">
        <v>95</v>
      </c>
      <c r="AH12" s="446"/>
      <c r="AI12" s="446"/>
      <c r="AJ12" s="446"/>
      <c r="AK12" s="449" t="s">
        <v>78</v>
      </c>
      <c r="AL12" s="446"/>
      <c r="AM12" s="446"/>
      <c r="AN12" s="446"/>
      <c r="AO12" s="449" t="s">
        <v>74</v>
      </c>
      <c r="AP12" s="446" t="s">
        <v>285</v>
      </c>
      <c r="AQ12" s="446"/>
      <c r="AR12" s="446"/>
      <c r="AS12" s="449" t="s">
        <v>111</v>
      </c>
      <c r="AT12" s="446" t="s">
        <v>286</v>
      </c>
      <c r="AU12" s="446"/>
      <c r="AV12" s="447"/>
      <c r="AW12" s="439">
        <f>IF(AA12="","",SUMIF(SK!R$3:R$78,ROW(),SK!T$3:T$78))</f>
        <v>4</v>
      </c>
      <c r="AX12" s="43"/>
      <c r="AY12" s="440" t="str">
        <f>IF(IGRF!I18="","",IGRF!I18)</f>
        <v>1337</v>
      </c>
      <c r="AZ12" s="441" t="str">
        <f>IF(IGRF!J18="","",IGRF!J18)</f>
        <v>8Bit Betty</v>
      </c>
    </row>
    <row r="13" ht="39.0" customHeight="1">
      <c r="A13" s="443">
        <f>IF(Score!A13="", "",Score!A13 )</f>
        <v>7</v>
      </c>
      <c r="B13" s="444"/>
      <c r="C13" s="445" t="str">
        <f>IF(Score!B13="", "",Score!B13 )</f>
        <v>16</v>
      </c>
      <c r="D13" s="446" t="s">
        <v>286</v>
      </c>
      <c r="E13" s="446"/>
      <c r="F13" s="446"/>
      <c r="G13" s="445" t="s">
        <v>80</v>
      </c>
      <c r="H13" s="446"/>
      <c r="I13" s="446"/>
      <c r="J13" s="446"/>
      <c r="K13" s="445" t="s">
        <v>117</v>
      </c>
      <c r="L13" s="446"/>
      <c r="M13" s="446"/>
      <c r="N13" s="446"/>
      <c r="O13" s="445" t="s">
        <v>109</v>
      </c>
      <c r="P13" s="446"/>
      <c r="Q13" s="446"/>
      <c r="R13" s="446"/>
      <c r="S13" s="445" t="s">
        <v>113</v>
      </c>
      <c r="T13" s="446" t="s">
        <v>288</v>
      </c>
      <c r="U13" s="446"/>
      <c r="V13" s="447"/>
      <c r="W13" s="439">
        <f>IF(A13="","",SUMIF(SK!B$3:B$78,ROW(),SK!D$3:D$78))</f>
        <v>0</v>
      </c>
      <c r="X13" s="43"/>
      <c r="Y13" s="43"/>
      <c r="Z13" s="43"/>
      <c r="AA13" s="444">
        <f>IF(Score!T13="", "",Score!T13 )</f>
        <v>7</v>
      </c>
      <c r="AB13" s="444"/>
      <c r="AC13" s="445" t="str">
        <f>IF(Score!U13="", "",Score!U13 )</f>
        <v>11</v>
      </c>
      <c r="AD13" s="446"/>
      <c r="AE13" s="446"/>
      <c r="AF13" s="446"/>
      <c r="AG13" s="445" t="s">
        <v>115</v>
      </c>
      <c r="AH13" s="446"/>
      <c r="AI13" s="446"/>
      <c r="AJ13" s="446"/>
      <c r="AK13" s="445" t="s">
        <v>58</v>
      </c>
      <c r="AL13" s="446"/>
      <c r="AM13" s="446"/>
      <c r="AN13" s="446"/>
      <c r="AO13" s="445" t="s">
        <v>74</v>
      </c>
      <c r="AP13" s="446" t="s">
        <v>286</v>
      </c>
      <c r="AQ13" s="446"/>
      <c r="AR13" s="446"/>
      <c r="AS13" s="445" t="s">
        <v>111</v>
      </c>
      <c r="AT13" s="446"/>
      <c r="AU13" s="446"/>
      <c r="AV13" s="447"/>
      <c r="AW13" s="439">
        <f>IF(AA13="","",SUMIF(SK!R$3:R$78,ROW(),SK!T$3:T$78))</f>
        <v>12</v>
      </c>
      <c r="AX13" s="43"/>
      <c r="AY13" s="43"/>
      <c r="AZ13" s="43"/>
    </row>
    <row r="14" ht="39.0" customHeight="1">
      <c r="A14" s="448">
        <f>IF(Score!A14="", "",Score!A14 )</f>
        <v>8</v>
      </c>
      <c r="B14" s="442"/>
      <c r="C14" s="449" t="str">
        <f>IF(Score!B14="", "",Score!B14 )</f>
        <v>271</v>
      </c>
      <c r="D14" s="446"/>
      <c r="E14" s="446"/>
      <c r="F14" s="446"/>
      <c r="G14" s="449" t="s">
        <v>119</v>
      </c>
      <c r="H14" s="446"/>
      <c r="I14" s="446"/>
      <c r="J14" s="446"/>
      <c r="K14" s="449" t="s">
        <v>64</v>
      </c>
      <c r="L14" s="446" t="s">
        <v>285</v>
      </c>
      <c r="M14" s="446"/>
      <c r="N14" s="446"/>
      <c r="O14" s="449" t="s">
        <v>95</v>
      </c>
      <c r="P14" s="446"/>
      <c r="Q14" s="446"/>
      <c r="R14" s="446"/>
      <c r="S14" s="449" t="s">
        <v>100</v>
      </c>
      <c r="T14" s="446"/>
      <c r="U14" s="446"/>
      <c r="V14" s="447"/>
      <c r="W14" s="439">
        <f>IF(A14="","",SUMIF(SK!B$3:B$78,ROW(),SK!D$3:D$78))</f>
        <v>4</v>
      </c>
      <c r="X14" s="43"/>
      <c r="Y14" s="440" t="str">
        <f>IF(IGRF!B19="","",IGRF!B19)</f>
        <v>271</v>
      </c>
      <c r="Z14" s="441" t="str">
        <f>IF(IGRF!C19="","",IGRF!C19)</f>
        <v>Peb Canary</v>
      </c>
      <c r="AA14" s="442">
        <f>IF(Score!T14="", "",Score!T14 )</f>
        <v>8</v>
      </c>
      <c r="AB14" s="442"/>
      <c r="AC14" s="449" t="str">
        <f>IF(Score!U14="", "",Score!U14 )</f>
        <v>33</v>
      </c>
      <c r="AD14" s="446"/>
      <c r="AE14" s="446"/>
      <c r="AF14" s="446"/>
      <c r="AG14" s="449" t="s">
        <v>95</v>
      </c>
      <c r="AH14" s="446" t="s">
        <v>285</v>
      </c>
      <c r="AI14" s="446"/>
      <c r="AJ14" s="446"/>
      <c r="AK14" s="449" t="s">
        <v>93</v>
      </c>
      <c r="AL14" s="446"/>
      <c r="AM14" s="446"/>
      <c r="AN14" s="446"/>
      <c r="AO14" s="449" t="s">
        <v>100</v>
      </c>
      <c r="AP14" s="446"/>
      <c r="AQ14" s="446"/>
      <c r="AR14" s="446"/>
      <c r="AS14" s="449" t="s">
        <v>107</v>
      </c>
      <c r="AT14" s="446"/>
      <c r="AU14" s="446"/>
      <c r="AV14" s="447"/>
      <c r="AW14" s="439">
        <f>IF(AA14="","",SUMIF(SK!R$3:R$78,ROW(),SK!T$3:T$78))</f>
        <v>3</v>
      </c>
      <c r="AX14" s="43"/>
      <c r="AY14" s="440" t="str">
        <f>IF(IGRF!I19="","",IGRF!I19)</f>
        <v>150</v>
      </c>
      <c r="AZ14" s="441" t="str">
        <f>IF(IGRF!J19="","",IGRF!J19)</f>
        <v>Cooney</v>
      </c>
    </row>
    <row r="15" ht="39.0" customHeight="1">
      <c r="A15" s="443">
        <f>IF(Score!A15="", "",Score!A15 )</f>
        <v>9</v>
      </c>
      <c r="B15" s="444"/>
      <c r="C15" s="445" t="str">
        <f>IF(Score!B15="", "",Score!B15 )</f>
        <v>45</v>
      </c>
      <c r="D15" s="446"/>
      <c r="E15" s="446"/>
      <c r="F15" s="446"/>
      <c r="G15" s="445" t="s">
        <v>123</v>
      </c>
      <c r="H15" s="446"/>
      <c r="I15" s="446"/>
      <c r="J15" s="446"/>
      <c r="K15" s="445" t="s">
        <v>64</v>
      </c>
      <c r="L15" s="446" t="s">
        <v>286</v>
      </c>
      <c r="M15" s="446"/>
      <c r="N15" s="446"/>
      <c r="O15" s="445" t="s">
        <v>117</v>
      </c>
      <c r="P15" s="446"/>
      <c r="Q15" s="446"/>
      <c r="R15" s="446"/>
      <c r="S15" s="445" t="s">
        <v>113</v>
      </c>
      <c r="T15" s="446"/>
      <c r="U15" s="446"/>
      <c r="V15" s="447"/>
      <c r="W15" s="439">
        <f>IF(A15="","",SUMIF(SK!B$3:B$78,ROW(),SK!D$3:D$78))</f>
        <v>4</v>
      </c>
      <c r="X15" s="43"/>
      <c r="Y15" s="43"/>
      <c r="Z15" s="43"/>
      <c r="AA15" s="444">
        <f>IF(Score!T15="", "",Score!T15 )</f>
        <v>9</v>
      </c>
      <c r="AB15" s="444"/>
      <c r="AC15" s="445" t="str">
        <f>IF(Score!U15="", "",Score!U15 )</f>
        <v>101</v>
      </c>
      <c r="AD15" s="446"/>
      <c r="AE15" s="446"/>
      <c r="AF15" s="446"/>
      <c r="AG15" s="445" t="s">
        <v>95</v>
      </c>
      <c r="AH15" s="446" t="s">
        <v>286</v>
      </c>
      <c r="AI15" s="446"/>
      <c r="AJ15" s="446"/>
      <c r="AK15" s="445" t="s">
        <v>58</v>
      </c>
      <c r="AL15" s="446"/>
      <c r="AM15" s="446"/>
      <c r="AN15" s="446"/>
      <c r="AO15" s="445" t="s">
        <v>111</v>
      </c>
      <c r="AP15" s="446"/>
      <c r="AQ15" s="446"/>
      <c r="AR15" s="446"/>
      <c r="AS15" s="445" t="s">
        <v>104</v>
      </c>
      <c r="AT15" s="446"/>
      <c r="AU15" s="446"/>
      <c r="AV15" s="447"/>
      <c r="AW15" s="439">
        <f>IF(AA15="","",SUMIF(SK!R$3:R$78,ROW(),SK!T$3:T$78))</f>
        <v>4</v>
      </c>
      <c r="AX15" s="43"/>
      <c r="AY15" s="43"/>
      <c r="AZ15" s="43"/>
    </row>
    <row r="16" ht="39.0" customHeight="1">
      <c r="A16" s="448">
        <f>IF(Score!A16="", "",Score!A16 )</f>
        <v>10</v>
      </c>
      <c r="B16" s="442"/>
      <c r="C16" s="449" t="str">
        <f>IF(Score!B16="", "",Score!B16 )</f>
        <v>215</v>
      </c>
      <c r="D16" s="446"/>
      <c r="E16" s="446"/>
      <c r="F16" s="446"/>
      <c r="G16" s="449" t="s">
        <v>95</v>
      </c>
      <c r="H16" s="446"/>
      <c r="I16" s="446"/>
      <c r="J16" s="446"/>
      <c r="K16" s="449" t="s">
        <v>119</v>
      </c>
      <c r="L16" s="446"/>
      <c r="M16" s="446"/>
      <c r="N16" s="446"/>
      <c r="O16" s="449" t="s">
        <v>100</v>
      </c>
      <c r="P16" s="446"/>
      <c r="Q16" s="446"/>
      <c r="R16" s="446"/>
      <c r="S16" s="449" t="s">
        <v>56</v>
      </c>
      <c r="T16" s="446"/>
      <c r="U16" s="446"/>
      <c r="V16" s="447"/>
      <c r="W16" s="439">
        <f>IF(A16="","",SUMIF(SK!B$3:B$78,ROW(),SK!D$3:D$78))</f>
        <v>0</v>
      </c>
      <c r="X16" s="43"/>
      <c r="Y16" s="440" t="str">
        <f>IF(IGRF!B20="","",IGRF!B20)</f>
        <v>220</v>
      </c>
      <c r="Z16" s="441" t="str">
        <f>IF(IGRF!C20="","",IGRF!C20)</f>
        <v>Cerosene</v>
      </c>
      <c r="AA16" s="442">
        <f>IF(Score!T16="", "",Score!T16 )</f>
        <v>10</v>
      </c>
      <c r="AB16" s="442"/>
      <c r="AC16" s="449" t="str">
        <f>IF(Score!U16="", "",Score!U16 )</f>
        <v>16</v>
      </c>
      <c r="AD16" s="446"/>
      <c r="AE16" s="446"/>
      <c r="AF16" s="446"/>
      <c r="AG16" s="449" t="s">
        <v>74</v>
      </c>
      <c r="AH16" s="446" t="s">
        <v>288</v>
      </c>
      <c r="AI16" s="446"/>
      <c r="AJ16" s="446"/>
      <c r="AK16" s="449" t="s">
        <v>78</v>
      </c>
      <c r="AL16" s="446"/>
      <c r="AM16" s="446"/>
      <c r="AN16" s="446"/>
      <c r="AO16" s="449" t="s">
        <v>93</v>
      </c>
      <c r="AP16" s="446"/>
      <c r="AQ16" s="446"/>
      <c r="AR16" s="446"/>
      <c r="AS16" s="449" t="s">
        <v>100</v>
      </c>
      <c r="AT16" s="446"/>
      <c r="AU16" s="446"/>
      <c r="AV16" s="447"/>
      <c r="AW16" s="439">
        <f>IF(AA16="","",SUMIF(SK!R$3:R$78,ROW(),SK!T$3:T$78))</f>
        <v>12</v>
      </c>
      <c r="AX16" s="43"/>
      <c r="AY16" s="440" t="str">
        <f>IF(IGRF!I20="","",IGRF!I20)</f>
        <v>16</v>
      </c>
      <c r="AZ16" s="441" t="str">
        <f>IF(IGRF!J20="","",IGRF!J20)</f>
        <v>Jemerald</v>
      </c>
    </row>
    <row r="17" ht="39.0" customHeight="1">
      <c r="A17" s="443">
        <f>IF(Score!A17="", "",Score!A17 )</f>
        <v>11</v>
      </c>
      <c r="B17" s="444"/>
      <c r="C17" s="445" t="str">
        <f>IF(Score!B17="", "",Score!B17 )</f>
        <v>93</v>
      </c>
      <c r="D17" s="446"/>
      <c r="E17" s="446"/>
      <c r="F17" s="446"/>
      <c r="G17" s="445" t="s">
        <v>123</v>
      </c>
      <c r="H17" s="446" t="s">
        <v>288</v>
      </c>
      <c r="I17" s="446"/>
      <c r="J17" s="446"/>
      <c r="K17" s="445" t="s">
        <v>80</v>
      </c>
      <c r="L17" s="446"/>
      <c r="M17" s="446"/>
      <c r="N17" s="446"/>
      <c r="O17" s="445" t="s">
        <v>109</v>
      </c>
      <c r="P17" s="446"/>
      <c r="Q17" s="446"/>
      <c r="R17" s="446"/>
      <c r="S17" s="445" t="s">
        <v>113</v>
      </c>
      <c r="T17" s="446" t="s">
        <v>288</v>
      </c>
      <c r="U17" s="446"/>
      <c r="V17" s="447"/>
      <c r="W17" s="439">
        <f>IF(A17="","",SUMIF(SK!B$3:B$78,ROW(),SK!D$3:D$78))</f>
        <v>4</v>
      </c>
      <c r="X17" s="43"/>
      <c r="Y17" s="43"/>
      <c r="Z17" s="43"/>
      <c r="AA17" s="444">
        <f>IF(Score!T17="", "",Score!T17 )</f>
        <v>11</v>
      </c>
      <c r="AB17" s="444"/>
      <c r="AC17" s="445" t="str">
        <f>IF(Score!U17="", "",Score!U17 )</f>
        <v>11</v>
      </c>
      <c r="AD17" s="446" t="s">
        <v>288</v>
      </c>
      <c r="AE17" s="446"/>
      <c r="AF17" s="446"/>
      <c r="AG17" s="445" t="s">
        <v>115</v>
      </c>
      <c r="AH17" s="446" t="s">
        <v>288</v>
      </c>
      <c r="AI17" s="446"/>
      <c r="AJ17" s="446"/>
      <c r="AK17" s="445" t="s">
        <v>58</v>
      </c>
      <c r="AL17" s="446"/>
      <c r="AM17" s="446"/>
      <c r="AN17" s="446"/>
      <c r="AO17" s="445" t="s">
        <v>111</v>
      </c>
      <c r="AP17" s="446"/>
      <c r="AQ17" s="446"/>
      <c r="AR17" s="446"/>
      <c r="AS17" s="445" t="s">
        <v>85</v>
      </c>
      <c r="AT17" s="446"/>
      <c r="AU17" s="446"/>
      <c r="AV17" s="447"/>
      <c r="AW17" s="439">
        <f>IF(AA17="","",SUMIF(SK!R$3:R$78,ROW(),SK!T$3:T$78))</f>
        <v>16</v>
      </c>
      <c r="AX17" s="43"/>
      <c r="AY17" s="43"/>
      <c r="AZ17" s="43"/>
    </row>
    <row r="18" ht="39.0" customHeight="1">
      <c r="A18" s="448">
        <f>IF(Score!A18="", "",Score!A18 )</f>
        <v>12</v>
      </c>
      <c r="B18" s="442"/>
      <c r="C18" s="449" t="str">
        <f>IF(Score!B18="", "",Score!B18 )</f>
        <v>16</v>
      </c>
      <c r="D18" s="446"/>
      <c r="E18" s="446"/>
      <c r="F18" s="446"/>
      <c r="G18" s="449" t="s">
        <v>119</v>
      </c>
      <c r="H18" s="446"/>
      <c r="I18" s="446"/>
      <c r="J18" s="446"/>
      <c r="K18" s="449" t="s">
        <v>95</v>
      </c>
      <c r="L18" s="446"/>
      <c r="M18" s="446"/>
      <c r="N18" s="446"/>
      <c r="O18" s="449" t="s">
        <v>56</v>
      </c>
      <c r="P18" s="446" t="s">
        <v>288</v>
      </c>
      <c r="Q18" s="446"/>
      <c r="R18" s="446"/>
      <c r="S18" s="449" t="s">
        <v>100</v>
      </c>
      <c r="T18" s="446"/>
      <c r="U18" s="446"/>
      <c r="V18" s="447"/>
      <c r="W18" s="439">
        <f>IF(A18="","",SUMIF(SK!B$3:B$78,ROW(),SK!D$3:D$78))</f>
        <v>4</v>
      </c>
      <c r="X18" s="43"/>
      <c r="Y18" s="440" t="str">
        <f>IF(IGRF!B21="","",IGRF!B21)</f>
        <v>3556</v>
      </c>
      <c r="Z18" s="441" t="str">
        <f>IF(IGRF!C21="","",IGRF!C21)</f>
        <v>Crystal Beth</v>
      </c>
      <c r="AA18" s="442">
        <f>IF(Score!T18="", "",Score!T18 )</f>
        <v>12</v>
      </c>
      <c r="AB18" s="442"/>
      <c r="AC18" s="449" t="str">
        <f>IF(Score!U18="", "",Score!U18 )</f>
        <v>33</v>
      </c>
      <c r="AD18" s="446"/>
      <c r="AE18" s="446"/>
      <c r="AF18" s="446"/>
      <c r="AG18" s="449" t="s">
        <v>95</v>
      </c>
      <c r="AH18" s="446"/>
      <c r="AI18" s="446"/>
      <c r="AJ18" s="446"/>
      <c r="AK18" s="449" t="s">
        <v>93</v>
      </c>
      <c r="AL18" s="446"/>
      <c r="AM18" s="446"/>
      <c r="AN18" s="446"/>
      <c r="AO18" s="449" t="s">
        <v>107</v>
      </c>
      <c r="AP18" s="446"/>
      <c r="AQ18" s="446"/>
      <c r="AR18" s="446"/>
      <c r="AS18" s="449" t="s">
        <v>74</v>
      </c>
      <c r="AT18" s="446"/>
      <c r="AU18" s="446"/>
      <c r="AV18" s="447"/>
      <c r="AW18" s="439">
        <f>IF(AA18="","",SUMIF(SK!R$3:R$78,ROW(),SK!T$3:T$78))</f>
        <v>7</v>
      </c>
      <c r="AX18" s="43"/>
      <c r="AY18" s="440" t="str">
        <f>IF(IGRF!I21="","",IGRF!I21)</f>
        <v>3110</v>
      </c>
      <c r="AZ18" s="441" t="str">
        <f>IF(IGRF!J21="","",IGRF!J21)</f>
        <v>Grand DAM</v>
      </c>
    </row>
    <row r="19" ht="39.0" customHeight="1">
      <c r="A19" s="443">
        <f>IF(Score!A19="", "",Score!A19 )</f>
        <v>13</v>
      </c>
      <c r="B19" s="444"/>
      <c r="C19" s="445" t="str">
        <f>IF(Score!B19="", "",Score!B19 )</f>
        <v>271</v>
      </c>
      <c r="D19" s="446"/>
      <c r="E19" s="446"/>
      <c r="F19" s="446"/>
      <c r="G19" s="445" t="s">
        <v>123</v>
      </c>
      <c r="H19" s="446"/>
      <c r="I19" s="446"/>
      <c r="J19" s="446"/>
      <c r="K19" s="445" t="s">
        <v>80</v>
      </c>
      <c r="L19" s="446"/>
      <c r="M19" s="446"/>
      <c r="N19" s="446"/>
      <c r="O19" s="445" t="s">
        <v>117</v>
      </c>
      <c r="P19" s="446"/>
      <c r="Q19" s="446"/>
      <c r="R19" s="446"/>
      <c r="S19" s="445" t="s">
        <v>113</v>
      </c>
      <c r="T19" s="446"/>
      <c r="U19" s="446"/>
      <c r="V19" s="447"/>
      <c r="W19" s="439">
        <f>IF(A19="","",SUMIF(SK!B$3:B$78,ROW(),SK!D$3:D$78))</f>
        <v>8</v>
      </c>
      <c r="X19" s="43"/>
      <c r="Y19" s="43"/>
      <c r="Z19" s="43"/>
      <c r="AA19" s="444">
        <f>IF(Score!T19="", "",Score!T19 )</f>
        <v>13</v>
      </c>
      <c r="AB19" s="444"/>
      <c r="AC19" s="445" t="str">
        <f>IF(Score!U19="", "",Score!U19 )</f>
        <v>101</v>
      </c>
      <c r="AD19" s="446"/>
      <c r="AE19" s="446"/>
      <c r="AF19" s="446"/>
      <c r="AG19" s="445" t="s">
        <v>115</v>
      </c>
      <c r="AH19" s="446"/>
      <c r="AI19" s="446"/>
      <c r="AJ19" s="446"/>
      <c r="AK19" s="445" t="s">
        <v>111</v>
      </c>
      <c r="AL19" s="446"/>
      <c r="AM19" s="446"/>
      <c r="AN19" s="446"/>
      <c r="AO19" s="445" t="s">
        <v>58</v>
      </c>
      <c r="AP19" s="446"/>
      <c r="AQ19" s="446"/>
      <c r="AR19" s="446"/>
      <c r="AS19" s="445" t="s">
        <v>104</v>
      </c>
      <c r="AT19" s="446"/>
      <c r="AU19" s="446"/>
      <c r="AV19" s="447"/>
      <c r="AW19" s="439">
        <f>IF(AA19="","",SUMIF(SK!R$3:R$78,ROW(),SK!T$3:T$78))</f>
        <v>4</v>
      </c>
      <c r="AX19" s="43"/>
      <c r="AY19" s="43"/>
      <c r="AZ19" s="43"/>
    </row>
    <row r="20" ht="39.0" customHeight="1">
      <c r="A20" s="448">
        <f>IF(Score!A20="", "",Score!A20 )</f>
        <v>14</v>
      </c>
      <c r="B20" s="442"/>
      <c r="C20" s="449" t="str">
        <f>IF(Score!B20="", "",Score!B20 )</f>
        <v>45</v>
      </c>
      <c r="D20" s="446"/>
      <c r="E20" s="446"/>
      <c r="F20" s="446"/>
      <c r="G20" s="449" t="s">
        <v>95</v>
      </c>
      <c r="H20" s="446"/>
      <c r="I20" s="446"/>
      <c r="J20" s="446"/>
      <c r="K20" s="449" t="s">
        <v>119</v>
      </c>
      <c r="L20" s="446"/>
      <c r="M20" s="446"/>
      <c r="N20" s="446"/>
      <c r="O20" s="449" t="s">
        <v>64</v>
      </c>
      <c r="P20" s="446"/>
      <c r="Q20" s="446"/>
      <c r="R20" s="446"/>
      <c r="S20" s="449" t="s">
        <v>56</v>
      </c>
      <c r="T20" s="446"/>
      <c r="U20" s="446"/>
      <c r="V20" s="447"/>
      <c r="W20" s="439">
        <f>IF(A20="","",SUMIF(SK!B$3:B$78,ROW(),SK!D$3:D$78))</f>
        <v>4</v>
      </c>
      <c r="X20" s="43"/>
      <c r="Y20" s="440" t="str">
        <f>IF(IGRF!B22="","",IGRF!B22)</f>
        <v>360</v>
      </c>
      <c r="Z20" s="441" t="str">
        <f>IF(IGRF!C22="","",IGRF!C22)</f>
        <v>Baxter</v>
      </c>
      <c r="AA20" s="442">
        <f>IF(Score!T20="", "",Score!T20 )</f>
        <v>14</v>
      </c>
      <c r="AB20" s="442"/>
      <c r="AC20" s="449" t="str">
        <f>IF(Score!U20="", "",Score!U20 )</f>
        <v>16</v>
      </c>
      <c r="AD20" s="446"/>
      <c r="AE20" s="446"/>
      <c r="AF20" s="446"/>
      <c r="AG20" s="449" t="s">
        <v>95</v>
      </c>
      <c r="AH20" s="446"/>
      <c r="AI20" s="446"/>
      <c r="AJ20" s="446"/>
      <c r="AK20" s="449" t="s">
        <v>74</v>
      </c>
      <c r="AL20" s="446" t="s">
        <v>288</v>
      </c>
      <c r="AM20" s="446"/>
      <c r="AN20" s="446"/>
      <c r="AO20" s="449" t="s">
        <v>78</v>
      </c>
      <c r="AP20" s="446"/>
      <c r="AQ20" s="446"/>
      <c r="AR20" s="446"/>
      <c r="AS20" s="449" t="s">
        <v>100</v>
      </c>
      <c r="AT20" s="446"/>
      <c r="AU20" s="446"/>
      <c r="AV20" s="447"/>
      <c r="AW20" s="439">
        <f>IF(AA20="","",SUMIF(SK!R$3:R$78,ROW(),SK!T$3:T$78))</f>
        <v>12</v>
      </c>
      <c r="AX20" s="43"/>
      <c r="AY20" s="440" t="str">
        <f>IF(IGRF!I22="","",IGRF!I22)</f>
        <v>333</v>
      </c>
      <c r="AZ20" s="441" t="str">
        <f>IF(IGRF!J22="","",IGRF!J22)</f>
        <v>Yonic Cyclonic</v>
      </c>
    </row>
    <row r="21" ht="39.0" customHeight="1">
      <c r="A21" s="443">
        <f>IF(Score!A21="", "",Score!A21 )</f>
        <v>15</v>
      </c>
      <c r="B21" s="444"/>
      <c r="C21" s="445" t="str">
        <f>IF(Score!B21="", "",Score!B21 )</f>
        <v>215</v>
      </c>
      <c r="D21" s="446" t="s">
        <v>289</v>
      </c>
      <c r="E21" s="446"/>
      <c r="F21" s="446"/>
      <c r="G21" s="445" t="s">
        <v>123</v>
      </c>
      <c r="H21" s="446"/>
      <c r="I21" s="446"/>
      <c r="J21" s="446"/>
      <c r="K21" s="445" t="s">
        <v>80</v>
      </c>
      <c r="L21" s="446"/>
      <c r="M21" s="446"/>
      <c r="N21" s="446"/>
      <c r="O21" s="445" t="s">
        <v>109</v>
      </c>
      <c r="P21" s="446"/>
      <c r="Q21" s="446"/>
      <c r="R21" s="446"/>
      <c r="S21" s="445" t="s">
        <v>113</v>
      </c>
      <c r="T21" s="446" t="s">
        <v>285</v>
      </c>
      <c r="U21" s="446"/>
      <c r="V21" s="447"/>
      <c r="W21" s="439">
        <f>IF(A21="","",SUMIF(SK!B$3:B$78,ROW(),SK!D$3:D$78))</f>
        <v>4</v>
      </c>
      <c r="X21" s="43"/>
      <c r="Y21" s="43"/>
      <c r="Z21" s="43"/>
      <c r="AA21" s="444">
        <f>IF(Score!T21="", "",Score!T21 )</f>
        <v>15</v>
      </c>
      <c r="AB21" s="444"/>
      <c r="AC21" s="445" t="str">
        <f>IF(Score!U21="", "",Score!U21 )</f>
        <v>11</v>
      </c>
      <c r="AD21" s="446"/>
      <c r="AE21" s="446"/>
      <c r="AF21" s="446"/>
      <c r="AG21" s="445" t="s">
        <v>115</v>
      </c>
      <c r="AH21" s="446"/>
      <c r="AI21" s="446"/>
      <c r="AJ21" s="446"/>
      <c r="AK21" s="445" t="s">
        <v>58</v>
      </c>
      <c r="AL21" s="446"/>
      <c r="AM21" s="446"/>
      <c r="AN21" s="446"/>
      <c r="AO21" s="445" t="s">
        <v>111</v>
      </c>
      <c r="AP21" s="446" t="s">
        <v>285</v>
      </c>
      <c r="AQ21" s="446"/>
      <c r="AR21" s="446"/>
      <c r="AS21" s="445" t="s">
        <v>85</v>
      </c>
      <c r="AT21" s="446"/>
      <c r="AU21" s="446"/>
      <c r="AV21" s="447"/>
      <c r="AW21" s="439">
        <f>IF(AA21="","",SUMIF(SK!R$3:R$78,ROW(),SK!T$3:T$78))</f>
        <v>0</v>
      </c>
      <c r="AX21" s="43"/>
      <c r="AY21" s="43"/>
      <c r="AZ21" s="43"/>
    </row>
    <row r="22" ht="39.0" customHeight="1">
      <c r="A22" s="448" t="s">
        <v>224</v>
      </c>
      <c r="B22" s="442"/>
      <c r="C22" s="450" t="str">
        <f>IF(Score!B22="", "",Score!B22 )</f>
        <v/>
      </c>
      <c r="D22" s="446"/>
      <c r="E22" s="446"/>
      <c r="F22" s="446"/>
      <c r="G22" s="449"/>
      <c r="H22" s="446"/>
      <c r="I22" s="446"/>
      <c r="J22" s="446"/>
      <c r="K22" s="449"/>
      <c r="L22" s="446"/>
      <c r="M22" s="446"/>
      <c r="N22" s="446"/>
      <c r="O22" s="449"/>
      <c r="P22" s="446"/>
      <c r="Q22" s="446"/>
      <c r="R22" s="446"/>
      <c r="S22" s="449"/>
      <c r="T22" s="446"/>
      <c r="U22" s="446"/>
      <c r="V22" s="447"/>
      <c r="W22" s="439">
        <f>IF(A22="","",SUMIF(SK!B$3:B$78,ROW(),SK!D$3:D$78))</f>
        <v>0</v>
      </c>
      <c r="X22" s="43"/>
      <c r="Y22" s="440" t="str">
        <f>IF(IGRF!B23="","",IGRF!B23)</f>
        <v>40</v>
      </c>
      <c r="Z22" s="441" t="str">
        <f>IF(IGRF!C23="","",IGRF!C23)</f>
        <v>Kid</v>
      </c>
      <c r="AA22" s="442" t="str">
        <f>IF(Score!T22="", "",Score!T22 )</f>
        <v>SP</v>
      </c>
      <c r="AB22" s="442" t="s">
        <v>222</v>
      </c>
      <c r="AC22" s="449" t="str">
        <f>IF(Score!U22="", "",Score!U22 )</f>
        <v>88</v>
      </c>
      <c r="AD22" s="446"/>
      <c r="AE22" s="446"/>
      <c r="AF22" s="446"/>
      <c r="AG22" s="449" t="s">
        <v>66</v>
      </c>
      <c r="AH22" s="446"/>
      <c r="AI22" s="446"/>
      <c r="AJ22" s="446"/>
      <c r="AK22" s="449" t="s">
        <v>58</v>
      </c>
      <c r="AL22" s="446"/>
      <c r="AM22" s="446"/>
      <c r="AN22" s="446"/>
      <c r="AO22" s="449" t="s">
        <v>111</v>
      </c>
      <c r="AP22" s="446" t="s">
        <v>287</v>
      </c>
      <c r="AQ22" s="446"/>
      <c r="AR22" s="446"/>
      <c r="AS22" s="449" t="s">
        <v>85</v>
      </c>
      <c r="AT22" s="446"/>
      <c r="AU22" s="446"/>
      <c r="AV22" s="447"/>
      <c r="AW22" s="439">
        <f>IF(AA22="","",SUMIF(SK!R$3:R$78,ROW(),SK!T$3:T$78))</f>
        <v>7</v>
      </c>
      <c r="AX22" s="43"/>
      <c r="AY22" s="440" t="str">
        <f>IF(IGRF!I23="","",IGRF!I23)</f>
        <v>4</v>
      </c>
      <c r="AZ22" s="441" t="str">
        <f>IF(IGRF!J23="","",IGRF!J23)</f>
        <v>Stabba</v>
      </c>
    </row>
    <row r="23" ht="39.0" customHeight="1">
      <c r="A23" s="443">
        <f>IF(Score!A23="", "",Score!A23 )</f>
        <v>16</v>
      </c>
      <c r="B23" s="444"/>
      <c r="C23" s="445" t="str">
        <f>IF(Score!B23="", "",Score!B23 )</f>
        <v>93</v>
      </c>
      <c r="D23" s="446"/>
      <c r="E23" s="446"/>
      <c r="F23" s="446"/>
      <c r="G23" s="445" t="s">
        <v>119</v>
      </c>
      <c r="H23" s="446" t="s">
        <v>288</v>
      </c>
      <c r="I23" s="446"/>
      <c r="J23" s="446"/>
      <c r="K23" s="445" t="s">
        <v>95</v>
      </c>
      <c r="L23" s="446" t="s">
        <v>288</v>
      </c>
      <c r="M23" s="446"/>
      <c r="N23" s="446"/>
      <c r="O23" s="445" t="s">
        <v>64</v>
      </c>
      <c r="P23" s="446" t="s">
        <v>288</v>
      </c>
      <c r="Q23" s="446"/>
      <c r="R23" s="446"/>
      <c r="S23" s="445" t="s">
        <v>113</v>
      </c>
      <c r="T23" s="446" t="s">
        <v>286</v>
      </c>
      <c r="U23" s="446"/>
      <c r="V23" s="447"/>
      <c r="W23" s="439">
        <f>IF(A23="","",SUMIF(SK!B$3:B$78,ROW(),SK!D$3:D$78))</f>
        <v>8</v>
      </c>
      <c r="X23" s="43"/>
      <c r="Y23" s="43"/>
      <c r="Z23" s="43"/>
      <c r="AA23" s="444">
        <f>IF(Score!T23="", "",Score!T23 )</f>
        <v>16</v>
      </c>
      <c r="AB23" s="444"/>
      <c r="AC23" s="445" t="str">
        <f>IF(Score!U23="", "",Score!U23 )</f>
        <v>33</v>
      </c>
      <c r="AD23" s="446"/>
      <c r="AE23" s="446"/>
      <c r="AF23" s="446"/>
      <c r="AG23" s="445" t="s">
        <v>95</v>
      </c>
      <c r="AH23" s="446"/>
      <c r="AI23" s="446"/>
      <c r="AJ23" s="446"/>
      <c r="AK23" s="445" t="s">
        <v>107</v>
      </c>
      <c r="AL23" s="446" t="s">
        <v>285</v>
      </c>
      <c r="AM23" s="446"/>
      <c r="AN23" s="446"/>
      <c r="AO23" s="445" t="s">
        <v>111</v>
      </c>
      <c r="AP23" s="446" t="s">
        <v>286</v>
      </c>
      <c r="AQ23" s="446"/>
      <c r="AR23" s="446"/>
      <c r="AS23" s="445" t="s">
        <v>74</v>
      </c>
      <c r="AT23" s="446"/>
      <c r="AU23" s="446"/>
      <c r="AV23" s="447"/>
      <c r="AW23" s="439">
        <f>IF(AA23="","",SUMIF(SK!R$3:R$78,ROW(),SK!T$3:T$78))</f>
        <v>4</v>
      </c>
      <c r="AX23" s="43"/>
      <c r="AY23" s="43"/>
      <c r="AZ23" s="43"/>
    </row>
    <row r="24" ht="39.0" customHeight="1">
      <c r="A24" s="448" t="s">
        <v>224</v>
      </c>
      <c r="B24" s="442"/>
      <c r="C24" s="450" t="str">
        <f>IF(Score!B24="", "",Score!B24 )</f>
        <v/>
      </c>
      <c r="D24" s="446"/>
      <c r="E24" s="446"/>
      <c r="F24" s="446"/>
      <c r="G24" s="449"/>
      <c r="H24" s="446"/>
      <c r="I24" s="446"/>
      <c r="J24" s="446"/>
      <c r="K24" s="449"/>
      <c r="L24" s="446"/>
      <c r="M24" s="446"/>
      <c r="N24" s="446"/>
      <c r="O24" s="449"/>
      <c r="P24" s="446"/>
      <c r="Q24" s="446"/>
      <c r="R24" s="446"/>
      <c r="S24" s="449"/>
      <c r="T24" s="446"/>
      <c r="U24" s="446"/>
      <c r="V24" s="447"/>
      <c r="W24" s="439">
        <f>IF(A24="","",SUMIF(SK!B$3:B$78,ROW(),SK!D$3:D$78))</f>
        <v>0</v>
      </c>
      <c r="X24" s="43"/>
      <c r="Y24" s="440" t="str">
        <f>IF(IGRF!B24="","",IGRF!B24)</f>
        <v>42</v>
      </c>
      <c r="Z24" s="441" t="str">
        <f>IF(IGRF!C24="","",IGRF!C24)</f>
        <v>Bosh</v>
      </c>
      <c r="AA24" s="442" t="str">
        <f>IF(Score!T24="", "",Score!T24 )</f>
        <v>SP</v>
      </c>
      <c r="AB24" s="442" t="s">
        <v>222</v>
      </c>
      <c r="AC24" s="449" t="str">
        <f>IF(Score!U24="", "",Score!U24 )</f>
        <v>42</v>
      </c>
      <c r="AD24" s="446"/>
      <c r="AE24" s="446"/>
      <c r="AF24" s="446"/>
      <c r="AG24" s="449" t="s">
        <v>70</v>
      </c>
      <c r="AH24" s="446"/>
      <c r="AI24" s="446"/>
      <c r="AJ24" s="446"/>
      <c r="AK24" s="449" t="s">
        <v>107</v>
      </c>
      <c r="AL24" s="446" t="s">
        <v>287</v>
      </c>
      <c r="AM24" s="446"/>
      <c r="AN24" s="446"/>
      <c r="AO24" s="449" t="s">
        <v>111</v>
      </c>
      <c r="AP24" s="446"/>
      <c r="AQ24" s="446"/>
      <c r="AR24" s="446"/>
      <c r="AS24" s="449" t="s">
        <v>74</v>
      </c>
      <c r="AT24" s="446"/>
      <c r="AU24" s="446"/>
      <c r="AV24" s="447"/>
      <c r="AW24" s="439">
        <f>IF(AA24="","",SUMIF(SK!R$3:R$78,ROW(),SK!T$3:T$78))</f>
        <v>6</v>
      </c>
      <c r="AX24" s="43"/>
      <c r="AY24" s="440" t="str">
        <f>IF(IGRF!I24="","",IGRF!I24)</f>
        <v>42</v>
      </c>
      <c r="AZ24" s="441" t="str">
        <f>IF(IGRF!J24="","",IGRF!J24)</f>
        <v>Pretty Carless</v>
      </c>
    </row>
    <row r="25" ht="39.0" customHeight="1">
      <c r="A25" s="443">
        <f>IF(Score!A25="", "",Score!A25 )</f>
        <v>17</v>
      </c>
      <c r="B25" s="444"/>
      <c r="C25" s="445" t="str">
        <f>IF(Score!B25="", "",Score!B25 )</f>
        <v>16</v>
      </c>
      <c r="D25" s="446"/>
      <c r="E25" s="446"/>
      <c r="F25" s="446"/>
      <c r="G25" s="445" t="s">
        <v>123</v>
      </c>
      <c r="H25" s="446"/>
      <c r="I25" s="446"/>
      <c r="J25" s="446"/>
      <c r="K25" s="445" t="s">
        <v>117</v>
      </c>
      <c r="L25" s="446"/>
      <c r="M25" s="446"/>
      <c r="N25" s="446"/>
      <c r="O25" s="445" t="s">
        <v>80</v>
      </c>
      <c r="P25" s="446"/>
      <c r="Q25" s="446"/>
      <c r="R25" s="446"/>
      <c r="S25" s="445" t="s">
        <v>109</v>
      </c>
      <c r="T25" s="446"/>
      <c r="U25" s="446"/>
      <c r="V25" s="447"/>
      <c r="W25" s="439">
        <f>IF(A25="","",SUMIF(SK!B$3:B$78,ROW(),SK!D$3:D$78))</f>
        <v>6</v>
      </c>
      <c r="X25" s="43"/>
      <c r="Y25" s="43"/>
      <c r="Z25" s="43"/>
      <c r="AA25" s="444">
        <f>IF(Score!T25="", "",Score!T25 )</f>
        <v>17</v>
      </c>
      <c r="AB25" s="444"/>
      <c r="AC25" s="445" t="str">
        <f>IF(Score!U25="", "",Score!U25 )</f>
        <v>101</v>
      </c>
      <c r="AD25" s="446"/>
      <c r="AE25" s="446"/>
      <c r="AF25" s="446"/>
      <c r="AG25" s="445" t="s">
        <v>115</v>
      </c>
      <c r="AH25" s="446"/>
      <c r="AI25" s="446"/>
      <c r="AJ25" s="446"/>
      <c r="AK25" s="445" t="s">
        <v>107</v>
      </c>
      <c r="AL25" s="446" t="s">
        <v>286</v>
      </c>
      <c r="AM25" s="446"/>
      <c r="AN25" s="446"/>
      <c r="AO25" s="445" t="s">
        <v>58</v>
      </c>
      <c r="AP25" s="446"/>
      <c r="AQ25" s="446"/>
      <c r="AR25" s="446"/>
      <c r="AS25" s="445" t="s">
        <v>104</v>
      </c>
      <c r="AT25" s="446"/>
      <c r="AU25" s="446"/>
      <c r="AV25" s="447"/>
      <c r="AW25" s="439">
        <f>IF(AA25="","",SUMIF(SK!R$3:R$78,ROW(),SK!T$3:T$78))</f>
        <v>4</v>
      </c>
      <c r="AX25" s="43"/>
      <c r="AY25" s="43"/>
      <c r="AZ25" s="43"/>
    </row>
    <row r="26" ht="39.0" customHeight="1">
      <c r="A26" s="448">
        <f>IF(Score!A26="", "",Score!A26 )</f>
        <v>18</v>
      </c>
      <c r="B26" s="442"/>
      <c r="C26" s="449" t="str">
        <f>IF(Score!B26="", "",Score!B26 )</f>
        <v>271</v>
      </c>
      <c r="D26" s="446"/>
      <c r="E26" s="446"/>
      <c r="F26" s="446"/>
      <c r="G26" s="449" t="s">
        <v>95</v>
      </c>
      <c r="H26" s="446"/>
      <c r="I26" s="446"/>
      <c r="J26" s="446"/>
      <c r="K26" s="449" t="s">
        <v>100</v>
      </c>
      <c r="L26" s="446"/>
      <c r="M26" s="446"/>
      <c r="N26" s="446"/>
      <c r="O26" s="449" t="s">
        <v>56</v>
      </c>
      <c r="P26" s="446"/>
      <c r="Q26" s="446"/>
      <c r="R26" s="446"/>
      <c r="S26" s="449" t="s">
        <v>119</v>
      </c>
      <c r="T26" s="446"/>
      <c r="U26" s="446"/>
      <c r="V26" s="447"/>
      <c r="W26" s="439">
        <f>IF(A26="","",SUMIF(SK!B$3:B$78,ROW(),SK!D$3:D$78))</f>
        <v>0</v>
      </c>
      <c r="X26" s="43"/>
      <c r="Y26" s="440" t="str">
        <f>IF(IGRF!B25="","",IGRF!B25)</f>
        <v>44</v>
      </c>
      <c r="Z26" s="441" t="str">
        <f>IF(IGRF!C25="","",IGRF!C25)</f>
        <v>Esparcieux</v>
      </c>
      <c r="AA26" s="442">
        <f>IF(Score!T26="", "",Score!T26 )</f>
        <v>18</v>
      </c>
      <c r="AB26" s="442"/>
      <c r="AC26" s="449" t="str">
        <f>IF(Score!U26="", "",Score!U26 )</f>
        <v>16</v>
      </c>
      <c r="AD26" s="446"/>
      <c r="AE26" s="446"/>
      <c r="AF26" s="446"/>
      <c r="AG26" s="449" t="s">
        <v>95</v>
      </c>
      <c r="AH26" s="446"/>
      <c r="AI26" s="446"/>
      <c r="AJ26" s="446"/>
      <c r="AK26" s="449" t="s">
        <v>93</v>
      </c>
      <c r="AL26" s="446"/>
      <c r="AM26" s="446"/>
      <c r="AN26" s="446"/>
      <c r="AO26" s="449" t="s">
        <v>100</v>
      </c>
      <c r="AP26" s="446"/>
      <c r="AQ26" s="446"/>
      <c r="AR26" s="446"/>
      <c r="AS26" s="449" t="s">
        <v>74</v>
      </c>
      <c r="AT26" s="446"/>
      <c r="AU26" s="446"/>
      <c r="AV26" s="447"/>
      <c r="AW26" s="439">
        <f>IF(AA26="","",SUMIF(SK!R$3:R$78,ROW(),SK!T$3:T$78))</f>
        <v>12</v>
      </c>
      <c r="AX26" s="43"/>
      <c r="AY26" s="440" t="str">
        <f>IF(IGRF!I25="","",IGRF!I25)</f>
        <v>48</v>
      </c>
      <c r="AZ26" s="441" t="str">
        <f>IF(IGRF!J25="","",IGRF!J25)</f>
        <v>Tini from the Bloc</v>
      </c>
    </row>
    <row r="27" ht="39.0" customHeight="1">
      <c r="A27" s="443">
        <f>IF(Score!A27="", "",Score!A27 )</f>
        <v>19</v>
      </c>
      <c r="B27" s="444"/>
      <c r="C27" s="445" t="str">
        <f>IF(Score!B27="", "",Score!B27 )</f>
        <v>45</v>
      </c>
      <c r="D27" s="446"/>
      <c r="E27" s="446"/>
      <c r="F27" s="446"/>
      <c r="G27" s="445" t="s">
        <v>123</v>
      </c>
      <c r="H27" s="446"/>
      <c r="I27" s="446"/>
      <c r="J27" s="446"/>
      <c r="K27" s="445" t="s">
        <v>117</v>
      </c>
      <c r="L27" s="446"/>
      <c r="M27" s="446"/>
      <c r="N27" s="446"/>
      <c r="O27" s="445" t="s">
        <v>80</v>
      </c>
      <c r="P27" s="446"/>
      <c r="Q27" s="446"/>
      <c r="R27" s="446"/>
      <c r="S27" s="445" t="s">
        <v>113</v>
      </c>
      <c r="T27" s="446"/>
      <c r="U27" s="446"/>
      <c r="V27" s="447"/>
      <c r="W27" s="439">
        <f>IF(A27="","",SUMIF(SK!B$3:B$78,ROW(),SK!D$3:D$78))</f>
        <v>0</v>
      </c>
      <c r="X27" s="43"/>
      <c r="Y27" s="43"/>
      <c r="Z27" s="43"/>
      <c r="AA27" s="444">
        <f>IF(Score!T27="", "",Score!T27 )</f>
        <v>19</v>
      </c>
      <c r="AB27" s="444"/>
      <c r="AC27" s="445" t="str">
        <f>IF(Score!U27="", "",Score!U27 )</f>
        <v>11</v>
      </c>
      <c r="AD27" s="446"/>
      <c r="AE27" s="446"/>
      <c r="AF27" s="446"/>
      <c r="AG27" s="445" t="s">
        <v>115</v>
      </c>
      <c r="AH27" s="446"/>
      <c r="AI27" s="446"/>
      <c r="AJ27" s="446"/>
      <c r="AK27" s="445" t="s">
        <v>111</v>
      </c>
      <c r="AL27" s="446" t="s">
        <v>285</v>
      </c>
      <c r="AM27" s="446"/>
      <c r="AN27" s="446"/>
      <c r="AO27" s="445" t="s">
        <v>85</v>
      </c>
      <c r="AP27" s="446"/>
      <c r="AQ27" s="446"/>
      <c r="AR27" s="446"/>
      <c r="AS27" s="445" t="s">
        <v>58</v>
      </c>
      <c r="AT27" s="446"/>
      <c r="AU27" s="446"/>
      <c r="AV27" s="447"/>
      <c r="AW27" s="439">
        <f>IF(AA27="","",SUMIF(SK!R$3:R$78,ROW(),SK!T$3:T$78))</f>
        <v>4</v>
      </c>
      <c r="AX27" s="43"/>
      <c r="AY27" s="43"/>
      <c r="AZ27" s="43"/>
    </row>
    <row r="28" ht="39.0" customHeight="1">
      <c r="A28" s="448" t="str">
        <f>IF(Score!A28="", "",Score!A28 )</f>
        <v>SP</v>
      </c>
      <c r="B28" s="442" t="s">
        <v>222</v>
      </c>
      <c r="C28" s="449" t="str">
        <f>IF(Score!B28="", "",Score!B28 )</f>
        <v>999</v>
      </c>
      <c r="D28" s="446"/>
      <c r="E28" s="446"/>
      <c r="F28" s="446"/>
      <c r="G28" s="449" t="s">
        <v>102</v>
      </c>
      <c r="H28" s="446"/>
      <c r="I28" s="446"/>
      <c r="J28" s="446"/>
      <c r="K28" s="449" t="s">
        <v>117</v>
      </c>
      <c r="L28" s="446"/>
      <c r="M28" s="446"/>
      <c r="N28" s="446"/>
      <c r="O28" s="449" t="s">
        <v>80</v>
      </c>
      <c r="P28" s="446"/>
      <c r="Q28" s="446"/>
      <c r="R28" s="446"/>
      <c r="S28" s="449" t="s">
        <v>113</v>
      </c>
      <c r="T28" s="446"/>
      <c r="U28" s="446"/>
      <c r="V28" s="447"/>
      <c r="W28" s="439">
        <f>IF(A28="","",SUMIF(SK!B$3:B$78,ROW(),SK!D$3:D$78))</f>
        <v>0</v>
      </c>
      <c r="X28" s="43"/>
      <c r="Y28" s="440" t="str">
        <f>IF(IGRF!B26="","",IGRF!B26)</f>
        <v>45</v>
      </c>
      <c r="Z28" s="441" t="str">
        <f>IF(IGRF!C26="","",IGRF!C26)</f>
        <v>Hawk</v>
      </c>
      <c r="AA28" s="442" t="str">
        <f>IF(Score!T28="", "",Score!T28 )</f>
        <v>SP*</v>
      </c>
      <c r="AB28" s="442"/>
      <c r="AC28" s="450"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f>IF(AA28="","",SUMIF(SK!R$3:R$78,ROW(),SK!T$3:T$78))</f>
        <v>0</v>
      </c>
      <c r="AX28" s="43"/>
      <c r="AY28" s="440" t="str">
        <f>IF(IGRF!I26="","",IGRF!I26)</f>
        <v>167</v>
      </c>
      <c r="AZ28" s="441" t="str">
        <f>IF(IGRF!J26="","",IGRF!J26)</f>
        <v>Rile E Coyote</v>
      </c>
    </row>
    <row r="29" ht="39.0" customHeight="1">
      <c r="A29" s="443">
        <f>IF(Score!A29="", "",Score!A29 )</f>
        <v>20</v>
      </c>
      <c r="B29" s="444"/>
      <c r="C29" s="445" t="str">
        <f>IF(Score!B29="", "",Score!B29 )</f>
        <v>93</v>
      </c>
      <c r="D29" s="446"/>
      <c r="E29" s="446"/>
      <c r="F29" s="446"/>
      <c r="G29" s="445" t="s">
        <v>119</v>
      </c>
      <c r="H29" s="446"/>
      <c r="I29" s="446"/>
      <c r="J29" s="446"/>
      <c r="K29" s="445" t="s">
        <v>64</v>
      </c>
      <c r="L29" s="446"/>
      <c r="M29" s="446"/>
      <c r="N29" s="446"/>
      <c r="O29" s="445" t="s">
        <v>56</v>
      </c>
      <c r="P29" s="446"/>
      <c r="Q29" s="446"/>
      <c r="R29" s="446"/>
      <c r="S29" s="445" t="s">
        <v>95</v>
      </c>
      <c r="T29" s="446"/>
      <c r="U29" s="446"/>
      <c r="V29" s="447"/>
      <c r="W29" s="439">
        <f>IF(A29="","",SUMIF(SK!B$3:B$78,ROW(),SK!D$3:D$78))</f>
        <v>0</v>
      </c>
      <c r="X29" s="43"/>
      <c r="Y29" s="43"/>
      <c r="Z29" s="43"/>
      <c r="AA29" s="444">
        <f>IF(Score!T29="", "",Score!T29 )</f>
        <v>20</v>
      </c>
      <c r="AB29" s="444"/>
      <c r="AC29" s="445" t="str">
        <f>IF(Score!U29="", "",Score!U29 )</f>
        <v>101</v>
      </c>
      <c r="AD29" s="446"/>
      <c r="AE29" s="446"/>
      <c r="AF29" s="446"/>
      <c r="AG29" s="445" t="s">
        <v>107</v>
      </c>
      <c r="AH29" s="446"/>
      <c r="AI29" s="446"/>
      <c r="AJ29" s="446"/>
      <c r="AK29" s="445" t="s">
        <v>111</v>
      </c>
      <c r="AL29" s="446" t="s">
        <v>286</v>
      </c>
      <c r="AM29" s="446"/>
      <c r="AN29" s="446"/>
      <c r="AO29" s="445" t="s">
        <v>78</v>
      </c>
      <c r="AP29" s="446"/>
      <c r="AQ29" s="446"/>
      <c r="AR29" s="446"/>
      <c r="AS29" s="445" t="s">
        <v>100</v>
      </c>
      <c r="AT29" s="446"/>
      <c r="AU29" s="446"/>
      <c r="AV29" s="447"/>
      <c r="AW29" s="439">
        <f>IF(AA29="","",SUMIF(SK!R$3:R$78,ROW(),SK!T$3:T$78))</f>
        <v>4</v>
      </c>
      <c r="AX29" s="43"/>
      <c r="AY29" s="43"/>
      <c r="AZ29" s="43"/>
    </row>
    <row r="30" ht="39.0" customHeight="1">
      <c r="A30" s="448">
        <f>IF(Score!A30="", "",Score!A30 )</f>
        <v>21</v>
      </c>
      <c r="B30" s="442"/>
      <c r="C30" s="449" t="str">
        <f>IF(Score!B30="", "",Score!B30 )</f>
        <v>16</v>
      </c>
      <c r="D30" s="446"/>
      <c r="E30" s="446"/>
      <c r="F30" s="446"/>
      <c r="G30" s="449" t="s">
        <v>80</v>
      </c>
      <c r="H30" s="446" t="s">
        <v>288</v>
      </c>
      <c r="I30" s="446"/>
      <c r="J30" s="446"/>
      <c r="K30" s="449" t="s">
        <v>117</v>
      </c>
      <c r="L30" s="446"/>
      <c r="M30" s="446"/>
      <c r="N30" s="446"/>
      <c r="O30" s="449" t="s">
        <v>109</v>
      </c>
      <c r="P30" s="446"/>
      <c r="Q30" s="446"/>
      <c r="R30" s="446"/>
      <c r="S30" s="449" t="s">
        <v>113</v>
      </c>
      <c r="T30" s="446"/>
      <c r="U30" s="446"/>
      <c r="V30" s="447"/>
      <c r="W30" s="439">
        <f>IF(A30="","",SUMIF(SK!B$3:B$78,ROW(),SK!D$3:D$78))</f>
        <v>4</v>
      </c>
      <c r="X30" s="43"/>
      <c r="Y30" s="440" t="str">
        <f>IF(IGRF!B27="","",IGRF!B27)</f>
        <v>48</v>
      </c>
      <c r="Z30" s="441" t="str">
        <f>IF(IGRF!C27="","",IGRF!C27)</f>
        <v>Ward</v>
      </c>
      <c r="AA30" s="442">
        <f>IF(Score!T30="", "",Score!T30 )</f>
        <v>21</v>
      </c>
      <c r="AB30" s="442"/>
      <c r="AC30" s="449" t="str">
        <f>IF(Score!U30="", "",Score!U30 )</f>
        <v>16</v>
      </c>
      <c r="AD30" s="446"/>
      <c r="AE30" s="446"/>
      <c r="AF30" s="446"/>
      <c r="AG30" s="449" t="s">
        <v>115</v>
      </c>
      <c r="AH30" s="446"/>
      <c r="AI30" s="446"/>
      <c r="AJ30" s="446"/>
      <c r="AK30" s="449" t="s">
        <v>104</v>
      </c>
      <c r="AL30" s="446"/>
      <c r="AM30" s="446"/>
      <c r="AN30" s="446"/>
      <c r="AO30" s="449" t="s">
        <v>58</v>
      </c>
      <c r="AP30" s="446"/>
      <c r="AQ30" s="446"/>
      <c r="AR30" s="446"/>
      <c r="AS30" s="449" t="s">
        <v>111</v>
      </c>
      <c r="AT30" s="446" t="s">
        <v>288</v>
      </c>
      <c r="AU30" s="446"/>
      <c r="AV30" s="447"/>
      <c r="AW30" s="439">
        <f>IF(AA30="","",SUMIF(SK!R$3:R$78,ROW(),SK!T$3:T$78))</f>
        <v>26</v>
      </c>
      <c r="AX30" s="43"/>
      <c r="AY30" s="440" t="str">
        <f>IF(IGRF!I27="","",IGRF!I27)</f>
        <v>602</v>
      </c>
      <c r="AZ30" s="441" t="str">
        <f>IF(IGRF!J27="","",IGRF!J27)</f>
        <v>Fearidum</v>
      </c>
    </row>
    <row r="31" ht="39.0" customHeight="1">
      <c r="A31" s="443" t="str">
        <f>IF(Score!A31="", "",Score!A31 )</f>
        <v>SP</v>
      </c>
      <c r="B31" s="444" t="s">
        <v>222</v>
      </c>
      <c r="C31" s="445" t="str">
        <f>IF(Score!B31="", "",Score!B31 )</f>
        <v>220</v>
      </c>
      <c r="D31" s="446"/>
      <c r="E31" s="446"/>
      <c r="F31" s="446"/>
      <c r="G31" s="445" t="s">
        <v>60</v>
      </c>
      <c r="H31" s="446"/>
      <c r="I31" s="446"/>
      <c r="J31" s="446"/>
      <c r="K31" s="445" t="s">
        <v>117</v>
      </c>
      <c r="L31" s="446"/>
      <c r="M31" s="446"/>
      <c r="N31" s="446"/>
      <c r="O31" s="445" t="s">
        <v>109</v>
      </c>
      <c r="P31" s="446"/>
      <c r="Q31" s="446"/>
      <c r="R31" s="446"/>
      <c r="S31" s="445" t="s">
        <v>113</v>
      </c>
      <c r="T31" s="446"/>
      <c r="U31" s="446"/>
      <c r="V31" s="447"/>
      <c r="W31" s="439">
        <f>IF(A31="","",SUMIF(SK!B$3:B$78,ROW(),SK!D$3:D$78))</f>
        <v>4</v>
      </c>
      <c r="X31" s="43"/>
      <c r="Y31" s="43"/>
      <c r="Z31" s="43"/>
      <c r="AA31" s="444" t="str">
        <f>IF(Score!T31="", "",Score!T31 )</f>
        <v>SP*</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f>IF(AA31="","",SUMIF(SK!R$3:R$78,ROW(),SK!T$3:T$78))</f>
        <v>0</v>
      </c>
      <c r="AX31" s="43"/>
      <c r="AY31" s="43"/>
      <c r="AZ31" s="43"/>
    </row>
    <row r="32" ht="39.0"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565</v>
      </c>
      <c r="Z32" s="441" t="str">
        <f>IF(IGRF!C28="","",IGRF!C28)</f>
        <v>Melyn</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777</v>
      </c>
      <c r="AZ32" s="441" t="str">
        <f>IF(IGRF!J28="","",IGRF!J28)</f>
        <v>Des</v>
      </c>
    </row>
    <row r="33" ht="39.0"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50</v>
      </c>
      <c r="Z34" s="441" t="str">
        <f>IF(IGRF!C29="","",IGRF!C29)</f>
        <v>Gray</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88</v>
      </c>
      <c r="AZ34" s="441" t="str">
        <f>IF(IGRF!J29="","",IGRF!J29)</f>
        <v>diamond WEAPON</v>
      </c>
    </row>
    <row r="35" ht="39.0"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9.0"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808</v>
      </c>
      <c r="Z36" s="441" t="str">
        <f>IF(IGRF!C30="","",IGRF!C30)</f>
        <v>Morganator</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54" t="str">
        <f>IF(IGRF!I30="","",IGRF!I30)</f>
        <v/>
      </c>
      <c r="AZ36" s="441" t="str">
        <f>IF(IGRF!J30="","",IGRF!J30)</f>
        <v/>
      </c>
    </row>
    <row r="37" ht="39.0"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2"/>
      <c r="AZ37" s="43"/>
    </row>
    <row r="38" ht="39.0"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912</v>
      </c>
      <c r="Z38" s="441" t="str">
        <f>IF(IGRF!C31="","",IGRF!C31)</f>
        <v>Battered Sausage</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4" t="str">
        <f>IF(IGRF!I31="","",IGRF!I31)</f>
        <v/>
      </c>
      <c r="AZ38" s="441" t="str">
        <f>IF(IGRF!J31="","",IGRF!J31)</f>
        <v/>
      </c>
    </row>
    <row r="39" ht="39.0"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2"/>
      <c r="AZ39" s="43"/>
    </row>
    <row r="40" ht="39.0"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40" t="str">
        <f>IF(IGRF!B32="","",IGRF!B32)</f>
        <v>93</v>
      </c>
      <c r="Z40" s="441" t="str">
        <f>IF(IGRF!C32="","",IGRF!C32)</f>
        <v>Sangria</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4" t="str">
        <f>IF(IGRF!I32="","",IGRF!I32)</f>
        <v/>
      </c>
      <c r="AZ40" s="441" t="str">
        <f>IF(IGRF!J32="","",IGRF!J32)</f>
        <v/>
      </c>
    </row>
    <row r="41" ht="39.0"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40" t="str">
        <f>IF(IGRF!B33="","",IGRF!B33)</f>
        <v>999</v>
      </c>
      <c r="Z41" s="457" t="str">
        <f>IF(IGRF!C33="","",IGRF!C33)</f>
        <v>Angel</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4" t="str">
        <f>IF(IGRF!I33="","",IGRF!I33)</f>
        <v/>
      </c>
      <c r="AZ41" s="457" t="str">
        <f>IF(IGRF!J33="","",IGRF!J33)</f>
        <v/>
      </c>
    </row>
    <row r="42" ht="15.0" customHeight="1">
      <c r="A42" s="459" t="s">
        <v>290</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291</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Tiger Bay Brawlers / Challengers</v>
      </c>
      <c r="B43" s="204"/>
      <c r="C43" s="204"/>
      <c r="D43" s="204"/>
      <c r="E43" s="204"/>
      <c r="F43" s="204"/>
      <c r="G43" s="205"/>
      <c r="H43" s="206" t="str">
        <f>H1</f>
        <v>Orange</v>
      </c>
      <c r="I43" s="151"/>
      <c r="J43" s="151"/>
      <c r="K43" s="151"/>
      <c r="L43" s="421">
        <f>L1</f>
        <v>45220</v>
      </c>
      <c r="M43" s="168"/>
      <c r="N43" s="168"/>
      <c r="O43" s="210"/>
      <c r="P43" s="422"/>
      <c r="Q43" s="151"/>
      <c r="R43" s="151"/>
      <c r="S43" s="151"/>
      <c r="T43" s="151"/>
      <c r="U43" s="151"/>
      <c r="V43" s="151"/>
      <c r="W43" s="151"/>
      <c r="X43" s="151"/>
      <c r="Y43" s="151"/>
      <c r="Z43" s="423">
        <v>2.0</v>
      </c>
      <c r="AA43" s="420" t="str">
        <f>AA1</f>
        <v>Dublin Roller Derby / The Be Grands</v>
      </c>
      <c r="AB43" s="204"/>
      <c r="AC43" s="204"/>
      <c r="AD43" s="204"/>
      <c r="AE43" s="204"/>
      <c r="AF43" s="204"/>
      <c r="AG43" s="205"/>
      <c r="AH43" s="206" t="str">
        <f>AH1</f>
        <v>Blue</v>
      </c>
      <c r="AI43" s="151"/>
      <c r="AJ43" s="151"/>
      <c r="AK43" s="151"/>
      <c r="AL43" s="421">
        <f>AL1</f>
        <v>45220</v>
      </c>
      <c r="AM43" s="168"/>
      <c r="AN43" s="168"/>
      <c r="AO43" s="210"/>
      <c r="AP43" s="422"/>
      <c r="AQ43" s="151"/>
      <c r="AR43" s="151"/>
      <c r="AS43" s="151"/>
      <c r="AT43" s="151"/>
      <c r="AU43" s="151"/>
      <c r="AV43" s="151"/>
      <c r="AW43" s="151"/>
      <c r="AX43" s="151"/>
      <c r="AY43" s="151"/>
      <c r="AZ43" s="423">
        <v>2.0</v>
      </c>
    </row>
    <row r="44" ht="15.0" customHeight="1">
      <c r="A44" s="213"/>
      <c r="B44" s="20"/>
      <c r="C44" s="20"/>
      <c r="D44" s="20"/>
      <c r="E44" s="20"/>
      <c r="F44" s="20"/>
      <c r="G44" s="156"/>
      <c r="H44" s="424" t="s">
        <v>200</v>
      </c>
      <c r="I44" s="71"/>
      <c r="J44" s="71"/>
      <c r="K44" s="71"/>
      <c r="L44" s="425" t="s">
        <v>201</v>
      </c>
      <c r="M44" s="71"/>
      <c r="N44" s="71"/>
      <c r="O44" s="72"/>
      <c r="P44" s="426" t="s">
        <v>178</v>
      </c>
      <c r="Q44" s="20"/>
      <c r="R44" s="20"/>
      <c r="S44" s="20"/>
      <c r="T44" s="20"/>
      <c r="U44" s="20"/>
      <c r="V44" s="20"/>
      <c r="W44" s="20"/>
      <c r="X44" s="20"/>
      <c r="Y44" s="20"/>
      <c r="Z44" s="427" t="str">
        <f>Z2</f>
        <v>GAME 1</v>
      </c>
      <c r="AA44" s="213"/>
      <c r="AB44" s="20"/>
      <c r="AC44" s="20"/>
      <c r="AD44" s="20"/>
      <c r="AE44" s="20"/>
      <c r="AF44" s="20"/>
      <c r="AG44" s="156"/>
      <c r="AH44" s="424" t="s">
        <v>200</v>
      </c>
      <c r="AI44" s="71"/>
      <c r="AJ44" s="71"/>
      <c r="AK44" s="71"/>
      <c r="AL44" s="425" t="s">
        <v>201</v>
      </c>
      <c r="AM44" s="71"/>
      <c r="AN44" s="71"/>
      <c r="AO44" s="72"/>
      <c r="AP44" s="426" t="s">
        <v>178</v>
      </c>
      <c r="AQ44" s="20"/>
      <c r="AR44" s="20"/>
      <c r="AS44" s="20"/>
      <c r="AT44" s="20"/>
      <c r="AU44" s="20"/>
      <c r="AV44" s="20"/>
      <c r="AW44" s="20"/>
      <c r="AX44" s="20"/>
      <c r="AY44" s="20"/>
      <c r="AZ44" s="427" t="str">
        <f>AZ2</f>
        <v>GAME 1</v>
      </c>
    </row>
    <row r="45" ht="13.5" customHeight="1">
      <c r="A45" s="428" t="s">
        <v>278</v>
      </c>
      <c r="B45" s="429" t="s">
        <v>279</v>
      </c>
      <c r="C45" s="430" t="s">
        <v>280</v>
      </c>
      <c r="D45" s="431" t="s">
        <v>281</v>
      </c>
      <c r="E45" s="45"/>
      <c r="F45" s="432"/>
      <c r="G45" s="430" t="s">
        <v>282</v>
      </c>
      <c r="H45" s="431" t="s">
        <v>281</v>
      </c>
      <c r="I45" s="45"/>
      <c r="J45" s="432"/>
      <c r="K45" s="430" t="s">
        <v>283</v>
      </c>
      <c r="L45" s="431" t="s">
        <v>281</v>
      </c>
      <c r="M45" s="45"/>
      <c r="N45" s="432"/>
      <c r="O45" s="430" t="s">
        <v>283</v>
      </c>
      <c r="P45" s="431" t="s">
        <v>281</v>
      </c>
      <c r="Q45" s="45"/>
      <c r="R45" s="432"/>
      <c r="S45" s="430" t="s">
        <v>283</v>
      </c>
      <c r="T45" s="431" t="s">
        <v>281</v>
      </c>
      <c r="U45" s="45"/>
      <c r="V45" s="432"/>
      <c r="W45" s="433"/>
      <c r="X45" s="460" t="s">
        <v>284</v>
      </c>
      <c r="Y45" s="14"/>
      <c r="Z45" s="15"/>
      <c r="AA45" s="428" t="s">
        <v>278</v>
      </c>
      <c r="AB45" s="429" t="s">
        <v>279</v>
      </c>
      <c r="AC45" s="430" t="s">
        <v>280</v>
      </c>
      <c r="AD45" s="431" t="s">
        <v>281</v>
      </c>
      <c r="AE45" s="45"/>
      <c r="AF45" s="432"/>
      <c r="AG45" s="430" t="s">
        <v>282</v>
      </c>
      <c r="AH45" s="431" t="s">
        <v>281</v>
      </c>
      <c r="AI45" s="45"/>
      <c r="AJ45" s="432"/>
      <c r="AK45" s="430" t="s">
        <v>283</v>
      </c>
      <c r="AL45" s="431" t="s">
        <v>281</v>
      </c>
      <c r="AM45" s="45"/>
      <c r="AN45" s="432"/>
      <c r="AO45" s="430" t="s">
        <v>283</v>
      </c>
      <c r="AP45" s="431" t="s">
        <v>281</v>
      </c>
      <c r="AQ45" s="45"/>
      <c r="AR45" s="432"/>
      <c r="AS45" s="430" t="s">
        <v>283</v>
      </c>
      <c r="AT45" s="431" t="s">
        <v>281</v>
      </c>
      <c r="AU45" s="45"/>
      <c r="AV45" s="432"/>
      <c r="AW45" s="433"/>
      <c r="AX45" s="431" t="s">
        <v>284</v>
      </c>
      <c r="AY45" s="45"/>
      <c r="AZ45" s="46"/>
    </row>
    <row r="46" ht="39.0" customHeight="1">
      <c r="A46" s="448">
        <f>IF(Score!A46="", "",Score!A46 )</f>
        <v>1</v>
      </c>
      <c r="B46" s="442"/>
      <c r="C46" s="449" t="str">
        <f>IF(Score!B46="", "",Score!B46 )</f>
        <v>271</v>
      </c>
      <c r="D46" s="446"/>
      <c r="E46" s="446"/>
      <c r="F46" s="446"/>
      <c r="G46" s="449" t="s">
        <v>95</v>
      </c>
      <c r="H46" s="446"/>
      <c r="I46" s="446"/>
      <c r="J46" s="446"/>
      <c r="K46" s="449" t="s">
        <v>64</v>
      </c>
      <c r="L46" s="446"/>
      <c r="M46" s="446"/>
      <c r="N46" s="446"/>
      <c r="O46" s="449" t="s">
        <v>119</v>
      </c>
      <c r="P46" s="446"/>
      <c r="Q46" s="446"/>
      <c r="R46" s="446"/>
      <c r="S46" s="449" t="s">
        <v>100</v>
      </c>
      <c r="T46" s="446"/>
      <c r="U46" s="446"/>
      <c r="V46" s="447"/>
      <c r="W46" s="439">
        <f>IF(A46="","",SUMIF(SK!B$88:B$163,ROW(),SK!D$88:D$163))</f>
        <v>0</v>
      </c>
      <c r="X46" s="43"/>
      <c r="Y46" s="440" t="str">
        <f t="shared" ref="Y46:Z46" si="1">Y4</f>
        <v>04</v>
      </c>
      <c r="Z46" s="441" t="str">
        <f t="shared" si="1"/>
        <v>Nina</v>
      </c>
      <c r="AA46" s="461">
        <f>IF(Score!T46="", "",Score!T46 )</f>
        <v>1</v>
      </c>
      <c r="AB46" s="442"/>
      <c r="AC46" s="449" t="str">
        <f>IF(Score!U46="", "",Score!U46 )</f>
        <v>101</v>
      </c>
      <c r="AD46" s="446"/>
      <c r="AE46" s="446"/>
      <c r="AF46" s="446"/>
      <c r="AG46" s="449" t="s">
        <v>115</v>
      </c>
      <c r="AH46" s="446"/>
      <c r="AI46" s="446"/>
      <c r="AJ46" s="446"/>
      <c r="AK46" s="449" t="s">
        <v>85</v>
      </c>
      <c r="AL46" s="446"/>
      <c r="AM46" s="446"/>
      <c r="AN46" s="446"/>
      <c r="AO46" s="449" t="s">
        <v>104</v>
      </c>
      <c r="AP46" s="446"/>
      <c r="AQ46" s="446"/>
      <c r="AR46" s="446"/>
      <c r="AS46" s="449" t="s">
        <v>58</v>
      </c>
      <c r="AT46" s="446"/>
      <c r="AU46" s="446"/>
      <c r="AV46" s="447"/>
      <c r="AW46" s="439">
        <f>IF(AA46="","",SUMIF(SK!R$88:R$163,ROW(),SK!T$88:T$163))</f>
        <v>0</v>
      </c>
      <c r="AX46" s="43"/>
      <c r="AY46" s="440" t="str">
        <f t="shared" ref="AY46:AZ46" si="2">AY4</f>
        <v>040</v>
      </c>
      <c r="AZ46" s="462" t="str">
        <f t="shared" si="2"/>
        <v>Ruff Rackelhahn</v>
      </c>
    </row>
    <row r="47" ht="39.0" customHeight="1">
      <c r="A47" s="443">
        <f>IF(Score!A47="", "",Score!A47 )</f>
        <v>2</v>
      </c>
      <c r="B47" s="444"/>
      <c r="C47" s="445" t="str">
        <f>IF(Score!B47="", "",Score!B47 )</f>
        <v>45</v>
      </c>
      <c r="D47" s="446"/>
      <c r="E47" s="446"/>
      <c r="F47" s="446"/>
      <c r="G47" s="445" t="s">
        <v>123</v>
      </c>
      <c r="H47" s="446"/>
      <c r="I47" s="446"/>
      <c r="J47" s="446"/>
      <c r="K47" s="445" t="s">
        <v>117</v>
      </c>
      <c r="L47" s="446" t="s">
        <v>285</v>
      </c>
      <c r="M47" s="446"/>
      <c r="N47" s="446"/>
      <c r="O47" s="445" t="s">
        <v>113</v>
      </c>
      <c r="P47" s="446"/>
      <c r="Q47" s="446"/>
      <c r="R47" s="446"/>
      <c r="S47" s="445" t="s">
        <v>80</v>
      </c>
      <c r="T47" s="446"/>
      <c r="U47" s="446"/>
      <c r="V47" s="447"/>
      <c r="W47" s="439">
        <f>IF(A47="","",SUMIF(SK!B$88:B$163,ROW(),SK!D$88:D$163))</f>
        <v>4</v>
      </c>
      <c r="X47" s="43"/>
      <c r="Y47" s="43"/>
      <c r="Z47" s="441"/>
      <c r="AA47" s="463">
        <f>IF(Score!T47="", "",Score!T47 )</f>
        <v>2</v>
      </c>
      <c r="AB47" s="444"/>
      <c r="AC47" s="445" t="str">
        <f>IF(Score!U47="", "",Score!U47 )</f>
        <v>16</v>
      </c>
      <c r="AD47" s="446"/>
      <c r="AE47" s="446"/>
      <c r="AF47" s="446"/>
      <c r="AG47" s="445" t="s">
        <v>74</v>
      </c>
      <c r="AH47" s="446" t="s">
        <v>285</v>
      </c>
      <c r="AI47" s="446"/>
      <c r="AJ47" s="446"/>
      <c r="AK47" s="445" t="s">
        <v>95</v>
      </c>
      <c r="AL47" s="446"/>
      <c r="AM47" s="446"/>
      <c r="AN47" s="446"/>
      <c r="AO47" s="445" t="s">
        <v>93</v>
      </c>
      <c r="AP47" s="446"/>
      <c r="AQ47" s="446"/>
      <c r="AR47" s="446"/>
      <c r="AS47" s="445" t="s">
        <v>78</v>
      </c>
      <c r="AT47" s="446"/>
      <c r="AU47" s="446"/>
      <c r="AV47" s="447"/>
      <c r="AW47" s="439">
        <f>IF(AA47="","",SUMIF(SK!R$88:R$163,ROW(),SK!T$88:T$163))</f>
        <v>4</v>
      </c>
      <c r="AX47" s="43"/>
      <c r="AY47" s="43"/>
      <c r="AZ47" s="441"/>
    </row>
    <row r="48" ht="39.0" customHeight="1">
      <c r="A48" s="448">
        <f>IF(Score!A48="", "",Score!A48 )</f>
        <v>3</v>
      </c>
      <c r="B48" s="442"/>
      <c r="C48" s="449" t="str">
        <f>IF(Score!B48="", "",Score!B48 )</f>
        <v>93</v>
      </c>
      <c r="D48" s="446"/>
      <c r="E48" s="446"/>
      <c r="F48" s="446"/>
      <c r="G48" s="449" t="s">
        <v>119</v>
      </c>
      <c r="H48" s="446"/>
      <c r="I48" s="446"/>
      <c r="J48" s="446"/>
      <c r="K48" s="449" t="s">
        <v>117</v>
      </c>
      <c r="L48" s="446" t="s">
        <v>286</v>
      </c>
      <c r="M48" s="446"/>
      <c r="N48" s="446"/>
      <c r="O48" s="449" t="s">
        <v>95</v>
      </c>
      <c r="P48" s="446"/>
      <c r="Q48" s="446"/>
      <c r="R48" s="446"/>
      <c r="S48" s="449" t="s">
        <v>64</v>
      </c>
      <c r="T48" s="446" t="s">
        <v>288</v>
      </c>
      <c r="U48" s="446"/>
      <c r="V48" s="447"/>
      <c r="W48" s="439">
        <f>IF(A48="","",SUMIF(SK!B$88:B$163,ROW(),SK!D$88:D$163))</f>
        <v>2</v>
      </c>
      <c r="X48" s="43"/>
      <c r="Y48" s="440" t="str">
        <f t="shared" ref="Y48:Z48" si="3">Y6</f>
        <v>16</v>
      </c>
      <c r="Z48" s="441" t="str">
        <f t="shared" si="3"/>
        <v>Saabor</v>
      </c>
      <c r="AA48" s="461">
        <f>IF(Score!T48="", "",Score!T48 )</f>
        <v>3</v>
      </c>
      <c r="AB48" s="442"/>
      <c r="AC48" s="449" t="str">
        <f>IF(Score!U48="", "",Score!U48 )</f>
        <v>11</v>
      </c>
      <c r="AD48" s="446"/>
      <c r="AE48" s="446"/>
      <c r="AF48" s="446"/>
      <c r="AG48" s="449" t="s">
        <v>74</v>
      </c>
      <c r="AH48" s="446" t="s">
        <v>286</v>
      </c>
      <c r="AI48" s="446"/>
      <c r="AJ48" s="446"/>
      <c r="AK48" s="449" t="s">
        <v>115</v>
      </c>
      <c r="AL48" s="446"/>
      <c r="AM48" s="446"/>
      <c r="AN48" s="446"/>
      <c r="AO48" s="449" t="s">
        <v>111</v>
      </c>
      <c r="AP48" s="446"/>
      <c r="AQ48" s="446"/>
      <c r="AR48" s="446"/>
      <c r="AS48" s="449" t="s">
        <v>104</v>
      </c>
      <c r="AT48" s="446"/>
      <c r="AU48" s="446"/>
      <c r="AV48" s="447"/>
      <c r="AW48" s="439">
        <f>IF(AA48="","",SUMIF(SK!R$88:R$163,ROW(),SK!T$88:T$163))</f>
        <v>12</v>
      </c>
      <c r="AX48" s="43"/>
      <c r="AY48" s="440" t="str">
        <f t="shared" ref="AY48:AZ48" si="4">AY6</f>
        <v>101</v>
      </c>
      <c r="AZ48" s="441" t="str">
        <f t="shared" si="4"/>
        <v>Powell</v>
      </c>
    </row>
    <row r="49" ht="39.0" customHeight="1">
      <c r="A49" s="443">
        <f>IF(Score!A49="", "",Score!A49 )</f>
        <v>4</v>
      </c>
      <c r="B49" s="444"/>
      <c r="C49" s="445" t="str">
        <f>IF(Score!B49="", "",Score!B49 )</f>
        <v>16</v>
      </c>
      <c r="D49" s="446"/>
      <c r="E49" s="446"/>
      <c r="F49" s="446"/>
      <c r="G49" s="445" t="s">
        <v>123</v>
      </c>
      <c r="H49" s="446"/>
      <c r="I49" s="446"/>
      <c r="J49" s="446"/>
      <c r="K49" s="445" t="s">
        <v>113</v>
      </c>
      <c r="L49" s="446"/>
      <c r="M49" s="446"/>
      <c r="N49" s="446"/>
      <c r="O49" s="445" t="s">
        <v>109</v>
      </c>
      <c r="P49" s="446"/>
      <c r="Q49" s="446"/>
      <c r="R49" s="446"/>
      <c r="S49" s="445" t="s">
        <v>80</v>
      </c>
      <c r="T49" s="446"/>
      <c r="U49" s="446"/>
      <c r="V49" s="447"/>
      <c r="W49" s="439">
        <f>IF(A49="","",SUMIF(SK!B$88:B$163,ROW(),SK!D$88:D$163))</f>
        <v>0</v>
      </c>
      <c r="X49" s="43"/>
      <c r="Y49" s="43"/>
      <c r="Z49" s="441"/>
      <c r="AA49" s="463">
        <f>IF(Score!T49="", "",Score!T49 )</f>
        <v>4</v>
      </c>
      <c r="AB49" s="444"/>
      <c r="AC49" s="445" t="str">
        <f>IF(Score!U49="", "",Score!U49 )</f>
        <v>101</v>
      </c>
      <c r="AD49" s="446"/>
      <c r="AE49" s="446"/>
      <c r="AF49" s="446"/>
      <c r="AG49" s="445" t="s">
        <v>95</v>
      </c>
      <c r="AH49" s="446"/>
      <c r="AI49" s="446"/>
      <c r="AJ49" s="446"/>
      <c r="AK49" s="445" t="s">
        <v>78</v>
      </c>
      <c r="AL49" s="446"/>
      <c r="AM49" s="446"/>
      <c r="AN49" s="446"/>
      <c r="AO49" s="445" t="s">
        <v>100</v>
      </c>
      <c r="AP49" s="446"/>
      <c r="AQ49" s="446"/>
      <c r="AR49" s="446"/>
      <c r="AS49" s="445" t="s">
        <v>107</v>
      </c>
      <c r="AT49" s="446"/>
      <c r="AU49" s="446"/>
      <c r="AV49" s="447"/>
      <c r="AW49" s="439">
        <f>IF(AA49="","",SUMIF(SK!R$88:R$163,ROW(),SK!T$88:T$163))</f>
        <v>4</v>
      </c>
      <c r="AX49" s="43"/>
      <c r="AY49" s="43"/>
      <c r="AZ49" s="441"/>
    </row>
    <row r="50" ht="39.0" customHeight="1">
      <c r="A50" s="448">
        <f>IF(Score!A50="", "",Score!A50 )</f>
        <v>5</v>
      </c>
      <c r="B50" s="442"/>
      <c r="C50" s="449" t="str">
        <f>IF(Score!B50="", "",Score!B50 )</f>
        <v>271</v>
      </c>
      <c r="D50" s="446"/>
      <c r="E50" s="446"/>
      <c r="F50" s="446"/>
      <c r="G50" s="449" t="s">
        <v>95</v>
      </c>
      <c r="H50" s="446" t="s">
        <v>285</v>
      </c>
      <c r="I50" s="446"/>
      <c r="J50" s="446"/>
      <c r="K50" s="449" t="s">
        <v>119</v>
      </c>
      <c r="L50" s="446"/>
      <c r="M50" s="446"/>
      <c r="N50" s="446"/>
      <c r="O50" s="449" t="s">
        <v>56</v>
      </c>
      <c r="P50" s="446"/>
      <c r="Q50" s="446"/>
      <c r="R50" s="446"/>
      <c r="S50" s="449" t="s">
        <v>100</v>
      </c>
      <c r="T50" s="446" t="s">
        <v>285</v>
      </c>
      <c r="U50" s="446"/>
      <c r="V50" s="447"/>
      <c r="W50" s="439">
        <f>IF(A50="","",SUMIF(SK!B$88:B$163,ROW(),SK!D$88:D$163))</f>
        <v>0</v>
      </c>
      <c r="X50" s="43"/>
      <c r="Y50" s="440" t="str">
        <f t="shared" ref="Y50:Z50" si="5">Y8</f>
        <v>177</v>
      </c>
      <c r="Z50" s="441" t="str">
        <f t="shared" si="5"/>
        <v>Phoenix</v>
      </c>
      <c r="AA50" s="461">
        <f>IF(Score!T50="", "",Score!T50 )</f>
        <v>5</v>
      </c>
      <c r="AB50" s="442"/>
      <c r="AC50" s="449" t="str">
        <f>IF(Score!U50="", "",Score!U50 )</f>
        <v>16</v>
      </c>
      <c r="AD50" s="446"/>
      <c r="AE50" s="446"/>
      <c r="AF50" s="446"/>
      <c r="AG50" s="449" t="s">
        <v>115</v>
      </c>
      <c r="AH50" s="446"/>
      <c r="AI50" s="446"/>
      <c r="AJ50" s="446"/>
      <c r="AK50" s="449" t="s">
        <v>58</v>
      </c>
      <c r="AL50" s="446"/>
      <c r="AM50" s="446"/>
      <c r="AN50" s="446"/>
      <c r="AO50" s="449" t="s">
        <v>85</v>
      </c>
      <c r="AP50" s="446"/>
      <c r="AQ50" s="446"/>
      <c r="AR50" s="446"/>
      <c r="AS50" s="449" t="s">
        <v>111</v>
      </c>
      <c r="AT50" s="446"/>
      <c r="AU50" s="446"/>
      <c r="AV50" s="447"/>
      <c r="AW50" s="439">
        <f>IF(AA50="","",SUMIF(SK!R$88:R$163,ROW(),SK!T$88:T$163))</f>
        <v>4</v>
      </c>
      <c r="AX50" s="43"/>
      <c r="AY50" s="440" t="str">
        <f t="shared" ref="AY50:AZ50" si="6">AY8</f>
        <v>11</v>
      </c>
      <c r="AZ50" s="441" t="str">
        <f t="shared" si="6"/>
        <v>Bambi Deerdevil</v>
      </c>
    </row>
    <row r="51" ht="39.0" customHeight="1">
      <c r="A51" s="443">
        <f>IF(Score!A51="", "",Score!A51 )</f>
        <v>6</v>
      </c>
      <c r="B51" s="444"/>
      <c r="C51" s="445" t="str">
        <f>IF(Score!B51="", "",Score!B51 )</f>
        <v>45</v>
      </c>
      <c r="D51" s="446"/>
      <c r="E51" s="446"/>
      <c r="F51" s="446"/>
      <c r="G51" s="445" t="s">
        <v>95</v>
      </c>
      <c r="H51" s="446" t="s">
        <v>286</v>
      </c>
      <c r="I51" s="446"/>
      <c r="J51" s="446"/>
      <c r="K51" s="445" t="s">
        <v>117</v>
      </c>
      <c r="L51" s="446"/>
      <c r="M51" s="446"/>
      <c r="N51" s="446"/>
      <c r="O51" s="445" t="s">
        <v>113</v>
      </c>
      <c r="P51" s="446"/>
      <c r="Q51" s="446"/>
      <c r="R51" s="446"/>
      <c r="S51" s="445" t="s">
        <v>100</v>
      </c>
      <c r="T51" s="446" t="s">
        <v>286</v>
      </c>
      <c r="U51" s="446" t="s">
        <v>285</v>
      </c>
      <c r="V51" s="447"/>
      <c r="W51" s="439">
        <f>IF(A51="","",SUMIF(SK!B$88:B$163,ROW(),SK!D$88:D$163))</f>
        <v>4</v>
      </c>
      <c r="X51" s="43"/>
      <c r="Y51" s="43"/>
      <c r="Z51" s="441"/>
      <c r="AA51" s="463">
        <f>IF(Score!T51="", "",Score!T51 )</f>
        <v>6</v>
      </c>
      <c r="AB51" s="444"/>
      <c r="AC51" s="445" t="str">
        <f>IF(Score!U51="", "",Score!U51 )</f>
        <v>11</v>
      </c>
      <c r="AD51" s="446" t="s">
        <v>288</v>
      </c>
      <c r="AE51" s="446"/>
      <c r="AF51" s="446"/>
      <c r="AG51" s="445" t="s">
        <v>74</v>
      </c>
      <c r="AH51" s="446"/>
      <c r="AI51" s="446"/>
      <c r="AJ51" s="446"/>
      <c r="AK51" s="445" t="s">
        <v>100</v>
      </c>
      <c r="AL51" s="446"/>
      <c r="AM51" s="446"/>
      <c r="AN51" s="446"/>
      <c r="AO51" s="445" t="s">
        <v>93</v>
      </c>
      <c r="AP51" s="446"/>
      <c r="AQ51" s="446"/>
      <c r="AR51" s="446"/>
      <c r="AS51" s="445" t="s">
        <v>107</v>
      </c>
      <c r="AT51" s="446"/>
      <c r="AU51" s="446"/>
      <c r="AV51" s="447"/>
      <c r="AW51" s="439">
        <f>IF(AA51="","",SUMIF(SK!R$88:R$163,ROW(),SK!T$88:T$163))</f>
        <v>8</v>
      </c>
      <c r="AX51" s="43"/>
      <c r="AY51" s="43"/>
      <c r="AZ51" s="441"/>
    </row>
    <row r="52" ht="39.0" customHeight="1">
      <c r="A52" s="448">
        <f>IF(Score!A52="", "",Score!A52 )</f>
        <v>7</v>
      </c>
      <c r="B52" s="442"/>
      <c r="C52" s="449" t="str">
        <f>IF(Score!B52="", "",Score!B52 )</f>
        <v>93</v>
      </c>
      <c r="D52" s="446"/>
      <c r="E52" s="446"/>
      <c r="F52" s="446"/>
      <c r="G52" s="449" t="s">
        <v>119</v>
      </c>
      <c r="H52" s="446"/>
      <c r="I52" s="446"/>
      <c r="J52" s="446"/>
      <c r="K52" s="449" t="s">
        <v>95</v>
      </c>
      <c r="L52" s="446"/>
      <c r="M52" s="446"/>
      <c r="N52" s="446"/>
      <c r="O52" s="449" t="s">
        <v>64</v>
      </c>
      <c r="P52" s="446"/>
      <c r="Q52" s="446"/>
      <c r="R52" s="446"/>
      <c r="S52" s="449" t="s">
        <v>100</v>
      </c>
      <c r="T52" s="446" t="s">
        <v>287</v>
      </c>
      <c r="U52" s="446"/>
      <c r="V52" s="447"/>
      <c r="W52" s="439">
        <f>IF(A52="","",SUMIF(SK!B$88:B$163,ROW(),SK!D$88:D$163))</f>
        <v>0</v>
      </c>
      <c r="X52" s="43"/>
      <c r="Y52" s="440" t="str">
        <f t="shared" ref="Y52:Z52" si="7">Y10</f>
        <v>215</v>
      </c>
      <c r="Z52" s="441" t="str">
        <f t="shared" si="7"/>
        <v>Pollock</v>
      </c>
      <c r="AA52" s="461">
        <f>IF(Score!T52="", "",Score!T52 )</f>
        <v>7</v>
      </c>
      <c r="AB52" s="442"/>
      <c r="AC52" s="449" t="str">
        <f>IF(Score!U52="", "",Score!U52 )</f>
        <v>101</v>
      </c>
      <c r="AD52" s="446"/>
      <c r="AE52" s="446"/>
      <c r="AF52" s="446"/>
      <c r="AG52" s="449" t="s">
        <v>115</v>
      </c>
      <c r="AH52" s="446"/>
      <c r="AI52" s="446"/>
      <c r="AJ52" s="446"/>
      <c r="AK52" s="449" t="s">
        <v>111</v>
      </c>
      <c r="AL52" s="446"/>
      <c r="AM52" s="446"/>
      <c r="AN52" s="446"/>
      <c r="AO52" s="449" t="s">
        <v>58</v>
      </c>
      <c r="AP52" s="446"/>
      <c r="AQ52" s="446"/>
      <c r="AR52" s="446"/>
      <c r="AS52" s="449" t="s">
        <v>104</v>
      </c>
      <c r="AT52" s="446"/>
      <c r="AU52" s="446"/>
      <c r="AV52" s="447"/>
      <c r="AW52" s="439">
        <f>IF(AA52="","",SUMIF(SK!R$88:R$163,ROW(),SK!T$88:T$163))</f>
        <v>4</v>
      </c>
      <c r="AX52" s="43"/>
      <c r="AY52" s="440" t="str">
        <f t="shared" ref="AY52:AZ52" si="8">AY10</f>
        <v>33</v>
      </c>
      <c r="AZ52" s="441" t="str">
        <f t="shared" si="8"/>
        <v>Fox Mauler</v>
      </c>
    </row>
    <row r="53" ht="39.0" customHeight="1">
      <c r="A53" s="443">
        <f>IF(Score!A53="", "",Score!A53 )</f>
        <v>8</v>
      </c>
      <c r="B53" s="444"/>
      <c r="C53" s="445" t="str">
        <f>IF(Score!B53="", "",Score!B53 )</f>
        <v>16</v>
      </c>
      <c r="D53" s="446"/>
      <c r="E53" s="446"/>
      <c r="F53" s="446"/>
      <c r="G53" s="445" t="s">
        <v>123</v>
      </c>
      <c r="H53" s="446"/>
      <c r="I53" s="446"/>
      <c r="J53" s="446"/>
      <c r="K53" s="445" t="s">
        <v>109</v>
      </c>
      <c r="L53" s="446"/>
      <c r="M53" s="446"/>
      <c r="N53" s="446"/>
      <c r="O53" s="445" t="s">
        <v>80</v>
      </c>
      <c r="P53" s="446"/>
      <c r="Q53" s="446"/>
      <c r="R53" s="446"/>
      <c r="S53" s="445" t="s">
        <v>100</v>
      </c>
      <c r="T53" s="446" t="s">
        <v>286</v>
      </c>
      <c r="U53" s="446"/>
      <c r="V53" s="447"/>
      <c r="W53" s="439">
        <f>IF(A53="","",SUMIF(SK!B$88:B$163,ROW(),SK!D$88:D$163))</f>
        <v>0</v>
      </c>
      <c r="X53" s="43"/>
      <c r="Y53" s="43"/>
      <c r="Z53" s="441"/>
      <c r="AA53" s="463">
        <f>IF(Score!T53="", "",Score!T53 )</f>
        <v>8</v>
      </c>
      <c r="AB53" s="444"/>
      <c r="AC53" s="445" t="str">
        <f>IF(Score!U53="", "",Score!U53 )</f>
        <v>16</v>
      </c>
      <c r="AD53" s="446"/>
      <c r="AE53" s="446"/>
      <c r="AF53" s="446"/>
      <c r="AG53" s="445" t="s">
        <v>95</v>
      </c>
      <c r="AH53" s="446"/>
      <c r="AI53" s="446"/>
      <c r="AJ53" s="446"/>
      <c r="AK53" s="445" t="s">
        <v>74</v>
      </c>
      <c r="AL53" s="446"/>
      <c r="AM53" s="446"/>
      <c r="AN53" s="446"/>
      <c r="AO53" s="445" t="s">
        <v>78</v>
      </c>
      <c r="AP53" s="446"/>
      <c r="AQ53" s="446"/>
      <c r="AR53" s="446"/>
      <c r="AS53" s="445" t="s">
        <v>93</v>
      </c>
      <c r="AT53" s="446"/>
      <c r="AU53" s="446"/>
      <c r="AV53" s="447"/>
      <c r="AW53" s="439">
        <f>IF(AA53="","",SUMIF(SK!R$88:R$163,ROW(),SK!T$88:T$163))</f>
        <v>4</v>
      </c>
      <c r="AX53" s="43"/>
      <c r="AY53" s="43"/>
      <c r="AZ53" s="441"/>
    </row>
    <row r="54" ht="39.0" customHeight="1">
      <c r="A54" s="448">
        <f>IF(Score!A54="", "",Score!A54 )</f>
        <v>9</v>
      </c>
      <c r="B54" s="442"/>
      <c r="C54" s="449" t="str">
        <f>IF(Score!B54="", "",Score!B54 )</f>
        <v>271</v>
      </c>
      <c r="D54" s="446"/>
      <c r="E54" s="446"/>
      <c r="F54" s="446"/>
      <c r="G54" s="449" t="s">
        <v>95</v>
      </c>
      <c r="H54" s="446"/>
      <c r="I54" s="446"/>
      <c r="J54" s="446"/>
      <c r="K54" s="449" t="s">
        <v>119</v>
      </c>
      <c r="L54" s="446"/>
      <c r="M54" s="446"/>
      <c r="N54" s="446"/>
      <c r="O54" s="449" t="s">
        <v>64</v>
      </c>
      <c r="P54" s="446"/>
      <c r="Q54" s="446"/>
      <c r="R54" s="446"/>
      <c r="S54" s="449" t="s">
        <v>56</v>
      </c>
      <c r="T54" s="446"/>
      <c r="U54" s="446"/>
      <c r="V54" s="447"/>
      <c r="W54" s="439">
        <f>IF(A54="","",SUMIF(SK!B$88:B$163,ROW(),SK!D$88:D$163))</f>
        <v>12</v>
      </c>
      <c r="X54" s="43"/>
      <c r="Y54" s="440" t="str">
        <f t="shared" ref="Y54:Z54" si="9">Y12</f>
        <v>27</v>
      </c>
      <c r="Z54" s="441" t="str">
        <f t="shared" si="9"/>
        <v>MegaHurtz</v>
      </c>
      <c r="AA54" s="461">
        <f>IF(Score!T54="", "",Score!T54 )</f>
        <v>9</v>
      </c>
      <c r="AB54" s="442"/>
      <c r="AC54" s="449" t="str">
        <f>IF(Score!U54="", "",Score!U54 )</f>
        <v>11</v>
      </c>
      <c r="AD54" s="446"/>
      <c r="AE54" s="446"/>
      <c r="AF54" s="446"/>
      <c r="AG54" s="449" t="s">
        <v>115</v>
      </c>
      <c r="AH54" s="446"/>
      <c r="AI54" s="446"/>
      <c r="AJ54" s="446"/>
      <c r="AK54" s="449" t="s">
        <v>104</v>
      </c>
      <c r="AL54" s="446"/>
      <c r="AM54" s="446"/>
      <c r="AN54" s="446"/>
      <c r="AO54" s="449" t="s">
        <v>85</v>
      </c>
      <c r="AP54" s="446" t="s">
        <v>285</v>
      </c>
      <c r="AQ54" s="446"/>
      <c r="AR54" s="446"/>
      <c r="AS54" s="449" t="s">
        <v>58</v>
      </c>
      <c r="AT54" s="446"/>
      <c r="AU54" s="446"/>
      <c r="AV54" s="447"/>
      <c r="AW54" s="439">
        <f>IF(AA54="","",SUMIF(SK!R$88:R$163,ROW(),SK!T$88:T$163))</f>
        <v>0</v>
      </c>
      <c r="AX54" s="43"/>
      <c r="AY54" s="440" t="str">
        <f t="shared" ref="AY54:AZ54" si="10">AY12</f>
        <v>1337</v>
      </c>
      <c r="AZ54" s="441" t="str">
        <f t="shared" si="10"/>
        <v>8Bit Betty</v>
      </c>
    </row>
    <row r="55" ht="39.0" customHeight="1">
      <c r="A55" s="443" t="str">
        <f>IF(Score!A55="", "",Score!A55 )</f>
        <v>SP*</v>
      </c>
      <c r="B55" s="444"/>
      <c r="C55" s="451" t="str">
        <f>IF(Score!B55="", "",Score!B55 )</f>
        <v/>
      </c>
      <c r="D55" s="446"/>
      <c r="E55" s="446"/>
      <c r="F55" s="446"/>
      <c r="G55" s="445"/>
      <c r="H55" s="446"/>
      <c r="I55" s="446"/>
      <c r="J55" s="446"/>
      <c r="K55" s="445"/>
      <c r="L55" s="446"/>
      <c r="M55" s="446"/>
      <c r="N55" s="446"/>
      <c r="O55" s="445"/>
      <c r="P55" s="446"/>
      <c r="Q55" s="446"/>
      <c r="R55" s="446"/>
      <c r="S55" s="445"/>
      <c r="T55" s="446"/>
      <c r="U55" s="446"/>
      <c r="V55" s="447"/>
      <c r="W55" s="439">
        <f>IF(A55="","",SUMIF(SK!B$88:B$163,ROW(),SK!D$88:D$163))</f>
        <v>0</v>
      </c>
      <c r="X55" s="43"/>
      <c r="Y55" s="43"/>
      <c r="Z55" s="441"/>
      <c r="AA55" s="463" t="str">
        <f>IF(Score!T55="", "",Score!T55 )</f>
        <v>SP</v>
      </c>
      <c r="AB55" s="444" t="s">
        <v>222</v>
      </c>
      <c r="AC55" s="445" t="str">
        <f>IF(Score!U55="", "",Score!U55 )</f>
        <v>88</v>
      </c>
      <c r="AD55" s="446"/>
      <c r="AE55" s="446"/>
      <c r="AF55" s="446"/>
      <c r="AG55" s="445" t="s">
        <v>66</v>
      </c>
      <c r="AH55" s="446"/>
      <c r="AI55" s="446"/>
      <c r="AJ55" s="446"/>
      <c r="AK55" s="445" t="s">
        <v>104</v>
      </c>
      <c r="AL55" s="446"/>
      <c r="AM55" s="446"/>
      <c r="AN55" s="446"/>
      <c r="AO55" s="445" t="s">
        <v>85</v>
      </c>
      <c r="AP55" s="446" t="s">
        <v>287</v>
      </c>
      <c r="AQ55" s="446"/>
      <c r="AR55" s="446"/>
      <c r="AS55" s="445" t="s">
        <v>58</v>
      </c>
      <c r="AT55" s="446"/>
      <c r="AU55" s="446"/>
      <c r="AV55" s="447"/>
      <c r="AW55" s="439">
        <f>IF(AA55="","",SUMIF(SK!R$88:R$163,ROW(),SK!T$88:T$163))</f>
        <v>4</v>
      </c>
      <c r="AX55" s="43"/>
      <c r="AY55" s="43"/>
      <c r="AZ55" s="441"/>
    </row>
    <row r="56" ht="39.0" customHeight="1">
      <c r="A56" s="448">
        <f>IF(Score!A56="", "",Score!A56 )</f>
        <v>10</v>
      </c>
      <c r="B56" s="442"/>
      <c r="C56" s="449" t="str">
        <f>IF(Score!B56="", "",Score!B56 )</f>
        <v>45</v>
      </c>
      <c r="D56" s="446"/>
      <c r="E56" s="446"/>
      <c r="F56" s="446"/>
      <c r="G56" s="449" t="s">
        <v>123</v>
      </c>
      <c r="H56" s="446" t="s">
        <v>285</v>
      </c>
      <c r="I56" s="446"/>
      <c r="J56" s="446"/>
      <c r="K56" s="449" t="s">
        <v>117</v>
      </c>
      <c r="L56" s="446"/>
      <c r="M56" s="446"/>
      <c r="N56" s="446"/>
      <c r="O56" s="449" t="s">
        <v>80</v>
      </c>
      <c r="P56" s="446" t="s">
        <v>285</v>
      </c>
      <c r="Q56" s="446"/>
      <c r="R56" s="446"/>
      <c r="S56" s="449" t="s">
        <v>113</v>
      </c>
      <c r="T56" s="446"/>
      <c r="U56" s="446"/>
      <c r="V56" s="447"/>
      <c r="W56" s="439">
        <f>IF(A56="","",SUMIF(SK!B$88:B$163,ROW(),SK!D$88:D$163))</f>
        <v>4</v>
      </c>
      <c r="X56" s="43"/>
      <c r="Y56" s="440" t="str">
        <f t="shared" ref="Y56:Z56" si="11">Y14</f>
        <v>271</v>
      </c>
      <c r="Z56" s="441" t="str">
        <f t="shared" si="11"/>
        <v>Peb Canary</v>
      </c>
      <c r="AA56" s="461">
        <f>IF(Score!T56="", "",Score!T56 )</f>
        <v>10</v>
      </c>
      <c r="AB56" s="442"/>
      <c r="AC56" s="449" t="str">
        <f>IF(Score!U56="", "",Score!U56 )</f>
        <v>101</v>
      </c>
      <c r="AD56" s="446"/>
      <c r="AE56" s="446"/>
      <c r="AF56" s="446"/>
      <c r="AG56" s="449" t="s">
        <v>95</v>
      </c>
      <c r="AH56" s="446"/>
      <c r="AI56" s="446"/>
      <c r="AJ56" s="446"/>
      <c r="AK56" s="449" t="s">
        <v>78</v>
      </c>
      <c r="AL56" s="446"/>
      <c r="AM56" s="446"/>
      <c r="AN56" s="446"/>
      <c r="AO56" s="449" t="s">
        <v>85</v>
      </c>
      <c r="AP56" s="446" t="s">
        <v>286</v>
      </c>
      <c r="AQ56" s="446"/>
      <c r="AR56" s="446"/>
      <c r="AS56" s="449" t="s">
        <v>100</v>
      </c>
      <c r="AT56" s="446"/>
      <c r="AU56" s="446"/>
      <c r="AV56" s="447"/>
      <c r="AW56" s="439">
        <f>IF(AA56="","",SUMIF(SK!R$88:R$163,ROW(),SK!T$88:T$163))</f>
        <v>8</v>
      </c>
      <c r="AX56" s="43"/>
      <c r="AY56" s="440" t="str">
        <f t="shared" ref="AY56:AZ56" si="12">AY14</f>
        <v>150</v>
      </c>
      <c r="AZ56" s="441" t="str">
        <f t="shared" si="12"/>
        <v>Cooney</v>
      </c>
    </row>
    <row r="57" ht="39.0" customHeight="1">
      <c r="A57" s="443">
        <f>IF(Score!A57="", "",Score!A57 )</f>
        <v>11</v>
      </c>
      <c r="B57" s="444"/>
      <c r="C57" s="445" t="str">
        <f>IF(Score!B57="", "",Score!B57 )</f>
        <v>93</v>
      </c>
      <c r="D57" s="446"/>
      <c r="E57" s="446"/>
      <c r="F57" s="446"/>
      <c r="G57" s="445" t="s">
        <v>123</v>
      </c>
      <c r="H57" s="446" t="s">
        <v>286</v>
      </c>
      <c r="I57" s="446"/>
      <c r="J57" s="446"/>
      <c r="K57" s="445" t="s">
        <v>95</v>
      </c>
      <c r="L57" s="446"/>
      <c r="M57" s="446"/>
      <c r="N57" s="446"/>
      <c r="O57" s="445" t="s">
        <v>80</v>
      </c>
      <c r="P57" s="446" t="s">
        <v>287</v>
      </c>
      <c r="Q57" s="446"/>
      <c r="R57" s="446"/>
      <c r="S57" s="445" t="s">
        <v>64</v>
      </c>
      <c r="T57" s="446"/>
      <c r="U57" s="446"/>
      <c r="V57" s="447"/>
      <c r="W57" s="439">
        <f>IF(A57="","",SUMIF(SK!B$88:B$163,ROW(),SK!D$88:D$163))</f>
        <v>0</v>
      </c>
      <c r="X57" s="43"/>
      <c r="Y57" s="43"/>
      <c r="Z57" s="441"/>
      <c r="AA57" s="463">
        <f>IF(Score!T57="", "",Score!T57 )</f>
        <v>11</v>
      </c>
      <c r="AB57" s="444"/>
      <c r="AC57" s="445" t="str">
        <f>IF(Score!U57="", "",Score!U57 )</f>
        <v>16</v>
      </c>
      <c r="AD57" s="446"/>
      <c r="AE57" s="446"/>
      <c r="AF57" s="446"/>
      <c r="AG57" s="445" t="s">
        <v>115</v>
      </c>
      <c r="AH57" s="446"/>
      <c r="AI57" s="446"/>
      <c r="AJ57" s="446"/>
      <c r="AK57" s="445" t="s">
        <v>111</v>
      </c>
      <c r="AL57" s="446"/>
      <c r="AM57" s="446"/>
      <c r="AN57" s="446"/>
      <c r="AO57" s="445" t="s">
        <v>58</v>
      </c>
      <c r="AP57" s="446"/>
      <c r="AQ57" s="446"/>
      <c r="AR57" s="446"/>
      <c r="AS57" s="445" t="s">
        <v>85</v>
      </c>
      <c r="AT57" s="446"/>
      <c r="AU57" s="446"/>
      <c r="AV57" s="447"/>
      <c r="AW57" s="439">
        <f>IF(AA57="","",SUMIF(SK!R$88:R$163,ROW(),SK!T$88:T$163))</f>
        <v>4</v>
      </c>
      <c r="AX57" s="43"/>
      <c r="AY57" s="43"/>
      <c r="AZ57" s="441"/>
    </row>
    <row r="58" ht="39.0" customHeight="1">
      <c r="A58" s="448">
        <f>IF(Score!A58="", "",Score!A58 )</f>
        <v>12</v>
      </c>
      <c r="B58" s="442"/>
      <c r="C58" s="449" t="str">
        <f>IF(Score!B58="", "",Score!B58 )</f>
        <v>16</v>
      </c>
      <c r="D58" s="446"/>
      <c r="E58" s="446"/>
      <c r="F58" s="446"/>
      <c r="G58" s="449" t="s">
        <v>123</v>
      </c>
      <c r="H58" s="446"/>
      <c r="I58" s="446"/>
      <c r="J58" s="446"/>
      <c r="K58" s="449" t="s">
        <v>117</v>
      </c>
      <c r="L58" s="446"/>
      <c r="M58" s="446"/>
      <c r="N58" s="446"/>
      <c r="O58" s="449" t="s">
        <v>80</v>
      </c>
      <c r="P58" s="446" t="s">
        <v>286</v>
      </c>
      <c r="Q58" s="446"/>
      <c r="R58" s="446"/>
      <c r="S58" s="449" t="s">
        <v>113</v>
      </c>
      <c r="T58" s="446"/>
      <c r="U58" s="446"/>
      <c r="V58" s="447"/>
      <c r="W58" s="439">
        <f>IF(A58="","",SUMIF(SK!B$88:B$163,ROW(),SK!D$88:D$163))</f>
        <v>0</v>
      </c>
      <c r="X58" s="43"/>
      <c r="Y58" s="440" t="str">
        <f t="shared" ref="Y58:Z58" si="13">Y16</f>
        <v>220</v>
      </c>
      <c r="Z58" s="441" t="str">
        <f t="shared" si="13"/>
        <v>Cerosene</v>
      </c>
      <c r="AA58" s="461">
        <f>IF(Score!T58="", "",Score!T58 )</f>
        <v>12</v>
      </c>
      <c r="AB58" s="442"/>
      <c r="AC58" s="449" t="str">
        <f>IF(Score!U58="", "",Score!U58 )</f>
        <v>11</v>
      </c>
      <c r="AD58" s="446"/>
      <c r="AE58" s="446"/>
      <c r="AF58" s="446"/>
      <c r="AG58" s="449" t="s">
        <v>74</v>
      </c>
      <c r="AH58" s="446"/>
      <c r="AI58" s="446"/>
      <c r="AJ58" s="446"/>
      <c r="AK58" s="449" t="s">
        <v>107</v>
      </c>
      <c r="AL58" s="446"/>
      <c r="AM58" s="446"/>
      <c r="AN58" s="446"/>
      <c r="AO58" s="449" t="s">
        <v>100</v>
      </c>
      <c r="AP58" s="446"/>
      <c r="AQ58" s="446"/>
      <c r="AR58" s="446"/>
      <c r="AS58" s="449" t="s">
        <v>93</v>
      </c>
      <c r="AT58" s="446"/>
      <c r="AU58" s="446"/>
      <c r="AV58" s="447"/>
      <c r="AW58" s="439">
        <f>IF(AA58="","",SUMIF(SK!R$88:R$163,ROW(),SK!T$88:T$163))</f>
        <v>0</v>
      </c>
      <c r="AX58" s="43"/>
      <c r="AY58" s="440" t="str">
        <f t="shared" ref="AY58:AZ58" si="14">AY16</f>
        <v>16</v>
      </c>
      <c r="AZ58" s="441" t="str">
        <f t="shared" si="14"/>
        <v>Jemerald</v>
      </c>
    </row>
    <row r="59" ht="39.0" customHeight="1">
      <c r="A59" s="443">
        <f>IF(Score!A59="", "",Score!A59 )</f>
        <v>13</v>
      </c>
      <c r="B59" s="444"/>
      <c r="C59" s="445" t="str">
        <f>IF(Score!B59="", "",Score!B59 )</f>
        <v>271</v>
      </c>
      <c r="D59" s="446"/>
      <c r="E59" s="446"/>
      <c r="F59" s="446"/>
      <c r="G59" s="445" t="s">
        <v>119</v>
      </c>
      <c r="H59" s="446"/>
      <c r="I59" s="446"/>
      <c r="J59" s="446"/>
      <c r="K59" s="445" t="s">
        <v>95</v>
      </c>
      <c r="L59" s="446"/>
      <c r="M59" s="446"/>
      <c r="N59" s="446"/>
      <c r="O59" s="445" t="s">
        <v>100</v>
      </c>
      <c r="P59" s="446"/>
      <c r="Q59" s="446"/>
      <c r="R59" s="446"/>
      <c r="S59" s="445" t="s">
        <v>56</v>
      </c>
      <c r="T59" s="446"/>
      <c r="U59" s="446"/>
      <c r="V59" s="447"/>
      <c r="W59" s="439">
        <f>IF(A59="","",SUMIF(SK!B$88:B$163,ROW(),SK!D$88:D$163))</f>
        <v>0</v>
      </c>
      <c r="X59" s="43"/>
      <c r="Y59" s="43"/>
      <c r="Z59" s="441"/>
      <c r="AA59" s="463">
        <f>IF(Score!T59="", "",Score!T59 )</f>
        <v>13</v>
      </c>
      <c r="AB59" s="444"/>
      <c r="AC59" s="445" t="str">
        <f>IF(Score!U59="", "",Score!U59 )</f>
        <v>101</v>
      </c>
      <c r="AD59" s="446"/>
      <c r="AE59" s="446"/>
      <c r="AF59" s="446"/>
      <c r="AG59" s="445" t="s">
        <v>115</v>
      </c>
      <c r="AH59" s="446"/>
      <c r="AI59" s="446"/>
      <c r="AJ59" s="446"/>
      <c r="AK59" s="445" t="s">
        <v>111</v>
      </c>
      <c r="AL59" s="446" t="s">
        <v>285</v>
      </c>
      <c r="AM59" s="446"/>
      <c r="AN59" s="446"/>
      <c r="AO59" s="445" t="s">
        <v>104</v>
      </c>
      <c r="AP59" s="446"/>
      <c r="AQ59" s="446"/>
      <c r="AR59" s="446"/>
      <c r="AS59" s="445" t="s">
        <v>58</v>
      </c>
      <c r="AT59" s="446"/>
      <c r="AU59" s="446"/>
      <c r="AV59" s="447"/>
      <c r="AW59" s="439">
        <f>IF(AA59="","",SUMIF(SK!R$88:R$163,ROW(),SK!T$88:T$163))</f>
        <v>16</v>
      </c>
      <c r="AX59" s="43"/>
      <c r="AY59" s="43"/>
      <c r="AZ59" s="441"/>
    </row>
    <row r="60" ht="39.0" customHeight="1">
      <c r="A60" s="448" t="str">
        <f>IF(Score!A60="", "",Score!A60 )</f>
        <v>SP</v>
      </c>
      <c r="B60" s="442" t="s">
        <v>222</v>
      </c>
      <c r="C60" s="449" t="str">
        <f>IF(Score!B60="", "",Score!B60 )</f>
        <v>912</v>
      </c>
      <c r="D60" s="446"/>
      <c r="E60" s="446"/>
      <c r="F60" s="446"/>
      <c r="G60" s="449" t="s">
        <v>76</v>
      </c>
      <c r="H60" s="446"/>
      <c r="I60" s="446"/>
      <c r="J60" s="446"/>
      <c r="K60" s="449" t="s">
        <v>95</v>
      </c>
      <c r="L60" s="446"/>
      <c r="M60" s="446"/>
      <c r="N60" s="446"/>
      <c r="O60" s="449" t="s">
        <v>100</v>
      </c>
      <c r="P60" s="446"/>
      <c r="Q60" s="446"/>
      <c r="R60" s="446"/>
      <c r="S60" s="449" t="s">
        <v>56</v>
      </c>
      <c r="T60" s="446"/>
      <c r="U60" s="446"/>
      <c r="V60" s="447"/>
      <c r="W60" s="439">
        <f>IF(A60="","",SUMIF(SK!B$88:B$163,ROW(),SK!D$88:D$163))</f>
        <v>0</v>
      </c>
      <c r="X60" s="43"/>
      <c r="Y60" s="440" t="str">
        <f t="shared" ref="Y60:Z60" si="15">Y18</f>
        <v>3556</v>
      </c>
      <c r="Z60" s="441" t="str">
        <f t="shared" si="15"/>
        <v>Crystal Beth</v>
      </c>
      <c r="AA60" s="461" t="str">
        <f>IF(Score!T60="", "",Score!T60 )</f>
        <v>SP*</v>
      </c>
      <c r="AB60" s="442"/>
      <c r="AC60" s="450" t="str">
        <f>IF(Score!U60="", "",Score!U60 )</f>
        <v/>
      </c>
      <c r="AD60" s="446"/>
      <c r="AE60" s="446"/>
      <c r="AF60" s="446"/>
      <c r="AG60" s="449"/>
      <c r="AH60" s="446"/>
      <c r="AI60" s="446"/>
      <c r="AJ60" s="446"/>
      <c r="AK60" s="449"/>
      <c r="AL60" s="446"/>
      <c r="AM60" s="446"/>
      <c r="AN60" s="446"/>
      <c r="AO60" s="449"/>
      <c r="AP60" s="446"/>
      <c r="AQ60" s="446"/>
      <c r="AR60" s="446"/>
      <c r="AS60" s="449"/>
      <c r="AT60" s="446"/>
      <c r="AU60" s="446"/>
      <c r="AV60" s="447"/>
      <c r="AW60" s="439">
        <f>IF(AA60="","",SUMIF(SK!R$88:R$163,ROW(),SK!T$88:T$163))</f>
        <v>0</v>
      </c>
      <c r="AX60" s="43"/>
      <c r="AY60" s="440" t="str">
        <f t="shared" ref="AY60:AZ60" si="16">AY18</f>
        <v>3110</v>
      </c>
      <c r="AZ60" s="441" t="str">
        <f t="shared" si="16"/>
        <v>Grand DAM</v>
      </c>
    </row>
    <row r="61" ht="39.0" customHeight="1">
      <c r="A61" s="443">
        <f>IF(Score!A61="", "",Score!A61 )</f>
        <v>14</v>
      </c>
      <c r="B61" s="444"/>
      <c r="C61" s="445" t="str">
        <f>IF(Score!B61="", "",Score!B61 )</f>
        <v>45</v>
      </c>
      <c r="D61" s="446"/>
      <c r="E61" s="446"/>
      <c r="F61" s="446"/>
      <c r="G61" s="445" t="s">
        <v>123</v>
      </c>
      <c r="H61" s="446"/>
      <c r="I61" s="446"/>
      <c r="J61" s="446"/>
      <c r="K61" s="445" t="s">
        <v>109</v>
      </c>
      <c r="L61" s="446"/>
      <c r="M61" s="446"/>
      <c r="N61" s="446"/>
      <c r="O61" s="445" t="s">
        <v>113</v>
      </c>
      <c r="P61" s="446"/>
      <c r="Q61" s="446"/>
      <c r="R61" s="446"/>
      <c r="S61" s="445" t="s">
        <v>80</v>
      </c>
      <c r="T61" s="446"/>
      <c r="U61" s="446"/>
      <c r="V61" s="447"/>
      <c r="W61" s="439">
        <f>IF(A61="","",SUMIF(SK!B$88:B$163,ROW(),SK!D$88:D$163))</f>
        <v>0</v>
      </c>
      <c r="X61" s="43"/>
      <c r="Y61" s="43"/>
      <c r="Z61" s="441"/>
      <c r="AA61" s="463">
        <f>IF(Score!T61="", "",Score!T61 )</f>
        <v>14</v>
      </c>
      <c r="AB61" s="444"/>
      <c r="AC61" s="445" t="str">
        <f>IF(Score!U61="", "",Score!U61 )</f>
        <v>16</v>
      </c>
      <c r="AD61" s="446"/>
      <c r="AE61" s="446"/>
      <c r="AF61" s="446"/>
      <c r="AG61" s="445" t="s">
        <v>95</v>
      </c>
      <c r="AH61" s="446"/>
      <c r="AI61" s="446"/>
      <c r="AJ61" s="446"/>
      <c r="AK61" s="445" t="s">
        <v>111</v>
      </c>
      <c r="AL61" s="446" t="s">
        <v>286</v>
      </c>
      <c r="AM61" s="446"/>
      <c r="AN61" s="446"/>
      <c r="AO61" s="445" t="s">
        <v>107</v>
      </c>
      <c r="AP61" s="446"/>
      <c r="AQ61" s="446"/>
      <c r="AR61" s="446"/>
      <c r="AS61" s="445" t="s">
        <v>74</v>
      </c>
      <c r="AT61" s="446"/>
      <c r="AU61" s="446"/>
      <c r="AV61" s="447"/>
      <c r="AW61" s="439">
        <f>IF(AA61="","",SUMIF(SK!R$88:R$163,ROW(),SK!T$88:T$163))</f>
        <v>8</v>
      </c>
      <c r="AX61" s="43"/>
      <c r="AY61" s="43"/>
      <c r="AZ61" s="441"/>
    </row>
    <row r="62" ht="39.0" customHeight="1">
      <c r="A62" s="448" t="str">
        <f>IF(Score!A62="", "",Score!A62 )</f>
        <v>SP</v>
      </c>
      <c r="B62" s="442" t="s">
        <v>222</v>
      </c>
      <c r="C62" s="449" t="str">
        <f>IF(Score!B62="", "",Score!B62 )</f>
        <v>999</v>
      </c>
      <c r="D62" s="446"/>
      <c r="E62" s="446"/>
      <c r="F62" s="446"/>
      <c r="G62" s="449" t="s">
        <v>102</v>
      </c>
      <c r="H62" s="446"/>
      <c r="I62" s="446"/>
      <c r="J62" s="446"/>
      <c r="K62" s="449" t="s">
        <v>109</v>
      </c>
      <c r="L62" s="446"/>
      <c r="M62" s="446"/>
      <c r="N62" s="446"/>
      <c r="O62" s="449" t="s">
        <v>113</v>
      </c>
      <c r="P62" s="446"/>
      <c r="Q62" s="446"/>
      <c r="R62" s="446"/>
      <c r="S62" s="449" t="s">
        <v>80</v>
      </c>
      <c r="T62" s="446"/>
      <c r="U62" s="446"/>
      <c r="V62" s="447"/>
      <c r="W62" s="439">
        <f>IF(A62="","",SUMIF(SK!B$88:B$163,ROW(),SK!D$88:D$163))</f>
        <v>4</v>
      </c>
      <c r="X62" s="43"/>
      <c r="Y62" s="440" t="str">
        <f t="shared" ref="Y62:Z62" si="17">Y20</f>
        <v>360</v>
      </c>
      <c r="Z62" s="441" t="str">
        <f t="shared" si="17"/>
        <v>Baxter</v>
      </c>
      <c r="AA62" s="461" t="str">
        <f>IF(Score!T62="", "",Score!T62 )</f>
        <v>SP*</v>
      </c>
      <c r="AB62" s="442"/>
      <c r="AC62" s="450" t="str">
        <f>IF(Score!U62="", "",Score!U62 )</f>
        <v/>
      </c>
      <c r="AD62" s="446"/>
      <c r="AE62" s="446"/>
      <c r="AF62" s="446"/>
      <c r="AG62" s="449"/>
      <c r="AH62" s="446"/>
      <c r="AI62" s="446"/>
      <c r="AJ62" s="446"/>
      <c r="AK62" s="449"/>
      <c r="AL62" s="446"/>
      <c r="AM62" s="446"/>
      <c r="AN62" s="446"/>
      <c r="AO62" s="449"/>
      <c r="AP62" s="446"/>
      <c r="AQ62" s="446"/>
      <c r="AR62" s="446"/>
      <c r="AS62" s="449"/>
      <c r="AT62" s="446"/>
      <c r="AU62" s="446"/>
      <c r="AV62" s="447"/>
      <c r="AW62" s="439">
        <f>IF(AA62="","",SUMIF(SK!R$88:R$163,ROW(),SK!T$88:T$163))</f>
        <v>0</v>
      </c>
      <c r="AX62" s="43"/>
      <c r="AY62" s="440" t="str">
        <f t="shared" ref="AY62:AZ62" si="18">AY20</f>
        <v>333</v>
      </c>
      <c r="AZ62" s="441" t="str">
        <f t="shared" si="18"/>
        <v>Yonic Cyclonic</v>
      </c>
    </row>
    <row r="63" ht="39.0" customHeight="1">
      <c r="A63" s="443">
        <f>IF(Score!A63="", "",Score!A63 )</f>
        <v>15</v>
      </c>
      <c r="B63" s="444"/>
      <c r="C63" s="445" t="str">
        <f>IF(Score!B63="", "",Score!B63 )</f>
        <v>93</v>
      </c>
      <c r="D63" s="446" t="s">
        <v>285</v>
      </c>
      <c r="E63" s="446"/>
      <c r="F63" s="446"/>
      <c r="G63" s="445" t="s">
        <v>95</v>
      </c>
      <c r="H63" s="446" t="s">
        <v>285</v>
      </c>
      <c r="I63" s="446"/>
      <c r="J63" s="446"/>
      <c r="K63" s="445" t="s">
        <v>119</v>
      </c>
      <c r="L63" s="446"/>
      <c r="M63" s="446"/>
      <c r="N63" s="446"/>
      <c r="O63" s="445" t="s">
        <v>56</v>
      </c>
      <c r="P63" s="446"/>
      <c r="Q63" s="446"/>
      <c r="R63" s="446"/>
      <c r="S63" s="445" t="s">
        <v>64</v>
      </c>
      <c r="T63" s="446" t="s">
        <v>288</v>
      </c>
      <c r="U63" s="446"/>
      <c r="V63" s="447"/>
      <c r="W63" s="439">
        <f>IF(A63="","",SUMIF(SK!B$88:B$163,ROW(),SK!D$88:D$163))</f>
        <v>4</v>
      </c>
      <c r="X63" s="43"/>
      <c r="Y63" s="43"/>
      <c r="Z63" s="441"/>
      <c r="AA63" s="463">
        <f>IF(Score!T63="", "",Score!T63 )</f>
        <v>15</v>
      </c>
      <c r="AB63" s="444"/>
      <c r="AC63" s="445" t="str">
        <f>IF(Score!U63="", "",Score!U63 )</f>
        <v>11</v>
      </c>
      <c r="AD63" s="446" t="s">
        <v>288</v>
      </c>
      <c r="AE63" s="446"/>
      <c r="AF63" s="446"/>
      <c r="AG63" s="445" t="s">
        <v>115</v>
      </c>
      <c r="AH63" s="446"/>
      <c r="AI63" s="446"/>
      <c r="AJ63" s="446"/>
      <c r="AK63" s="445" t="s">
        <v>104</v>
      </c>
      <c r="AL63" s="446"/>
      <c r="AM63" s="446"/>
      <c r="AN63" s="446"/>
      <c r="AO63" s="445" t="s">
        <v>85</v>
      </c>
      <c r="AP63" s="446" t="s">
        <v>288</v>
      </c>
      <c r="AQ63" s="446"/>
      <c r="AR63" s="446"/>
      <c r="AS63" s="445" t="s">
        <v>58</v>
      </c>
      <c r="AT63" s="446"/>
      <c r="AU63" s="446"/>
      <c r="AV63" s="447"/>
      <c r="AW63" s="439">
        <f>IF(AA63="","",SUMIF(SK!R$88:R$163,ROW(),SK!T$88:T$163))</f>
        <v>8</v>
      </c>
      <c r="AX63" s="43"/>
      <c r="AY63" s="43"/>
      <c r="AZ63" s="441"/>
    </row>
    <row r="64" ht="39.0" customHeight="1">
      <c r="A64" s="448">
        <f>IF(Score!A64="", "",Score!A64 )</f>
        <v>16</v>
      </c>
      <c r="B64" s="442"/>
      <c r="C64" s="449" t="str">
        <f>IF(Score!B64="", "",Score!B64 )</f>
        <v>93</v>
      </c>
      <c r="D64" s="446" t="s">
        <v>286</v>
      </c>
      <c r="E64" s="446"/>
      <c r="F64" s="446"/>
      <c r="G64" s="449" t="s">
        <v>95</v>
      </c>
      <c r="H64" s="446" t="s">
        <v>286</v>
      </c>
      <c r="I64" s="446"/>
      <c r="J64" s="446"/>
      <c r="K64" s="449" t="s">
        <v>123</v>
      </c>
      <c r="L64" s="446"/>
      <c r="M64" s="446"/>
      <c r="N64" s="446"/>
      <c r="O64" s="449" t="s">
        <v>80</v>
      </c>
      <c r="P64" s="446"/>
      <c r="Q64" s="446"/>
      <c r="R64" s="446"/>
      <c r="S64" s="449" t="s">
        <v>113</v>
      </c>
      <c r="T64" s="446"/>
      <c r="U64" s="446"/>
      <c r="V64" s="447"/>
      <c r="W64" s="439">
        <f>IF(A64="","",SUMIF(SK!B$88:B$163,ROW(),SK!D$88:D$163))</f>
        <v>3</v>
      </c>
      <c r="X64" s="43"/>
      <c r="Y64" s="440" t="str">
        <f t="shared" ref="Y64:Z64" si="19">Y22</f>
        <v>40</v>
      </c>
      <c r="Z64" s="441" t="str">
        <f t="shared" si="19"/>
        <v>Kid</v>
      </c>
      <c r="AA64" s="461">
        <f>IF(Score!T64="", "",Score!T64 )</f>
        <v>16</v>
      </c>
      <c r="AB64" s="442"/>
      <c r="AC64" s="449" t="str">
        <f>IF(Score!U64="", "",Score!U64 )</f>
        <v>101</v>
      </c>
      <c r="AD64" s="446"/>
      <c r="AE64" s="446"/>
      <c r="AF64" s="446"/>
      <c r="AG64" s="449" t="s">
        <v>74</v>
      </c>
      <c r="AH64" s="446"/>
      <c r="AI64" s="446"/>
      <c r="AJ64" s="446"/>
      <c r="AK64" s="449" t="s">
        <v>100</v>
      </c>
      <c r="AL64" s="446"/>
      <c r="AM64" s="446"/>
      <c r="AN64" s="446"/>
      <c r="AO64" s="449" t="s">
        <v>78</v>
      </c>
      <c r="AP64" s="446" t="s">
        <v>288</v>
      </c>
      <c r="AQ64" s="446"/>
      <c r="AR64" s="446"/>
      <c r="AS64" s="449" t="s">
        <v>93</v>
      </c>
      <c r="AT64" s="446"/>
      <c r="AU64" s="446"/>
      <c r="AV64" s="447"/>
      <c r="AW64" s="439">
        <f>IF(AA64="","",SUMIF(SK!R$88:R$163,ROW(),SK!T$88:T$163))</f>
        <v>16</v>
      </c>
      <c r="AX64" s="43"/>
      <c r="AY64" s="440" t="str">
        <f t="shared" ref="AY64:AZ64" si="20">AY22</f>
        <v>4</v>
      </c>
      <c r="AZ64" s="441" t="str">
        <f t="shared" si="20"/>
        <v>Stabba</v>
      </c>
    </row>
    <row r="65" ht="39.0" customHeight="1">
      <c r="A65" s="443">
        <f>IF(Score!A65="", "",Score!A65 )</f>
        <v>17</v>
      </c>
      <c r="B65" s="444"/>
      <c r="C65" s="445" t="str">
        <f>IF(Score!B65="", "",Score!B65 )</f>
        <v>16</v>
      </c>
      <c r="D65" s="446"/>
      <c r="E65" s="446"/>
      <c r="F65" s="446"/>
      <c r="G65" s="445" t="s">
        <v>119</v>
      </c>
      <c r="H65" s="446"/>
      <c r="I65" s="446"/>
      <c r="J65" s="446"/>
      <c r="K65" s="445" t="s">
        <v>95</v>
      </c>
      <c r="L65" s="446"/>
      <c r="M65" s="446"/>
      <c r="N65" s="446"/>
      <c r="O65" s="445" t="s">
        <v>100</v>
      </c>
      <c r="P65" s="446"/>
      <c r="Q65" s="446"/>
      <c r="R65" s="446"/>
      <c r="S65" s="445" t="s">
        <v>64</v>
      </c>
      <c r="T65" s="446"/>
      <c r="U65" s="446"/>
      <c r="V65" s="447"/>
      <c r="W65" s="439">
        <f>IF(A65="","",SUMIF(SK!B$88:B$163,ROW(),SK!D$88:D$163))</f>
        <v>4</v>
      </c>
      <c r="X65" s="43"/>
      <c r="Y65" s="43"/>
      <c r="Z65" s="441"/>
      <c r="AA65" s="463">
        <f>IF(Score!T65="", "",Score!T65 )</f>
        <v>17</v>
      </c>
      <c r="AB65" s="444"/>
      <c r="AC65" s="445" t="str">
        <f>IF(Score!U65="", "",Score!U65 )</f>
        <v>16</v>
      </c>
      <c r="AD65" s="446"/>
      <c r="AE65" s="446"/>
      <c r="AF65" s="446"/>
      <c r="AG65" s="445" t="s">
        <v>115</v>
      </c>
      <c r="AH65" s="446"/>
      <c r="AI65" s="446"/>
      <c r="AJ65" s="446"/>
      <c r="AK65" s="445" t="s">
        <v>104</v>
      </c>
      <c r="AL65" s="446"/>
      <c r="AM65" s="446"/>
      <c r="AN65" s="446"/>
      <c r="AO65" s="445" t="s">
        <v>85</v>
      </c>
      <c r="AP65" s="446" t="s">
        <v>285</v>
      </c>
      <c r="AQ65" s="446"/>
      <c r="AR65" s="446"/>
      <c r="AS65" s="445" t="s">
        <v>58</v>
      </c>
      <c r="AT65" s="446"/>
      <c r="AU65" s="446"/>
      <c r="AV65" s="447"/>
      <c r="AW65" s="439">
        <f>IF(AA65="","",SUMIF(SK!R$88:R$163,ROW(),SK!T$88:T$163))</f>
        <v>2</v>
      </c>
      <c r="AX65" s="43"/>
      <c r="AY65" s="43"/>
      <c r="AZ65" s="441"/>
    </row>
    <row r="66" ht="39.0" customHeight="1">
      <c r="A66" s="448">
        <f>IF(Score!A66="", "",Score!A66 )</f>
        <v>18</v>
      </c>
      <c r="B66" s="442"/>
      <c r="C66" s="449" t="str">
        <f>IF(Score!B66="", "",Score!B66 )</f>
        <v>271</v>
      </c>
      <c r="D66" s="446"/>
      <c r="E66" s="446"/>
      <c r="F66" s="446"/>
      <c r="G66" s="449" t="s">
        <v>123</v>
      </c>
      <c r="H66" s="446"/>
      <c r="I66" s="446"/>
      <c r="J66" s="446"/>
      <c r="K66" s="449" t="s">
        <v>80</v>
      </c>
      <c r="L66" s="446"/>
      <c r="M66" s="446"/>
      <c r="N66" s="446"/>
      <c r="O66" s="449" t="s">
        <v>109</v>
      </c>
      <c r="P66" s="446"/>
      <c r="Q66" s="446"/>
      <c r="R66" s="446"/>
      <c r="S66" s="449" t="s">
        <v>113</v>
      </c>
      <c r="T66" s="446"/>
      <c r="U66" s="446"/>
      <c r="V66" s="447"/>
      <c r="W66" s="439">
        <f>IF(A66="","",SUMIF(SK!B$88:B$163,ROW(),SK!D$88:D$163))</f>
        <v>0</v>
      </c>
      <c r="X66" s="43"/>
      <c r="Y66" s="440" t="str">
        <f t="shared" ref="Y66:Z66" si="21">Y24</f>
        <v>42</v>
      </c>
      <c r="Z66" s="441" t="str">
        <f t="shared" si="21"/>
        <v>Bosh</v>
      </c>
      <c r="AA66" s="461">
        <f>IF(Score!T66="", "",Score!T66 )</f>
        <v>18</v>
      </c>
      <c r="AB66" s="442"/>
      <c r="AC66" s="449" t="str">
        <f>IF(Score!U66="", "",Score!U66 )</f>
        <v>11</v>
      </c>
      <c r="AD66" s="446"/>
      <c r="AE66" s="446"/>
      <c r="AF66" s="446"/>
      <c r="AG66" s="449" t="s">
        <v>95</v>
      </c>
      <c r="AH66" s="446"/>
      <c r="AI66" s="446"/>
      <c r="AJ66" s="446"/>
      <c r="AK66" s="449" t="s">
        <v>93</v>
      </c>
      <c r="AL66" s="446"/>
      <c r="AM66" s="446"/>
      <c r="AN66" s="446"/>
      <c r="AO66" s="449" t="s">
        <v>85</v>
      </c>
      <c r="AP66" s="446" t="s">
        <v>286</v>
      </c>
      <c r="AQ66" s="446"/>
      <c r="AR66" s="446"/>
      <c r="AS66" s="449" t="s">
        <v>100</v>
      </c>
      <c r="AT66" s="446"/>
      <c r="AU66" s="446"/>
      <c r="AV66" s="447"/>
      <c r="AW66" s="439">
        <f>IF(AA66="","",SUMIF(SK!R$88:R$163,ROW(),SK!T$88:T$163))</f>
        <v>3</v>
      </c>
      <c r="AX66" s="43"/>
      <c r="AY66" s="440" t="str">
        <f t="shared" ref="AY66:AZ66" si="22">AY24</f>
        <v>42</v>
      </c>
      <c r="AZ66" s="441" t="str">
        <f t="shared" si="22"/>
        <v>Pretty Carless</v>
      </c>
    </row>
    <row r="67" ht="39.0" customHeight="1">
      <c r="A67" s="443">
        <f>IF(Score!A67="", "",Score!A67 )</f>
        <v>19</v>
      </c>
      <c r="B67" s="444"/>
      <c r="C67" s="445" t="str">
        <f>IF(Score!B67="", "",Score!B67 )</f>
        <v>45</v>
      </c>
      <c r="D67" s="446"/>
      <c r="E67" s="446"/>
      <c r="F67" s="446"/>
      <c r="G67" s="445" t="s">
        <v>95</v>
      </c>
      <c r="H67" s="446"/>
      <c r="I67" s="446"/>
      <c r="J67" s="446"/>
      <c r="K67" s="445" t="s">
        <v>64</v>
      </c>
      <c r="L67" s="446"/>
      <c r="M67" s="446"/>
      <c r="N67" s="446"/>
      <c r="O67" s="445" t="s">
        <v>56</v>
      </c>
      <c r="P67" s="446"/>
      <c r="Q67" s="446"/>
      <c r="R67" s="446"/>
      <c r="S67" s="445" t="s">
        <v>119</v>
      </c>
      <c r="T67" s="446"/>
      <c r="U67" s="446"/>
      <c r="V67" s="447"/>
      <c r="W67" s="439">
        <f>IF(A67="","",SUMIF(SK!B$88:B$163,ROW(),SK!D$88:D$163))</f>
        <v>0</v>
      </c>
      <c r="X67" s="43"/>
      <c r="Y67" s="43"/>
      <c r="Z67" s="441"/>
      <c r="AA67" s="463">
        <f>IF(Score!T67="", "",Score!T67 )</f>
        <v>19</v>
      </c>
      <c r="AB67" s="444"/>
      <c r="AC67" s="445" t="str">
        <f>IF(Score!U67="", "",Score!U67 )</f>
        <v>101</v>
      </c>
      <c r="AD67" s="446"/>
      <c r="AE67" s="446"/>
      <c r="AF67" s="446"/>
      <c r="AG67" s="445" t="s">
        <v>115</v>
      </c>
      <c r="AH67" s="446"/>
      <c r="AI67" s="446"/>
      <c r="AJ67" s="446"/>
      <c r="AK67" s="445" t="s">
        <v>104</v>
      </c>
      <c r="AL67" s="446"/>
      <c r="AM67" s="446"/>
      <c r="AN67" s="446"/>
      <c r="AO67" s="445" t="s">
        <v>85</v>
      </c>
      <c r="AP67" s="446"/>
      <c r="AQ67" s="446"/>
      <c r="AR67" s="446"/>
      <c r="AS67" s="445" t="s">
        <v>58</v>
      </c>
      <c r="AT67" s="446"/>
      <c r="AU67" s="446"/>
      <c r="AV67" s="447"/>
      <c r="AW67" s="439">
        <f>IF(AA67="","",SUMIF(SK!R$88:R$163,ROW(),SK!T$88:T$163))</f>
        <v>16</v>
      </c>
      <c r="AX67" s="43"/>
      <c r="AY67" s="43"/>
      <c r="AZ67" s="441"/>
    </row>
    <row r="68" ht="39.0" customHeight="1">
      <c r="A68" s="448">
        <f>IF(Score!A68="", "",Score!A68 )</f>
        <v>20</v>
      </c>
      <c r="B68" s="442"/>
      <c r="C68" s="449" t="str">
        <f>IF(Score!B68="", "",Score!B68 )</f>
        <v>93</v>
      </c>
      <c r="D68" s="446"/>
      <c r="E68" s="446"/>
      <c r="F68" s="446"/>
      <c r="G68" s="449" t="s">
        <v>123</v>
      </c>
      <c r="H68" s="446"/>
      <c r="I68" s="446"/>
      <c r="J68" s="446"/>
      <c r="K68" s="449" t="s">
        <v>109</v>
      </c>
      <c r="L68" s="446"/>
      <c r="M68" s="446"/>
      <c r="N68" s="446"/>
      <c r="O68" s="449" t="s">
        <v>113</v>
      </c>
      <c r="P68" s="446"/>
      <c r="Q68" s="446"/>
      <c r="R68" s="446"/>
      <c r="S68" s="449" t="s">
        <v>80</v>
      </c>
      <c r="T68" s="446"/>
      <c r="U68" s="446"/>
      <c r="V68" s="447"/>
      <c r="W68" s="439">
        <f>IF(A68="","",SUMIF(SK!B$88:B$163,ROW(),SK!D$88:D$163))</f>
        <v>0</v>
      </c>
      <c r="X68" s="43"/>
      <c r="Y68" s="440" t="str">
        <f t="shared" ref="Y68:Z68" si="23">Y26</f>
        <v>44</v>
      </c>
      <c r="Z68" s="441" t="str">
        <f t="shared" si="23"/>
        <v>Esparcieux</v>
      </c>
      <c r="AA68" s="461">
        <f>IF(Score!T68="", "",Score!T68 )</f>
        <v>20</v>
      </c>
      <c r="AB68" s="442"/>
      <c r="AC68" s="449" t="str">
        <f>IF(Score!U68="", "",Score!U68 )</f>
        <v>16</v>
      </c>
      <c r="AD68" s="446"/>
      <c r="AE68" s="446"/>
      <c r="AF68" s="446"/>
      <c r="AG68" s="449" t="s">
        <v>74</v>
      </c>
      <c r="AH68" s="446"/>
      <c r="AI68" s="446"/>
      <c r="AJ68" s="446"/>
      <c r="AK68" s="449" t="s">
        <v>78</v>
      </c>
      <c r="AL68" s="446"/>
      <c r="AM68" s="446"/>
      <c r="AN68" s="446"/>
      <c r="AO68" s="449" t="s">
        <v>107</v>
      </c>
      <c r="AP68" s="446"/>
      <c r="AQ68" s="446"/>
      <c r="AR68" s="446"/>
      <c r="AS68" s="449" t="s">
        <v>95</v>
      </c>
      <c r="AT68" s="446"/>
      <c r="AU68" s="446"/>
      <c r="AV68" s="447"/>
      <c r="AW68" s="439">
        <f>IF(AA68="","",SUMIF(SK!R$88:R$163,ROW(),SK!T$88:T$163))</f>
        <v>8</v>
      </c>
      <c r="AX68" s="43"/>
      <c r="AY68" s="440" t="str">
        <f t="shared" ref="AY68:AZ68" si="24">AY26</f>
        <v>48</v>
      </c>
      <c r="AZ68" s="441" t="str">
        <f t="shared" si="24"/>
        <v>Tini from the Bloc</v>
      </c>
    </row>
    <row r="69" ht="39.0" customHeight="1">
      <c r="A69" s="443">
        <f>IF(Score!A69="", "",Score!A69 )</f>
        <v>21</v>
      </c>
      <c r="B69" s="444"/>
      <c r="C69" s="445" t="str">
        <f>IF(Score!B69="", "",Score!B69 )</f>
        <v>16</v>
      </c>
      <c r="D69" s="446"/>
      <c r="E69" s="446"/>
      <c r="F69" s="446"/>
      <c r="G69" s="445" t="s">
        <v>119</v>
      </c>
      <c r="H69" s="446"/>
      <c r="I69" s="446"/>
      <c r="J69" s="446"/>
      <c r="K69" s="445" t="s">
        <v>64</v>
      </c>
      <c r="L69" s="446"/>
      <c r="M69" s="446"/>
      <c r="N69" s="446"/>
      <c r="O69" s="445" t="s">
        <v>100</v>
      </c>
      <c r="P69" s="446"/>
      <c r="Q69" s="446"/>
      <c r="R69" s="446"/>
      <c r="S69" s="445" t="s">
        <v>95</v>
      </c>
      <c r="T69" s="446"/>
      <c r="U69" s="446"/>
      <c r="V69" s="447"/>
      <c r="W69" s="439">
        <f>IF(A69="","",SUMIF(SK!B$88:B$163,ROW(),SK!D$88:D$163))</f>
        <v>9</v>
      </c>
      <c r="X69" s="43"/>
      <c r="Y69" s="43"/>
      <c r="Z69" s="441"/>
      <c r="AA69" s="463">
        <f>IF(Score!T69="", "",Score!T69 )</f>
        <v>21</v>
      </c>
      <c r="AB69" s="444"/>
      <c r="AC69" s="445" t="str">
        <f>IF(Score!U69="", "",Score!U69 )</f>
        <v>11</v>
      </c>
      <c r="AD69" s="446"/>
      <c r="AE69" s="446"/>
      <c r="AF69" s="446"/>
      <c r="AG69" s="445" t="s">
        <v>115</v>
      </c>
      <c r="AH69" s="446"/>
      <c r="AI69" s="446"/>
      <c r="AJ69" s="446"/>
      <c r="AK69" s="445" t="s">
        <v>104</v>
      </c>
      <c r="AL69" s="446"/>
      <c r="AM69" s="446"/>
      <c r="AN69" s="446"/>
      <c r="AO69" s="445" t="s">
        <v>111</v>
      </c>
      <c r="AP69" s="446"/>
      <c r="AQ69" s="446"/>
      <c r="AR69" s="446"/>
      <c r="AS69" s="445" t="s">
        <v>58</v>
      </c>
      <c r="AT69" s="446"/>
      <c r="AU69" s="446"/>
      <c r="AV69" s="447"/>
      <c r="AW69" s="439">
        <f>IF(AA69="","",SUMIF(SK!R$88:R$163,ROW(),SK!T$88:T$163))</f>
        <v>0</v>
      </c>
      <c r="AX69" s="43"/>
      <c r="AY69" s="43"/>
      <c r="AZ69" s="441"/>
    </row>
    <row r="70" ht="39.0" customHeight="1">
      <c r="A70" s="448" t="str">
        <f>IF(Score!A70="", "",Score!A70 )</f>
        <v>SP*</v>
      </c>
      <c r="B70" s="442"/>
      <c r="C70" s="450" t="str">
        <f>IF(Score!B70="", "",Score!B70 )</f>
        <v/>
      </c>
      <c r="D70" s="446"/>
      <c r="E70" s="446"/>
      <c r="F70" s="446"/>
      <c r="G70" s="449"/>
      <c r="H70" s="446"/>
      <c r="I70" s="446"/>
      <c r="J70" s="446"/>
      <c r="K70" s="449"/>
      <c r="L70" s="446"/>
      <c r="M70" s="446"/>
      <c r="N70" s="446"/>
      <c r="O70" s="449"/>
      <c r="P70" s="446"/>
      <c r="Q70" s="446"/>
      <c r="R70" s="446"/>
      <c r="S70" s="449"/>
      <c r="T70" s="446"/>
      <c r="U70" s="446"/>
      <c r="V70" s="447"/>
      <c r="W70" s="439">
        <f>IF(A70="","",SUMIF(SK!B$88:B$163,ROW(),SK!D$88:D$163))</f>
        <v>0</v>
      </c>
      <c r="X70" s="43"/>
      <c r="Y70" s="440" t="str">
        <f t="shared" ref="Y70:Z70" si="25">Y28</f>
        <v>45</v>
      </c>
      <c r="Z70" s="441" t="str">
        <f t="shared" si="25"/>
        <v>Hawk</v>
      </c>
      <c r="AA70" s="461" t="str">
        <f>IF(Score!T70="", "",Score!T70 )</f>
        <v>SP</v>
      </c>
      <c r="AB70" s="442" t="s">
        <v>222</v>
      </c>
      <c r="AC70" s="449" t="str">
        <f>IF(Score!U70="", "",Score!U70 )</f>
        <v>88</v>
      </c>
      <c r="AD70" s="446"/>
      <c r="AE70" s="446"/>
      <c r="AF70" s="446"/>
      <c r="AG70" s="449" t="s">
        <v>66</v>
      </c>
      <c r="AH70" s="446"/>
      <c r="AI70" s="446"/>
      <c r="AJ70" s="446"/>
      <c r="AK70" s="449" t="s">
        <v>104</v>
      </c>
      <c r="AL70" s="446"/>
      <c r="AM70" s="446"/>
      <c r="AN70" s="446"/>
      <c r="AO70" s="449" t="s">
        <v>111</v>
      </c>
      <c r="AP70" s="446"/>
      <c r="AQ70" s="446"/>
      <c r="AR70" s="446"/>
      <c r="AS70" s="449" t="s">
        <v>58</v>
      </c>
      <c r="AT70" s="446"/>
      <c r="AU70" s="446"/>
      <c r="AV70" s="447"/>
      <c r="AW70" s="439">
        <f>IF(AA70="","",SUMIF(SK!R$88:R$163,ROW(),SK!T$88:T$163))</f>
        <v>0</v>
      </c>
      <c r="AX70" s="43"/>
      <c r="AY70" s="440" t="str">
        <f t="shared" ref="AY70:AZ70" si="26">AY28</f>
        <v>167</v>
      </c>
      <c r="AZ70" s="441" t="str">
        <f t="shared" si="26"/>
        <v>Rile E Coyote</v>
      </c>
    </row>
    <row r="71" ht="39.0" customHeight="1">
      <c r="A71" s="443">
        <f>IF(Score!A71="", "",Score!A71 )</f>
        <v>22</v>
      </c>
      <c r="B71" s="444"/>
      <c r="C71" s="445" t="str">
        <f>IF(Score!B71="", "",Score!B71 )</f>
        <v>271</v>
      </c>
      <c r="D71" s="446"/>
      <c r="E71" s="446"/>
      <c r="F71" s="446"/>
      <c r="G71" s="445" t="s">
        <v>123</v>
      </c>
      <c r="H71" s="446"/>
      <c r="I71" s="446"/>
      <c r="J71" s="446"/>
      <c r="K71" s="445" t="s">
        <v>113</v>
      </c>
      <c r="L71" s="446"/>
      <c r="M71" s="446"/>
      <c r="N71" s="446"/>
      <c r="O71" s="445" t="s">
        <v>109</v>
      </c>
      <c r="P71" s="446"/>
      <c r="Q71" s="446"/>
      <c r="R71" s="446"/>
      <c r="S71" s="445" t="s">
        <v>80</v>
      </c>
      <c r="T71" s="446"/>
      <c r="U71" s="446"/>
      <c r="V71" s="447"/>
      <c r="W71" s="439">
        <f>IF(A71="","",SUMIF(SK!B$88:B$163,ROW(),SK!D$88:D$163))</f>
        <v>12</v>
      </c>
      <c r="X71" s="43"/>
      <c r="Y71" s="43"/>
      <c r="Z71" s="441"/>
      <c r="AA71" s="463">
        <f>IF(Score!T71="", "",Score!T71 )</f>
        <v>22</v>
      </c>
      <c r="AB71" s="444"/>
      <c r="AC71" s="445" t="str">
        <f>IF(Score!U71="", "",Score!U71 )</f>
        <v>101</v>
      </c>
      <c r="AD71" s="446" t="s">
        <v>288</v>
      </c>
      <c r="AE71" s="446"/>
      <c r="AF71" s="446"/>
      <c r="AG71" s="445" t="s">
        <v>95</v>
      </c>
      <c r="AH71" s="446"/>
      <c r="AI71" s="446"/>
      <c r="AJ71" s="446"/>
      <c r="AK71" s="445" t="s">
        <v>100</v>
      </c>
      <c r="AL71" s="446"/>
      <c r="AM71" s="446"/>
      <c r="AN71" s="446"/>
      <c r="AO71" s="445" t="s">
        <v>74</v>
      </c>
      <c r="AP71" s="446"/>
      <c r="AQ71" s="446"/>
      <c r="AR71" s="446"/>
      <c r="AS71" s="445" t="s">
        <v>107</v>
      </c>
      <c r="AT71" s="446"/>
      <c r="AU71" s="446"/>
      <c r="AV71" s="447"/>
      <c r="AW71" s="439">
        <f>IF(AA71="","",SUMIF(SK!R$88:R$163,ROW(),SK!T$88:T$163))</f>
        <v>0</v>
      </c>
      <c r="AX71" s="43"/>
      <c r="AY71" s="43"/>
      <c r="AZ71" s="441"/>
    </row>
    <row r="72" ht="39.0" customHeight="1">
      <c r="A72" s="448">
        <f>IF(Score!A72="", "",Score!A72 )</f>
        <v>23</v>
      </c>
      <c r="B72" s="442"/>
      <c r="C72" s="449" t="str">
        <f>IF(Score!B72="", "",Score!B72 )</f>
        <v>45</v>
      </c>
      <c r="D72" s="446"/>
      <c r="E72" s="446"/>
      <c r="F72" s="446"/>
      <c r="G72" s="449" t="s">
        <v>95</v>
      </c>
      <c r="H72" s="446" t="s">
        <v>285</v>
      </c>
      <c r="I72" s="446"/>
      <c r="J72" s="446"/>
      <c r="K72" s="449" t="s">
        <v>56</v>
      </c>
      <c r="L72" s="446"/>
      <c r="M72" s="446"/>
      <c r="N72" s="446"/>
      <c r="O72" s="449" t="s">
        <v>64</v>
      </c>
      <c r="P72" s="446"/>
      <c r="Q72" s="446"/>
      <c r="R72" s="446"/>
      <c r="S72" s="449" t="s">
        <v>119</v>
      </c>
      <c r="T72" s="446"/>
      <c r="U72" s="446"/>
      <c r="V72" s="447"/>
      <c r="W72" s="439">
        <f>IF(A72="","",SUMIF(SK!B$88:B$163,ROW(),SK!D$88:D$163))</f>
        <v>0</v>
      </c>
      <c r="X72" s="43"/>
      <c r="Y72" s="440" t="str">
        <f t="shared" ref="Y72:Z72" si="27">Y30</f>
        <v>48</v>
      </c>
      <c r="Z72" s="441" t="str">
        <f t="shared" si="27"/>
        <v>Ward</v>
      </c>
      <c r="AA72" s="461">
        <f>IF(Score!T72="", "",Score!T72 )</f>
        <v>23</v>
      </c>
      <c r="AB72" s="442"/>
      <c r="AC72" s="449" t="str">
        <f>IF(Score!U72="", "",Score!U72 )</f>
        <v>16</v>
      </c>
      <c r="AD72" s="446"/>
      <c r="AE72" s="446"/>
      <c r="AF72" s="446"/>
      <c r="AG72" s="449" t="s">
        <v>115</v>
      </c>
      <c r="AH72" s="446"/>
      <c r="AI72" s="446"/>
      <c r="AJ72" s="446"/>
      <c r="AK72" s="449" t="s">
        <v>85</v>
      </c>
      <c r="AL72" s="446"/>
      <c r="AM72" s="446"/>
      <c r="AN72" s="446"/>
      <c r="AO72" s="449" t="s">
        <v>111</v>
      </c>
      <c r="AP72" s="446"/>
      <c r="AQ72" s="446"/>
      <c r="AR72" s="446"/>
      <c r="AS72" s="449" t="s">
        <v>58</v>
      </c>
      <c r="AT72" s="446"/>
      <c r="AU72" s="446"/>
      <c r="AV72" s="447"/>
      <c r="AW72" s="439">
        <f>IF(AA72="","",SUMIF(SK!R$88:R$163,ROW(),SK!T$88:T$163))</f>
        <v>16</v>
      </c>
      <c r="AX72" s="43"/>
      <c r="AY72" s="440" t="str">
        <f t="shared" ref="AY72:AZ72" si="28">AY30</f>
        <v>602</v>
      </c>
      <c r="AZ72" s="441" t="str">
        <f t="shared" si="28"/>
        <v>Fearidum</v>
      </c>
    </row>
    <row r="73" ht="39.0" customHeight="1">
      <c r="A73" s="443" t="str">
        <f>IF(Score!A73="", "",Score!A73 )</f>
        <v/>
      </c>
      <c r="B73" s="444"/>
      <c r="C73" s="451"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565</v>
      </c>
      <c r="Z74" s="441" t="str">
        <f t="shared" si="29"/>
        <v>Melyn</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777</v>
      </c>
      <c r="AZ74" s="441" t="str">
        <f t="shared" si="30"/>
        <v>Des</v>
      </c>
    </row>
    <row r="75" ht="39.0"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50</v>
      </c>
      <c r="Z76" s="441" t="str">
        <f t="shared" si="31"/>
        <v>Gray</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88</v>
      </c>
      <c r="AZ76" s="441" t="str">
        <f t="shared" si="32"/>
        <v>diamond WEAPON</v>
      </c>
    </row>
    <row r="77" ht="39.0"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9.0"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40" t="str">
        <f t="shared" ref="Y78:Z78" si="33">Y36</f>
        <v>808</v>
      </c>
      <c r="Z78" s="441" t="str">
        <f t="shared" si="33"/>
        <v>Morganator</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54" t="str">
        <f t="shared" ref="AY78:AZ78" si="34">AY36</f>
        <v/>
      </c>
      <c r="AZ78" s="441" t="str">
        <f t="shared" si="34"/>
        <v/>
      </c>
    </row>
    <row r="79" ht="39.0"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2"/>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2"/>
      <c r="AZ79" s="441"/>
    </row>
    <row r="80" ht="39.0"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40" t="str">
        <f t="shared" ref="Y80:Z80" si="35">Y38</f>
        <v>912</v>
      </c>
      <c r="Z80" s="441" t="str">
        <f t="shared" si="35"/>
        <v>Battered Sausage</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4" t="str">
        <f t="shared" ref="AY80:AZ80" si="36">AY38</f>
        <v/>
      </c>
      <c r="AZ80" s="441" t="str">
        <f t="shared" si="36"/>
        <v/>
      </c>
    </row>
    <row r="81" ht="39.0"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2"/>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2"/>
      <c r="AZ81" s="441"/>
    </row>
    <row r="82" ht="39.0"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40" t="str">
        <f t="shared" ref="Y82:Z82" si="37">Y40</f>
        <v>93</v>
      </c>
      <c r="Z82" s="441" t="str">
        <f t="shared" si="37"/>
        <v>Sangria</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4" t="str">
        <f t="shared" ref="AY82:AZ82" si="38">AY40</f>
        <v/>
      </c>
      <c r="AZ82" s="441" t="str">
        <f t="shared" si="38"/>
        <v/>
      </c>
    </row>
    <row r="83" ht="39.0"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40" t="str">
        <f t="shared" ref="Y83:Z83" si="39">Y41</f>
        <v>999</v>
      </c>
      <c r="Z83" s="441" t="str">
        <f t="shared" si="39"/>
        <v>Angel</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4" t="str">
        <f t="shared" ref="AY83:AZ83" si="40">AY41</f>
        <v/>
      </c>
      <c r="AZ83" s="457" t="str">
        <f t="shared" si="40"/>
        <v/>
      </c>
    </row>
    <row r="84" ht="15.0" customHeight="1">
      <c r="A84" s="459" t="s">
        <v>292</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293</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Tiger Bay Brawlers / Challengers</v>
      </c>
      <c r="B1" s="204"/>
      <c r="C1" s="204"/>
      <c r="D1" s="204"/>
      <c r="E1" s="204"/>
      <c r="F1" s="204"/>
      <c r="G1" s="204"/>
      <c r="H1" s="204"/>
      <c r="I1" s="204"/>
      <c r="J1" s="205"/>
      <c r="K1" s="466" t="str">
        <f>IF(ISBLANK(IGRF!$B$12), "", IGRF!$B$12)</f>
        <v>Orange</v>
      </c>
      <c r="L1" s="151"/>
      <c r="M1" s="151"/>
      <c r="N1" s="151"/>
      <c r="O1" s="151"/>
      <c r="P1" s="467">
        <f>IF(ISBLANK(IGRF!$B$7), "", IGRF!$B$7)</f>
        <v>45220</v>
      </c>
      <c r="Q1" s="168"/>
      <c r="R1" s="168"/>
      <c r="S1" s="210"/>
      <c r="T1" s="468"/>
      <c r="U1" s="151"/>
      <c r="V1" s="151"/>
      <c r="W1" s="151"/>
      <c r="X1" s="151"/>
      <c r="Y1" s="151"/>
      <c r="Z1" s="151"/>
      <c r="AA1" s="151"/>
      <c r="AB1" s="151"/>
      <c r="AC1" s="151"/>
      <c r="AD1" s="151"/>
      <c r="AE1" s="151"/>
      <c r="AF1" s="469">
        <v>1.0</v>
      </c>
      <c r="AG1" s="8"/>
      <c r="AH1" s="8"/>
      <c r="AI1" s="9"/>
      <c r="AJ1" s="465" t="str">
        <f>Score!T1</f>
        <v>Dublin Roller Derby / The Be Grands</v>
      </c>
      <c r="AK1" s="204"/>
      <c r="AL1" s="204"/>
      <c r="AM1" s="204"/>
      <c r="AN1" s="204"/>
      <c r="AO1" s="204"/>
      <c r="AP1" s="204"/>
      <c r="AQ1" s="204"/>
      <c r="AR1" s="204"/>
      <c r="AS1" s="205"/>
      <c r="AT1" s="466" t="str">
        <f>IF(ISBLANK(IGRF!$I$12), "", IGRF!$I$12)</f>
        <v>Blue</v>
      </c>
      <c r="AU1" s="151"/>
      <c r="AV1" s="151"/>
      <c r="AW1" s="151"/>
      <c r="AX1" s="151"/>
      <c r="AY1" s="467">
        <f>P1</f>
        <v>45220</v>
      </c>
      <c r="AZ1" s="168"/>
      <c r="BA1" s="168"/>
      <c r="BB1" s="210"/>
      <c r="BC1" s="468"/>
      <c r="BD1" s="151"/>
      <c r="BE1" s="151"/>
      <c r="BF1" s="151"/>
      <c r="BG1" s="151"/>
      <c r="BH1" s="151"/>
      <c r="BI1" s="151"/>
      <c r="BJ1" s="151"/>
      <c r="BK1" s="151"/>
      <c r="BL1" s="151"/>
      <c r="BM1" s="151"/>
      <c r="BN1" s="151"/>
      <c r="BO1" s="469">
        <v>1.0</v>
      </c>
      <c r="BP1" s="8"/>
      <c r="BQ1" s="8"/>
      <c r="BR1" s="9"/>
      <c r="BS1" s="43"/>
    </row>
    <row r="2" ht="15.0" customHeight="1">
      <c r="A2" s="213"/>
      <c r="B2" s="20"/>
      <c r="C2" s="20"/>
      <c r="D2" s="20"/>
      <c r="E2" s="20"/>
      <c r="F2" s="20"/>
      <c r="G2" s="20"/>
      <c r="H2" s="20"/>
      <c r="I2" s="20"/>
      <c r="J2" s="156"/>
      <c r="K2" s="426" t="s">
        <v>200</v>
      </c>
      <c r="L2" s="20"/>
      <c r="M2" s="20"/>
      <c r="N2" s="20"/>
      <c r="O2" s="20"/>
      <c r="P2" s="470" t="s">
        <v>201</v>
      </c>
      <c r="Q2" s="39"/>
      <c r="R2" s="39"/>
      <c r="S2" s="40"/>
      <c r="T2" s="426" t="s">
        <v>294</v>
      </c>
      <c r="U2" s="20"/>
      <c r="V2" s="20"/>
      <c r="W2" s="20"/>
      <c r="X2" s="20"/>
      <c r="Y2" s="20"/>
      <c r="Z2" s="20"/>
      <c r="AA2" s="20"/>
      <c r="AB2" s="20"/>
      <c r="AC2" s="20"/>
      <c r="AD2" s="20"/>
      <c r="AE2" s="20"/>
      <c r="AF2" s="471" t="str">
        <f>IF(ISBLANK(IGRF!$L$3), "", "GAME " &amp; IGRF!$L$3)</f>
        <v>GAME 1</v>
      </c>
      <c r="AG2" s="39"/>
      <c r="AH2" s="39"/>
      <c r="AI2" s="40"/>
      <c r="AJ2" s="213"/>
      <c r="AK2" s="20"/>
      <c r="AL2" s="20"/>
      <c r="AM2" s="20"/>
      <c r="AN2" s="20"/>
      <c r="AO2" s="20"/>
      <c r="AP2" s="20"/>
      <c r="AQ2" s="20"/>
      <c r="AR2" s="20"/>
      <c r="AS2" s="156"/>
      <c r="AT2" s="424" t="s">
        <v>200</v>
      </c>
      <c r="AU2" s="71"/>
      <c r="AV2" s="71"/>
      <c r="AW2" s="71"/>
      <c r="AX2" s="71"/>
      <c r="AY2" s="472" t="s">
        <v>201</v>
      </c>
      <c r="AZ2" s="71"/>
      <c r="BA2" s="71"/>
      <c r="BB2" s="72"/>
      <c r="BC2" s="424" t="s">
        <v>294</v>
      </c>
      <c r="BD2" s="71"/>
      <c r="BE2" s="71"/>
      <c r="BF2" s="71"/>
      <c r="BG2" s="71"/>
      <c r="BH2" s="71"/>
      <c r="BI2" s="71"/>
      <c r="BJ2" s="71"/>
      <c r="BK2" s="71"/>
      <c r="BL2" s="71"/>
      <c r="BM2" s="71"/>
      <c r="BN2" s="71"/>
      <c r="BO2" s="471" t="str">
        <f>AF2</f>
        <v>GAME 1</v>
      </c>
      <c r="BP2" s="39"/>
      <c r="BQ2" s="39"/>
      <c r="BR2" s="40"/>
      <c r="BS2" s="43"/>
    </row>
    <row r="3" ht="13.5" customHeight="1">
      <c r="A3" s="428" t="s">
        <v>278</v>
      </c>
      <c r="B3" s="473" t="s">
        <v>279</v>
      </c>
      <c r="C3" s="430" t="s">
        <v>280</v>
      </c>
      <c r="D3" s="431" t="s">
        <v>281</v>
      </c>
      <c r="E3" s="45"/>
      <c r="F3" s="432"/>
      <c r="G3" s="430" t="s">
        <v>282</v>
      </c>
      <c r="H3" s="431" t="s">
        <v>281</v>
      </c>
      <c r="I3" s="45"/>
      <c r="J3" s="432"/>
      <c r="K3" s="430" t="s">
        <v>283</v>
      </c>
      <c r="L3" s="431" t="s">
        <v>281</v>
      </c>
      <c r="M3" s="45"/>
      <c r="N3" s="432"/>
      <c r="O3" s="430" t="s">
        <v>283</v>
      </c>
      <c r="P3" s="431" t="s">
        <v>281</v>
      </c>
      <c r="Q3" s="45"/>
      <c r="R3" s="432"/>
      <c r="S3" s="430" t="s">
        <v>283</v>
      </c>
      <c r="T3" s="431" t="s">
        <v>281</v>
      </c>
      <c r="U3" s="45"/>
      <c r="V3" s="432"/>
      <c r="W3" s="433"/>
      <c r="X3" s="474" t="s">
        <v>295</v>
      </c>
      <c r="Y3" s="475" t="s">
        <v>130</v>
      </c>
      <c r="Z3" s="14"/>
      <c r="AA3" s="14"/>
      <c r="AB3" s="14"/>
      <c r="AC3" s="14"/>
      <c r="AD3" s="14"/>
      <c r="AE3" s="14"/>
      <c r="AF3" s="14"/>
      <c r="AG3" s="42"/>
      <c r="AH3" s="475" t="s">
        <v>230</v>
      </c>
      <c r="AI3" s="15"/>
      <c r="AJ3" s="428" t="s">
        <v>278</v>
      </c>
      <c r="AK3" s="473" t="s">
        <v>279</v>
      </c>
      <c r="AL3" s="430" t="s">
        <v>280</v>
      </c>
      <c r="AM3" s="431" t="s">
        <v>281</v>
      </c>
      <c r="AN3" s="45"/>
      <c r="AO3" s="432"/>
      <c r="AP3" s="430" t="s">
        <v>282</v>
      </c>
      <c r="AQ3" s="431" t="s">
        <v>281</v>
      </c>
      <c r="AR3" s="45"/>
      <c r="AS3" s="432"/>
      <c r="AT3" s="430" t="s">
        <v>283</v>
      </c>
      <c r="AU3" s="431" t="s">
        <v>281</v>
      </c>
      <c r="AV3" s="45"/>
      <c r="AW3" s="432"/>
      <c r="AX3" s="430" t="s">
        <v>283</v>
      </c>
      <c r="AY3" s="431" t="s">
        <v>281</v>
      </c>
      <c r="AZ3" s="45"/>
      <c r="BA3" s="432"/>
      <c r="BB3" s="430" t="s">
        <v>283</v>
      </c>
      <c r="BC3" s="431" t="s">
        <v>281</v>
      </c>
      <c r="BD3" s="45"/>
      <c r="BE3" s="432"/>
      <c r="BF3" s="433"/>
      <c r="BG3" s="433" t="s">
        <v>295</v>
      </c>
      <c r="BH3" s="475" t="s">
        <v>130</v>
      </c>
      <c r="BI3" s="14"/>
      <c r="BJ3" s="14"/>
      <c r="BK3" s="14"/>
      <c r="BL3" s="14"/>
      <c r="BM3" s="14"/>
      <c r="BN3" s="14"/>
      <c r="BO3" s="14"/>
      <c r="BP3" s="42"/>
      <c r="BQ3" s="475" t="s">
        <v>230</v>
      </c>
      <c r="BR3" s="15"/>
      <c r="BS3" s="5"/>
    </row>
    <row r="4" ht="36.75" customHeight="1">
      <c r="A4" s="448"/>
      <c r="B4" s="476"/>
      <c r="C4" s="450"/>
      <c r="D4" s="446"/>
      <c r="E4" s="446"/>
      <c r="F4" s="446"/>
      <c r="G4" s="449"/>
      <c r="H4" s="446"/>
      <c r="I4" s="446"/>
      <c r="J4" s="446"/>
      <c r="K4" s="449"/>
      <c r="L4" s="446"/>
      <c r="M4" s="446"/>
      <c r="N4" s="446"/>
      <c r="O4" s="449"/>
      <c r="P4" s="446"/>
      <c r="Q4" s="446"/>
      <c r="R4" s="446"/>
      <c r="S4" s="449"/>
      <c r="T4" s="446"/>
      <c r="U4" s="446"/>
      <c r="V4" s="447"/>
      <c r="W4" s="43"/>
      <c r="X4" s="477" t="str">
        <f>IF(IGRF!B14="","",IGRF!B14)</f>
        <v>04</v>
      </c>
      <c r="Y4" s="478"/>
      <c r="Z4" s="479"/>
      <c r="AA4" s="480"/>
      <c r="AB4" s="480"/>
      <c r="AC4" s="480"/>
      <c r="AD4" s="481"/>
      <c r="AE4" s="482"/>
      <c r="AF4" s="483"/>
      <c r="AG4" s="484"/>
      <c r="AH4" s="485"/>
      <c r="AI4" s="486"/>
      <c r="AJ4" s="448"/>
      <c r="AK4" s="476"/>
      <c r="AL4" s="450"/>
      <c r="AM4" s="446"/>
      <c r="AN4" s="446"/>
      <c r="AO4" s="446"/>
      <c r="AP4" s="449"/>
      <c r="AQ4" s="446"/>
      <c r="AR4" s="446"/>
      <c r="AS4" s="446"/>
      <c r="AT4" s="449"/>
      <c r="AU4" s="446"/>
      <c r="AV4" s="446"/>
      <c r="AW4" s="446"/>
      <c r="AX4" s="449"/>
      <c r="AY4" s="446"/>
      <c r="AZ4" s="446"/>
      <c r="BA4" s="446"/>
      <c r="BB4" s="449"/>
      <c r="BC4" s="446"/>
      <c r="BD4" s="446"/>
      <c r="BE4" s="447"/>
      <c r="BF4" s="43"/>
      <c r="BG4" s="477" t="str">
        <f>IF(IGRF!I14="","",IGRF!I14)</f>
        <v>040</v>
      </c>
      <c r="BH4" s="478"/>
      <c r="BI4" s="479"/>
      <c r="BJ4" s="480"/>
      <c r="BK4" s="480"/>
      <c r="BL4" s="480"/>
      <c r="BM4" s="481"/>
      <c r="BN4" s="482"/>
      <c r="BO4" s="483"/>
      <c r="BP4" s="484"/>
      <c r="BQ4" s="485"/>
      <c r="BR4" s="486"/>
      <c r="BS4" s="43"/>
    </row>
    <row r="5" ht="36.75" customHeight="1">
      <c r="A5" s="443"/>
      <c r="B5" s="487"/>
      <c r="C5" s="451"/>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1"/>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0"/>
      <c r="D6" s="446"/>
      <c r="E6" s="446"/>
      <c r="F6" s="446"/>
      <c r="G6" s="449"/>
      <c r="H6" s="446"/>
      <c r="I6" s="446"/>
      <c r="J6" s="446"/>
      <c r="K6" s="449"/>
      <c r="L6" s="446"/>
      <c r="M6" s="446"/>
      <c r="N6" s="446"/>
      <c r="O6" s="449"/>
      <c r="P6" s="446"/>
      <c r="Q6" s="446"/>
      <c r="R6" s="446"/>
      <c r="S6" s="449"/>
      <c r="T6" s="446"/>
      <c r="U6" s="446"/>
      <c r="V6" s="447"/>
      <c r="W6" s="43"/>
      <c r="X6" s="498" t="str">
        <f>IF(IGRF!B15="","",IGRF!B15)</f>
        <v>16</v>
      </c>
      <c r="Y6" s="499"/>
      <c r="Z6" s="500"/>
      <c r="AA6" s="501"/>
      <c r="AB6" s="501"/>
      <c r="AC6" s="501"/>
      <c r="AD6" s="502"/>
      <c r="AE6" s="503"/>
      <c r="AF6" s="504"/>
      <c r="AG6" s="505"/>
      <c r="AH6" s="506"/>
      <c r="AI6" s="486"/>
      <c r="AJ6" s="448"/>
      <c r="AK6" s="476"/>
      <c r="AL6" s="450"/>
      <c r="AM6" s="446"/>
      <c r="AN6" s="446"/>
      <c r="AO6" s="446"/>
      <c r="AP6" s="449"/>
      <c r="AQ6" s="446"/>
      <c r="AR6" s="446"/>
      <c r="AS6" s="446"/>
      <c r="AT6" s="449"/>
      <c r="AU6" s="446"/>
      <c r="AV6" s="446"/>
      <c r="AW6" s="446"/>
      <c r="AX6" s="449"/>
      <c r="AY6" s="446"/>
      <c r="AZ6" s="446"/>
      <c r="BA6" s="446"/>
      <c r="BB6" s="449"/>
      <c r="BC6" s="446"/>
      <c r="BD6" s="446"/>
      <c r="BE6" s="447"/>
      <c r="BF6" s="43"/>
      <c r="BG6" s="498" t="str">
        <f>IF(IGRF!I15="","",IGRF!I15)</f>
        <v>101</v>
      </c>
      <c r="BH6" s="499"/>
      <c r="BI6" s="500"/>
      <c r="BJ6" s="501"/>
      <c r="BK6" s="501"/>
      <c r="BL6" s="501"/>
      <c r="BM6" s="502"/>
      <c r="BN6" s="503"/>
      <c r="BO6" s="504"/>
      <c r="BP6" s="505"/>
      <c r="BQ6" s="506"/>
      <c r="BR6" s="486"/>
      <c r="BS6" s="43"/>
    </row>
    <row r="7" ht="36.75" customHeight="1">
      <c r="A7" s="443"/>
      <c r="B7" s="487"/>
      <c r="C7" s="451"/>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1"/>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0"/>
      <c r="D8" s="446"/>
      <c r="E8" s="446"/>
      <c r="F8" s="446"/>
      <c r="G8" s="449"/>
      <c r="H8" s="446"/>
      <c r="I8" s="446"/>
      <c r="J8" s="446"/>
      <c r="K8" s="449"/>
      <c r="L8" s="446"/>
      <c r="M8" s="446"/>
      <c r="N8" s="446"/>
      <c r="O8" s="449"/>
      <c r="P8" s="446"/>
      <c r="Q8" s="446"/>
      <c r="R8" s="446"/>
      <c r="S8" s="449"/>
      <c r="T8" s="446"/>
      <c r="U8" s="446"/>
      <c r="V8" s="447"/>
      <c r="W8" s="43"/>
      <c r="X8" s="477" t="str">
        <f>IF(IGRF!B16="","",IGRF!B16)</f>
        <v>177</v>
      </c>
      <c r="Y8" s="478"/>
      <c r="Z8" s="479"/>
      <c r="AA8" s="480"/>
      <c r="AB8" s="480"/>
      <c r="AC8" s="480"/>
      <c r="AD8" s="481"/>
      <c r="AE8" s="482"/>
      <c r="AF8" s="483"/>
      <c r="AG8" s="484"/>
      <c r="AH8" s="506"/>
      <c r="AI8" s="486"/>
      <c r="AJ8" s="448"/>
      <c r="AK8" s="476"/>
      <c r="AL8" s="450"/>
      <c r="AM8" s="446"/>
      <c r="AN8" s="446"/>
      <c r="AO8" s="446"/>
      <c r="AP8" s="449"/>
      <c r="AQ8" s="446"/>
      <c r="AR8" s="446"/>
      <c r="AS8" s="446"/>
      <c r="AT8" s="449"/>
      <c r="AU8" s="446"/>
      <c r="AV8" s="446"/>
      <c r="AW8" s="446"/>
      <c r="AX8" s="449"/>
      <c r="AY8" s="446"/>
      <c r="AZ8" s="446"/>
      <c r="BA8" s="446"/>
      <c r="BB8" s="449"/>
      <c r="BC8" s="446"/>
      <c r="BD8" s="446"/>
      <c r="BE8" s="447"/>
      <c r="BF8" s="43"/>
      <c r="BG8" s="477" t="str">
        <f>IF(IGRF!I16="","",IGRF!I16)</f>
        <v>11</v>
      </c>
      <c r="BH8" s="478"/>
      <c r="BI8" s="479"/>
      <c r="BJ8" s="480"/>
      <c r="BK8" s="480"/>
      <c r="BL8" s="480"/>
      <c r="BM8" s="481"/>
      <c r="BN8" s="482"/>
      <c r="BO8" s="483"/>
      <c r="BP8" s="484"/>
      <c r="BQ8" s="506"/>
      <c r="BR8" s="486"/>
      <c r="BS8" s="43"/>
    </row>
    <row r="9" ht="36.75" customHeight="1">
      <c r="A9" s="443"/>
      <c r="B9" s="487"/>
      <c r="C9" s="451"/>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1"/>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0"/>
      <c r="D10" s="446"/>
      <c r="E10" s="446"/>
      <c r="F10" s="446"/>
      <c r="G10" s="449"/>
      <c r="H10" s="446"/>
      <c r="I10" s="446"/>
      <c r="J10" s="446"/>
      <c r="K10" s="449"/>
      <c r="L10" s="446"/>
      <c r="M10" s="446"/>
      <c r="N10" s="446"/>
      <c r="O10" s="449"/>
      <c r="P10" s="446"/>
      <c r="Q10" s="446"/>
      <c r="R10" s="446"/>
      <c r="S10" s="449"/>
      <c r="T10" s="446"/>
      <c r="U10" s="446"/>
      <c r="V10" s="447"/>
      <c r="W10" s="43"/>
      <c r="X10" s="498" t="str">
        <f>IF(IGRF!B17="","",IGRF!B17)</f>
        <v>215</v>
      </c>
      <c r="Y10" s="499"/>
      <c r="Z10" s="500"/>
      <c r="AA10" s="501"/>
      <c r="AB10" s="501"/>
      <c r="AC10" s="501"/>
      <c r="AD10" s="502"/>
      <c r="AE10" s="503"/>
      <c r="AF10" s="504"/>
      <c r="AG10" s="505"/>
      <c r="AH10" s="506"/>
      <c r="AI10" s="486"/>
      <c r="AJ10" s="448"/>
      <c r="AK10" s="476"/>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33</v>
      </c>
      <c r="BH10" s="499"/>
      <c r="BI10" s="500"/>
      <c r="BJ10" s="501"/>
      <c r="BK10" s="501"/>
      <c r="BL10" s="501"/>
      <c r="BM10" s="502"/>
      <c r="BN10" s="503"/>
      <c r="BO10" s="504"/>
      <c r="BP10" s="505"/>
      <c r="BQ10" s="506"/>
      <c r="BR10" s="486"/>
      <c r="BS10" s="43"/>
    </row>
    <row r="11" ht="36.75" customHeight="1">
      <c r="A11" s="443"/>
      <c r="B11" s="487"/>
      <c r="C11" s="451"/>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0"/>
      <c r="D12" s="446"/>
      <c r="E12" s="446"/>
      <c r="F12" s="446"/>
      <c r="G12" s="449"/>
      <c r="H12" s="446"/>
      <c r="I12" s="446"/>
      <c r="J12" s="446"/>
      <c r="K12" s="449"/>
      <c r="L12" s="446"/>
      <c r="M12" s="446"/>
      <c r="N12" s="446"/>
      <c r="O12" s="449"/>
      <c r="P12" s="446"/>
      <c r="Q12" s="446"/>
      <c r="R12" s="446"/>
      <c r="S12" s="449"/>
      <c r="T12" s="446"/>
      <c r="U12" s="446"/>
      <c r="V12" s="447"/>
      <c r="W12" s="43"/>
      <c r="X12" s="477" t="str">
        <f>IF(IGRF!B18="","",IGRF!B18)</f>
        <v>27</v>
      </c>
      <c r="Y12" s="478"/>
      <c r="Z12" s="479"/>
      <c r="AA12" s="480"/>
      <c r="AB12" s="480"/>
      <c r="AC12" s="480"/>
      <c r="AD12" s="481"/>
      <c r="AE12" s="482"/>
      <c r="AF12" s="483"/>
      <c r="AG12" s="484"/>
      <c r="AH12" s="506"/>
      <c r="AI12" s="486"/>
      <c r="AJ12" s="448"/>
      <c r="AK12" s="476"/>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1337</v>
      </c>
      <c r="BH12" s="478"/>
      <c r="BI12" s="479"/>
      <c r="BJ12" s="480"/>
      <c r="BK12" s="480"/>
      <c r="BL12" s="480"/>
      <c r="BM12" s="481"/>
      <c r="BN12" s="482"/>
      <c r="BO12" s="483"/>
      <c r="BP12" s="484"/>
      <c r="BQ12" s="506"/>
      <c r="BR12" s="486"/>
      <c r="BS12" s="43"/>
    </row>
    <row r="13" ht="36.75" customHeight="1">
      <c r="A13" s="443"/>
      <c r="B13" s="487"/>
      <c r="C13" s="451"/>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0"/>
      <c r="D14" s="446"/>
      <c r="E14" s="446"/>
      <c r="F14" s="446"/>
      <c r="G14" s="449"/>
      <c r="H14" s="446"/>
      <c r="I14" s="446"/>
      <c r="J14" s="446"/>
      <c r="K14" s="449"/>
      <c r="L14" s="446"/>
      <c r="M14" s="446"/>
      <c r="N14" s="446"/>
      <c r="O14" s="449"/>
      <c r="P14" s="446"/>
      <c r="Q14" s="446"/>
      <c r="R14" s="446"/>
      <c r="S14" s="449"/>
      <c r="T14" s="446"/>
      <c r="U14" s="446"/>
      <c r="V14" s="447"/>
      <c r="W14" s="43"/>
      <c r="X14" s="498" t="str">
        <f>IF(IGRF!B19="","",IGRF!B19)</f>
        <v>271</v>
      </c>
      <c r="Y14" s="499"/>
      <c r="Z14" s="500"/>
      <c r="AA14" s="501"/>
      <c r="AB14" s="501"/>
      <c r="AC14" s="501"/>
      <c r="AD14" s="502"/>
      <c r="AE14" s="503"/>
      <c r="AF14" s="504"/>
      <c r="AG14" s="505"/>
      <c r="AH14" s="506"/>
      <c r="AI14" s="486"/>
      <c r="AJ14" s="448"/>
      <c r="AK14" s="476"/>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150</v>
      </c>
      <c r="BH14" s="499"/>
      <c r="BI14" s="500"/>
      <c r="BJ14" s="501"/>
      <c r="BK14" s="501"/>
      <c r="BL14" s="501"/>
      <c r="BM14" s="502"/>
      <c r="BN14" s="503"/>
      <c r="BO14" s="504"/>
      <c r="BP14" s="505"/>
      <c r="BQ14" s="506"/>
      <c r="BR14" s="486"/>
      <c r="BS14" s="43"/>
    </row>
    <row r="15" ht="36.75" customHeight="1">
      <c r="A15" s="443"/>
      <c r="B15" s="487"/>
      <c r="C15" s="451"/>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0"/>
      <c r="D16" s="446"/>
      <c r="E16" s="446"/>
      <c r="F16" s="446"/>
      <c r="G16" s="449"/>
      <c r="H16" s="446"/>
      <c r="I16" s="446"/>
      <c r="J16" s="446"/>
      <c r="K16" s="449"/>
      <c r="L16" s="446"/>
      <c r="M16" s="446"/>
      <c r="N16" s="446"/>
      <c r="O16" s="449"/>
      <c r="P16" s="446"/>
      <c r="Q16" s="446"/>
      <c r="R16" s="446"/>
      <c r="S16" s="449"/>
      <c r="T16" s="446"/>
      <c r="U16" s="446"/>
      <c r="V16" s="447"/>
      <c r="W16" s="43"/>
      <c r="X16" s="477" t="str">
        <f>IF(IGRF!B20="","",IGRF!B20)</f>
        <v>220</v>
      </c>
      <c r="Y16" s="478"/>
      <c r="Z16" s="479"/>
      <c r="AA16" s="480"/>
      <c r="AB16" s="480"/>
      <c r="AC16" s="480"/>
      <c r="AD16" s="481"/>
      <c r="AE16" s="482"/>
      <c r="AF16" s="483"/>
      <c r="AG16" s="484"/>
      <c r="AH16" s="506"/>
      <c r="AI16" s="486"/>
      <c r="AJ16" s="448"/>
      <c r="AK16" s="476"/>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16</v>
      </c>
      <c r="BH16" s="478"/>
      <c r="BI16" s="479"/>
      <c r="BJ16" s="480"/>
      <c r="BK16" s="480"/>
      <c r="BL16" s="480"/>
      <c r="BM16" s="481"/>
      <c r="BN16" s="482"/>
      <c r="BO16" s="483"/>
      <c r="BP16" s="484"/>
      <c r="BQ16" s="506"/>
      <c r="BR16" s="486"/>
      <c r="BS16" s="43"/>
    </row>
    <row r="17" ht="36.75" customHeight="1">
      <c r="A17" s="443"/>
      <c r="B17" s="487"/>
      <c r="C17" s="451"/>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0"/>
      <c r="D18" s="446"/>
      <c r="E18" s="446"/>
      <c r="F18" s="446"/>
      <c r="G18" s="449"/>
      <c r="H18" s="446"/>
      <c r="I18" s="446"/>
      <c r="J18" s="446"/>
      <c r="K18" s="449"/>
      <c r="L18" s="446"/>
      <c r="M18" s="446"/>
      <c r="N18" s="446"/>
      <c r="O18" s="449"/>
      <c r="P18" s="446"/>
      <c r="Q18" s="446"/>
      <c r="R18" s="446"/>
      <c r="S18" s="449"/>
      <c r="T18" s="446"/>
      <c r="U18" s="446"/>
      <c r="V18" s="447"/>
      <c r="W18" s="43"/>
      <c r="X18" s="498" t="str">
        <f>IF(IGRF!B21="","",IGRF!B21)</f>
        <v>3556</v>
      </c>
      <c r="Y18" s="499"/>
      <c r="Z18" s="500"/>
      <c r="AA18" s="501"/>
      <c r="AB18" s="501"/>
      <c r="AC18" s="501"/>
      <c r="AD18" s="502"/>
      <c r="AE18" s="503"/>
      <c r="AF18" s="504"/>
      <c r="AG18" s="505"/>
      <c r="AH18" s="506"/>
      <c r="AI18" s="486"/>
      <c r="AJ18" s="448"/>
      <c r="AK18" s="476"/>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3110</v>
      </c>
      <c r="BH18" s="499"/>
      <c r="BI18" s="500"/>
      <c r="BJ18" s="501"/>
      <c r="BK18" s="501"/>
      <c r="BL18" s="501"/>
      <c r="BM18" s="502"/>
      <c r="BN18" s="503"/>
      <c r="BO18" s="504"/>
      <c r="BP18" s="505"/>
      <c r="BQ18" s="506"/>
      <c r="BR18" s="486"/>
      <c r="BS18" s="43"/>
    </row>
    <row r="19" ht="36.75" customHeight="1">
      <c r="A19" s="443"/>
      <c r="B19" s="487"/>
      <c r="C19" s="451"/>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0"/>
      <c r="D20" s="446"/>
      <c r="E20" s="446"/>
      <c r="F20" s="446"/>
      <c r="G20" s="449"/>
      <c r="H20" s="446"/>
      <c r="I20" s="446"/>
      <c r="J20" s="446"/>
      <c r="K20" s="449"/>
      <c r="L20" s="446"/>
      <c r="M20" s="446"/>
      <c r="N20" s="446"/>
      <c r="O20" s="449"/>
      <c r="P20" s="446"/>
      <c r="Q20" s="446"/>
      <c r="R20" s="446"/>
      <c r="S20" s="449"/>
      <c r="T20" s="446"/>
      <c r="U20" s="446"/>
      <c r="V20" s="447"/>
      <c r="W20" s="43"/>
      <c r="X20" s="477" t="str">
        <f>IF(IGRF!B22="","",IGRF!B22)</f>
        <v>360</v>
      </c>
      <c r="Y20" s="478"/>
      <c r="Z20" s="479"/>
      <c r="AA20" s="480"/>
      <c r="AB20" s="480"/>
      <c r="AC20" s="480"/>
      <c r="AD20" s="481"/>
      <c r="AE20" s="482"/>
      <c r="AF20" s="483"/>
      <c r="AG20" s="484"/>
      <c r="AH20" s="506"/>
      <c r="AI20" s="486"/>
      <c r="AJ20" s="448"/>
      <c r="AK20" s="476"/>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333</v>
      </c>
      <c r="BH20" s="478"/>
      <c r="BI20" s="479"/>
      <c r="BJ20" s="480"/>
      <c r="BK20" s="480"/>
      <c r="BL20" s="480"/>
      <c r="BM20" s="481"/>
      <c r="BN20" s="482"/>
      <c r="BO20" s="483"/>
      <c r="BP20" s="484"/>
      <c r="BQ20" s="506"/>
      <c r="BR20" s="486"/>
      <c r="BS20" s="43"/>
    </row>
    <row r="21" ht="36.75" customHeight="1">
      <c r="A21" s="443"/>
      <c r="B21" s="487"/>
      <c r="C21" s="451"/>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0"/>
      <c r="D22" s="446"/>
      <c r="E22" s="446"/>
      <c r="F22" s="446"/>
      <c r="G22" s="449"/>
      <c r="H22" s="446"/>
      <c r="I22" s="446"/>
      <c r="J22" s="446"/>
      <c r="K22" s="449"/>
      <c r="L22" s="446"/>
      <c r="M22" s="446"/>
      <c r="N22" s="446"/>
      <c r="O22" s="449"/>
      <c r="P22" s="446"/>
      <c r="Q22" s="446"/>
      <c r="R22" s="446"/>
      <c r="S22" s="449"/>
      <c r="T22" s="446"/>
      <c r="U22" s="446"/>
      <c r="V22" s="447"/>
      <c r="W22" s="43"/>
      <c r="X22" s="498" t="str">
        <f>IF(IGRF!B23="","",IGRF!B23)</f>
        <v>40</v>
      </c>
      <c r="Y22" s="499"/>
      <c r="Z22" s="500"/>
      <c r="AA22" s="501"/>
      <c r="AB22" s="501"/>
      <c r="AC22" s="501"/>
      <c r="AD22" s="502"/>
      <c r="AE22" s="503"/>
      <c r="AF22" s="504"/>
      <c r="AG22" s="505"/>
      <c r="AH22" s="506"/>
      <c r="AI22" s="486"/>
      <c r="AJ22" s="448"/>
      <c r="AK22" s="476"/>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4</v>
      </c>
      <c r="BH22" s="499"/>
      <c r="BI22" s="500"/>
      <c r="BJ22" s="501"/>
      <c r="BK22" s="501"/>
      <c r="BL22" s="501"/>
      <c r="BM22" s="502"/>
      <c r="BN22" s="503"/>
      <c r="BO22" s="504"/>
      <c r="BP22" s="505"/>
      <c r="BQ22" s="506"/>
      <c r="BR22" s="486"/>
      <c r="BS22" s="43"/>
    </row>
    <row r="23" ht="36.75" customHeight="1">
      <c r="A23" s="443"/>
      <c r="B23" s="487"/>
      <c r="C23" s="451"/>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0"/>
      <c r="D24" s="446"/>
      <c r="E24" s="446"/>
      <c r="F24" s="446"/>
      <c r="G24" s="449"/>
      <c r="H24" s="446"/>
      <c r="I24" s="446"/>
      <c r="J24" s="446"/>
      <c r="K24" s="449"/>
      <c r="L24" s="446"/>
      <c r="M24" s="446"/>
      <c r="N24" s="446"/>
      <c r="O24" s="449"/>
      <c r="P24" s="446"/>
      <c r="Q24" s="446"/>
      <c r="R24" s="446"/>
      <c r="S24" s="449"/>
      <c r="T24" s="446"/>
      <c r="U24" s="446"/>
      <c r="V24" s="447"/>
      <c r="W24" s="43"/>
      <c r="X24" s="477" t="str">
        <f>IF(IGRF!B24="","",IGRF!B24)</f>
        <v>42</v>
      </c>
      <c r="Y24" s="478"/>
      <c r="Z24" s="479"/>
      <c r="AA24" s="480"/>
      <c r="AB24" s="480"/>
      <c r="AC24" s="480"/>
      <c r="AD24" s="481"/>
      <c r="AE24" s="482"/>
      <c r="AF24" s="483"/>
      <c r="AG24" s="484"/>
      <c r="AH24" s="506"/>
      <c r="AI24" s="486"/>
      <c r="AJ24" s="448"/>
      <c r="AK24" s="476"/>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42</v>
      </c>
      <c r="BH24" s="478"/>
      <c r="BI24" s="479"/>
      <c r="BJ24" s="480"/>
      <c r="BK24" s="480"/>
      <c r="BL24" s="480"/>
      <c r="BM24" s="481"/>
      <c r="BN24" s="482"/>
      <c r="BO24" s="483"/>
      <c r="BP24" s="484"/>
      <c r="BQ24" s="506"/>
      <c r="BR24" s="486"/>
      <c r="BS24" s="43"/>
    </row>
    <row r="25" ht="36.75" customHeight="1">
      <c r="A25" s="443"/>
      <c r="B25" s="487"/>
      <c r="C25" s="451"/>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0"/>
      <c r="D26" s="446"/>
      <c r="E26" s="446"/>
      <c r="F26" s="446"/>
      <c r="G26" s="449"/>
      <c r="H26" s="446"/>
      <c r="I26" s="446"/>
      <c r="J26" s="446"/>
      <c r="K26" s="449"/>
      <c r="L26" s="446"/>
      <c r="M26" s="446"/>
      <c r="N26" s="446"/>
      <c r="O26" s="449"/>
      <c r="P26" s="446"/>
      <c r="Q26" s="446"/>
      <c r="R26" s="446"/>
      <c r="S26" s="449"/>
      <c r="T26" s="446"/>
      <c r="U26" s="446"/>
      <c r="V26" s="447"/>
      <c r="W26" s="43"/>
      <c r="X26" s="498" t="str">
        <f>IF(IGRF!B25="","",IGRF!B25)</f>
        <v>44</v>
      </c>
      <c r="Y26" s="499"/>
      <c r="Z26" s="500"/>
      <c r="AA26" s="501"/>
      <c r="AB26" s="501"/>
      <c r="AC26" s="501"/>
      <c r="AD26" s="502"/>
      <c r="AE26" s="503"/>
      <c r="AF26" s="504"/>
      <c r="AG26" s="505"/>
      <c r="AH26" s="506"/>
      <c r="AI26" s="486"/>
      <c r="AJ26" s="448"/>
      <c r="AK26" s="476"/>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48</v>
      </c>
      <c r="BH26" s="499"/>
      <c r="BI26" s="500"/>
      <c r="BJ26" s="501"/>
      <c r="BK26" s="501"/>
      <c r="BL26" s="501"/>
      <c r="BM26" s="502"/>
      <c r="BN26" s="503"/>
      <c r="BO26" s="504"/>
      <c r="BP26" s="505"/>
      <c r="BQ26" s="506"/>
      <c r="BR26" s="486"/>
      <c r="BS26" s="43"/>
    </row>
    <row r="27" ht="36.75" customHeight="1">
      <c r="A27" s="443"/>
      <c r="B27" s="487"/>
      <c r="C27" s="451"/>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0"/>
      <c r="D28" s="446"/>
      <c r="E28" s="446"/>
      <c r="F28" s="446"/>
      <c r="G28" s="449"/>
      <c r="H28" s="446"/>
      <c r="I28" s="446"/>
      <c r="J28" s="446"/>
      <c r="K28" s="449"/>
      <c r="L28" s="446"/>
      <c r="M28" s="446"/>
      <c r="N28" s="446"/>
      <c r="O28" s="449"/>
      <c r="P28" s="446"/>
      <c r="Q28" s="446"/>
      <c r="R28" s="446"/>
      <c r="S28" s="449"/>
      <c r="T28" s="446"/>
      <c r="U28" s="446"/>
      <c r="V28" s="447"/>
      <c r="W28" s="43"/>
      <c r="X28" s="477" t="str">
        <f>IF(IGRF!B26="","",IGRF!B26)</f>
        <v>45</v>
      </c>
      <c r="Y28" s="478"/>
      <c r="Z28" s="479"/>
      <c r="AA28" s="480"/>
      <c r="AB28" s="480"/>
      <c r="AC28" s="480"/>
      <c r="AD28" s="481"/>
      <c r="AE28" s="482"/>
      <c r="AF28" s="483"/>
      <c r="AG28" s="484"/>
      <c r="AH28" s="506"/>
      <c r="AI28" s="486"/>
      <c r="AJ28" s="448"/>
      <c r="AK28" s="476"/>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167</v>
      </c>
      <c r="BH28" s="478"/>
      <c r="BI28" s="479"/>
      <c r="BJ28" s="480"/>
      <c r="BK28" s="480"/>
      <c r="BL28" s="480"/>
      <c r="BM28" s="481"/>
      <c r="BN28" s="482"/>
      <c r="BO28" s="483"/>
      <c r="BP28" s="484"/>
      <c r="BQ28" s="506"/>
      <c r="BR28" s="486"/>
      <c r="BS28" s="43"/>
    </row>
    <row r="29" ht="36.75" customHeight="1">
      <c r="A29" s="443"/>
      <c r="B29" s="487"/>
      <c r="C29" s="451"/>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0"/>
      <c r="D30" s="446"/>
      <c r="E30" s="446"/>
      <c r="F30" s="446"/>
      <c r="G30" s="449"/>
      <c r="H30" s="446"/>
      <c r="I30" s="446"/>
      <c r="J30" s="446"/>
      <c r="K30" s="449"/>
      <c r="L30" s="446"/>
      <c r="M30" s="446"/>
      <c r="N30" s="446"/>
      <c r="O30" s="449"/>
      <c r="P30" s="446"/>
      <c r="Q30" s="446"/>
      <c r="R30" s="446"/>
      <c r="S30" s="449"/>
      <c r="T30" s="446"/>
      <c r="U30" s="446"/>
      <c r="V30" s="447"/>
      <c r="W30" s="43"/>
      <c r="X30" s="498" t="str">
        <f>IF(IGRF!B27="","",IGRF!B27)</f>
        <v>48</v>
      </c>
      <c r="Y30" s="499"/>
      <c r="Z30" s="500"/>
      <c r="AA30" s="501"/>
      <c r="AB30" s="501"/>
      <c r="AC30" s="501"/>
      <c r="AD30" s="502"/>
      <c r="AE30" s="503"/>
      <c r="AF30" s="504"/>
      <c r="AG30" s="505"/>
      <c r="AH30" s="506"/>
      <c r="AI30" s="486"/>
      <c r="AJ30" s="448"/>
      <c r="AK30" s="476"/>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602</v>
      </c>
      <c r="BH30" s="499"/>
      <c r="BI30" s="500"/>
      <c r="BJ30" s="501"/>
      <c r="BK30" s="501"/>
      <c r="BL30" s="501"/>
      <c r="BM30" s="502"/>
      <c r="BN30" s="503"/>
      <c r="BO30" s="504"/>
      <c r="BP30" s="505"/>
      <c r="BQ30" s="506"/>
      <c r="BR30" s="486"/>
      <c r="BS30" s="43"/>
    </row>
    <row r="31" ht="36.75" customHeight="1">
      <c r="A31" s="443"/>
      <c r="B31" s="487"/>
      <c r="C31" s="451"/>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0"/>
      <c r="D32" s="446"/>
      <c r="E32" s="446"/>
      <c r="F32" s="446"/>
      <c r="G32" s="449"/>
      <c r="H32" s="446"/>
      <c r="I32" s="446"/>
      <c r="J32" s="446"/>
      <c r="K32" s="449"/>
      <c r="L32" s="446"/>
      <c r="M32" s="446"/>
      <c r="N32" s="446"/>
      <c r="O32" s="449"/>
      <c r="P32" s="446"/>
      <c r="Q32" s="446"/>
      <c r="R32" s="446"/>
      <c r="S32" s="449"/>
      <c r="T32" s="446"/>
      <c r="U32" s="446"/>
      <c r="V32" s="447"/>
      <c r="W32" s="43"/>
      <c r="X32" s="477" t="str">
        <f>IF(IGRF!B28="","",IGRF!B28)</f>
        <v>565</v>
      </c>
      <c r="Y32" s="478"/>
      <c r="Z32" s="479"/>
      <c r="AA32" s="480"/>
      <c r="AB32" s="480"/>
      <c r="AC32" s="480"/>
      <c r="AD32" s="481"/>
      <c r="AE32" s="482"/>
      <c r="AF32" s="483"/>
      <c r="AG32" s="484"/>
      <c r="AH32" s="506"/>
      <c r="AI32" s="486"/>
      <c r="AJ32" s="448"/>
      <c r="AK32" s="476"/>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777</v>
      </c>
      <c r="BH32" s="478"/>
      <c r="BI32" s="479"/>
      <c r="BJ32" s="480"/>
      <c r="BK32" s="480"/>
      <c r="BL32" s="480"/>
      <c r="BM32" s="481"/>
      <c r="BN32" s="482"/>
      <c r="BO32" s="483"/>
      <c r="BP32" s="484"/>
      <c r="BQ32" s="506"/>
      <c r="BR32" s="486"/>
      <c r="BS32" s="43"/>
    </row>
    <row r="33" ht="36.75" customHeight="1">
      <c r="A33" s="443"/>
      <c r="B33" s="487"/>
      <c r="C33" s="451"/>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0"/>
      <c r="D34" s="446"/>
      <c r="E34" s="446"/>
      <c r="F34" s="446"/>
      <c r="G34" s="449"/>
      <c r="H34" s="446"/>
      <c r="I34" s="446"/>
      <c r="J34" s="446"/>
      <c r="K34" s="449"/>
      <c r="L34" s="446"/>
      <c r="M34" s="446"/>
      <c r="N34" s="446"/>
      <c r="O34" s="449"/>
      <c r="P34" s="446"/>
      <c r="Q34" s="446"/>
      <c r="R34" s="446"/>
      <c r="S34" s="449"/>
      <c r="T34" s="446"/>
      <c r="U34" s="446"/>
      <c r="V34" s="447"/>
      <c r="W34" s="43"/>
      <c r="X34" s="498" t="str">
        <f>IF(IGRF!B29="","",IGRF!B29)</f>
        <v>50</v>
      </c>
      <c r="Y34" s="499"/>
      <c r="Z34" s="500"/>
      <c r="AA34" s="501"/>
      <c r="AB34" s="501"/>
      <c r="AC34" s="501"/>
      <c r="AD34" s="502"/>
      <c r="AE34" s="503"/>
      <c r="AF34" s="504"/>
      <c r="AG34" s="505"/>
      <c r="AH34" s="506"/>
      <c r="AI34" s="486"/>
      <c r="AJ34" s="448"/>
      <c r="AK34" s="476"/>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88</v>
      </c>
      <c r="BH34" s="499"/>
      <c r="BI34" s="500"/>
      <c r="BJ34" s="501"/>
      <c r="BK34" s="501"/>
      <c r="BL34" s="501"/>
      <c r="BM34" s="502"/>
      <c r="BN34" s="503"/>
      <c r="BO34" s="504"/>
      <c r="BP34" s="505"/>
      <c r="BQ34" s="506"/>
      <c r="BR34" s="486"/>
      <c r="BS34" s="43"/>
    </row>
    <row r="35" ht="36.75" customHeight="1">
      <c r="A35" s="443"/>
      <c r="B35" s="487"/>
      <c r="C35" s="451"/>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0"/>
      <c r="D36" s="446"/>
      <c r="E36" s="446"/>
      <c r="F36" s="446"/>
      <c r="G36" s="449"/>
      <c r="H36" s="446"/>
      <c r="I36" s="446"/>
      <c r="J36" s="446"/>
      <c r="K36" s="449"/>
      <c r="L36" s="446"/>
      <c r="M36" s="446"/>
      <c r="N36" s="446"/>
      <c r="O36" s="449"/>
      <c r="P36" s="446"/>
      <c r="Q36" s="446"/>
      <c r="R36" s="446"/>
      <c r="S36" s="449"/>
      <c r="T36" s="446"/>
      <c r="U36" s="446"/>
      <c r="V36" s="447"/>
      <c r="W36" s="43"/>
      <c r="X36" s="477" t="str">
        <f>IF(IGRF!B30="","",IGRF!B30)</f>
        <v>808</v>
      </c>
      <c r="Y36" s="478"/>
      <c r="Z36" s="479"/>
      <c r="AA36" s="480"/>
      <c r="AB36" s="480"/>
      <c r="AC36" s="480"/>
      <c r="AD36" s="481"/>
      <c r="AE36" s="482"/>
      <c r="AF36" s="483"/>
      <c r="AG36" s="484"/>
      <c r="AH36" s="506"/>
      <c r="AI36" s="486"/>
      <c r="AJ36" s="448"/>
      <c r="AK36" s="476"/>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4" t="str">
        <f>IF(IGRF!I30="","",IGRF!I30)</f>
        <v/>
      </c>
      <c r="BH36" s="478"/>
      <c r="BI36" s="479"/>
      <c r="BJ36" s="480"/>
      <c r="BK36" s="480"/>
      <c r="BL36" s="480"/>
      <c r="BM36" s="481"/>
      <c r="BN36" s="482"/>
      <c r="BO36" s="483"/>
      <c r="BP36" s="484"/>
      <c r="BQ36" s="506"/>
      <c r="BR36" s="486"/>
      <c r="BS36" s="43"/>
    </row>
    <row r="37" ht="36.75" customHeight="1">
      <c r="A37" s="443"/>
      <c r="B37" s="487"/>
      <c r="C37" s="451"/>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0"/>
      <c r="D38" s="446"/>
      <c r="E38" s="446"/>
      <c r="F38" s="446"/>
      <c r="G38" s="449"/>
      <c r="H38" s="446"/>
      <c r="I38" s="446"/>
      <c r="J38" s="446"/>
      <c r="K38" s="449"/>
      <c r="L38" s="446"/>
      <c r="M38" s="446"/>
      <c r="N38" s="446"/>
      <c r="O38" s="449"/>
      <c r="P38" s="446"/>
      <c r="Q38" s="446"/>
      <c r="R38" s="446"/>
      <c r="S38" s="449"/>
      <c r="T38" s="446"/>
      <c r="U38" s="446"/>
      <c r="V38" s="447"/>
      <c r="W38" s="43"/>
      <c r="X38" s="498" t="str">
        <f>IF(IGRF!B31="","",IGRF!B31)</f>
        <v>912</v>
      </c>
      <c r="Y38" s="499"/>
      <c r="Z38" s="500"/>
      <c r="AA38" s="501"/>
      <c r="AB38" s="501"/>
      <c r="AC38" s="501"/>
      <c r="AD38" s="502"/>
      <c r="AE38" s="503"/>
      <c r="AF38" s="504"/>
      <c r="AG38" s="505"/>
      <c r="AH38" s="506"/>
      <c r="AI38" s="486"/>
      <c r="AJ38" s="448"/>
      <c r="AK38" s="476"/>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5" t="str">
        <f>IF(IGRF!I31="","",IGRF!I31)</f>
        <v/>
      </c>
      <c r="BH38" s="499"/>
      <c r="BI38" s="500"/>
      <c r="BJ38" s="501"/>
      <c r="BK38" s="501"/>
      <c r="BL38" s="501"/>
      <c r="BM38" s="502"/>
      <c r="BN38" s="503"/>
      <c r="BO38" s="504"/>
      <c r="BP38" s="505"/>
      <c r="BQ38" s="506"/>
      <c r="BR38" s="486"/>
      <c r="BS38" s="43"/>
    </row>
    <row r="39" ht="36.75" customHeight="1">
      <c r="A39" s="443"/>
      <c r="B39" s="487"/>
      <c r="C39" s="451"/>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0"/>
      <c r="D40" s="446"/>
      <c r="E40" s="446"/>
      <c r="F40" s="446"/>
      <c r="G40" s="449"/>
      <c r="H40" s="446"/>
      <c r="I40" s="446"/>
      <c r="J40" s="446"/>
      <c r="K40" s="449"/>
      <c r="L40" s="446"/>
      <c r="M40" s="446"/>
      <c r="N40" s="446"/>
      <c r="O40" s="449"/>
      <c r="P40" s="446"/>
      <c r="Q40" s="446"/>
      <c r="R40" s="446"/>
      <c r="S40" s="449"/>
      <c r="T40" s="446"/>
      <c r="U40" s="446"/>
      <c r="V40" s="447"/>
      <c r="W40" s="43"/>
      <c r="X40" s="477" t="str">
        <f>IF(IGRF!B32="","",IGRF!B32)</f>
        <v>93</v>
      </c>
      <c r="Y40" s="478"/>
      <c r="Z40" s="479"/>
      <c r="AA40" s="480"/>
      <c r="AB40" s="480"/>
      <c r="AC40" s="480"/>
      <c r="AD40" s="481"/>
      <c r="AE40" s="482"/>
      <c r="AF40" s="483"/>
      <c r="AG40" s="484"/>
      <c r="AH40" s="506"/>
      <c r="AI40" s="486"/>
      <c r="AJ40" s="448"/>
      <c r="AK40" s="476"/>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4" t="str">
        <f>IF(IGRF!I32="","",IGRF!I32)</f>
        <v/>
      </c>
      <c r="BH40" s="478"/>
      <c r="BI40" s="479"/>
      <c r="BJ40" s="480"/>
      <c r="BK40" s="480"/>
      <c r="BL40" s="480"/>
      <c r="BM40" s="481"/>
      <c r="BN40" s="482"/>
      <c r="BO40" s="483"/>
      <c r="BP40" s="484"/>
      <c r="BQ40" s="506"/>
      <c r="BR40" s="486"/>
      <c r="BS40" s="43"/>
    </row>
    <row r="41" ht="36.75" customHeight="1">
      <c r="A41" s="443"/>
      <c r="B41" s="487"/>
      <c r="C41" s="451"/>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6" t="s">
        <v>296</v>
      </c>
      <c r="B42" s="344"/>
      <c r="C42" s="344"/>
      <c r="D42" s="344"/>
      <c r="E42" s="344"/>
      <c r="F42" s="344"/>
      <c r="G42" s="344"/>
      <c r="H42" s="344"/>
      <c r="I42" s="344"/>
      <c r="J42" s="344"/>
      <c r="K42" s="344"/>
      <c r="L42" s="344"/>
      <c r="M42" s="344"/>
      <c r="N42" s="344"/>
      <c r="O42" s="344"/>
      <c r="P42" s="344"/>
      <c r="Q42" s="344"/>
      <c r="R42" s="344"/>
      <c r="S42" s="517" t="s">
        <v>297</v>
      </c>
      <c r="T42" s="518"/>
      <c r="U42" s="519"/>
      <c r="V42" s="520"/>
      <c r="W42" s="43"/>
      <c r="X42" s="498" t="str">
        <f>IF(IGRF!B33="","",IGRF!B33)</f>
        <v>999</v>
      </c>
      <c r="Y42" s="499"/>
      <c r="Z42" s="500"/>
      <c r="AA42" s="501"/>
      <c r="AB42" s="501"/>
      <c r="AC42" s="501"/>
      <c r="AD42" s="502"/>
      <c r="AE42" s="503"/>
      <c r="AF42" s="504"/>
      <c r="AG42" s="505"/>
      <c r="AH42" s="506"/>
      <c r="AI42" s="486"/>
      <c r="AJ42" s="516" t="s">
        <v>298</v>
      </c>
      <c r="AK42" s="344"/>
      <c r="AL42" s="344"/>
      <c r="AM42" s="344"/>
      <c r="AN42" s="344"/>
      <c r="AO42" s="344"/>
      <c r="AP42" s="344"/>
      <c r="AQ42" s="344"/>
      <c r="AR42" s="344"/>
      <c r="AS42" s="344"/>
      <c r="AT42" s="344"/>
      <c r="AU42" s="344"/>
      <c r="AV42" s="344"/>
      <c r="AW42" s="344"/>
      <c r="AX42" s="344"/>
      <c r="AY42" s="344"/>
      <c r="AZ42" s="344"/>
      <c r="BA42" s="344"/>
      <c r="BB42" s="517" t="s">
        <v>297</v>
      </c>
      <c r="BC42" s="518"/>
      <c r="BD42" s="519"/>
      <c r="BE42" s="520"/>
      <c r="BF42" s="43"/>
      <c r="BG42" s="515"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299</v>
      </c>
      <c r="AD44" s="8"/>
      <c r="AE44" s="8"/>
      <c r="AF44" s="8"/>
      <c r="AG44" s="8"/>
      <c r="AH44" s="8"/>
      <c r="AI44" s="9"/>
      <c r="BB44" s="521"/>
      <c r="BC44" s="521"/>
      <c r="BD44" s="521"/>
      <c r="BE44" s="521"/>
      <c r="BF44" s="43"/>
      <c r="BG44" s="525"/>
      <c r="BH44" s="525"/>
      <c r="BI44" s="526"/>
      <c r="BJ44" s="526"/>
      <c r="BK44" s="526"/>
      <c r="BL44" s="527" t="s">
        <v>299</v>
      </c>
      <c r="BM44" s="8"/>
      <c r="BN44" s="8"/>
      <c r="BO44" s="8"/>
      <c r="BP44" s="8"/>
      <c r="BQ44" s="8"/>
      <c r="BR44" s="9"/>
      <c r="BS44" s="528"/>
    </row>
    <row r="45" ht="28.5" customHeight="1">
      <c r="A45" s="465" t="str">
        <f>A1</f>
        <v>Tiger Bay Brawlers / Challengers</v>
      </c>
      <c r="B45" s="204"/>
      <c r="C45" s="204"/>
      <c r="D45" s="204"/>
      <c r="E45" s="204"/>
      <c r="F45" s="204"/>
      <c r="G45" s="204"/>
      <c r="H45" s="204"/>
      <c r="I45" s="204"/>
      <c r="J45" s="205"/>
      <c r="K45" s="466" t="str">
        <f>K1</f>
        <v>Orange</v>
      </c>
      <c r="L45" s="151"/>
      <c r="M45" s="151"/>
      <c r="N45" s="151"/>
      <c r="O45" s="151"/>
      <c r="P45" s="467">
        <f>P1</f>
        <v>45220</v>
      </c>
      <c r="Q45" s="168"/>
      <c r="R45" s="168"/>
      <c r="S45" s="210"/>
      <c r="T45" s="468"/>
      <c r="U45" s="151"/>
      <c r="V45" s="151"/>
      <c r="W45" s="151"/>
      <c r="X45" s="151"/>
      <c r="Y45" s="151"/>
      <c r="Z45" s="151"/>
      <c r="AA45" s="151"/>
      <c r="AB45" s="151"/>
      <c r="AC45" s="151"/>
      <c r="AD45" s="151"/>
      <c r="AE45" s="151"/>
      <c r="AF45" s="469">
        <v>2.0</v>
      </c>
      <c r="AG45" s="8"/>
      <c r="AH45" s="8"/>
      <c r="AI45" s="9"/>
      <c r="AJ45" s="465" t="str">
        <f>AJ1</f>
        <v>Dublin Roller Derby / The Be Grands</v>
      </c>
      <c r="AK45" s="204"/>
      <c r="AL45" s="204"/>
      <c r="AM45" s="204"/>
      <c r="AN45" s="204"/>
      <c r="AO45" s="204"/>
      <c r="AP45" s="204"/>
      <c r="AQ45" s="204"/>
      <c r="AR45" s="204"/>
      <c r="AS45" s="205"/>
      <c r="AT45" s="466" t="str">
        <f>AT1</f>
        <v>Blue</v>
      </c>
      <c r="AU45" s="151"/>
      <c r="AV45" s="151"/>
      <c r="AW45" s="151"/>
      <c r="AX45" s="151"/>
      <c r="AY45" s="467">
        <f>AY1</f>
        <v>45220</v>
      </c>
      <c r="AZ45" s="168"/>
      <c r="BA45" s="168"/>
      <c r="BB45" s="210"/>
      <c r="BC45" s="468"/>
      <c r="BD45" s="151"/>
      <c r="BE45" s="151"/>
      <c r="BF45" s="151"/>
      <c r="BG45" s="151"/>
      <c r="BH45" s="151"/>
      <c r="BI45" s="151"/>
      <c r="BJ45" s="151"/>
      <c r="BK45" s="151"/>
      <c r="BL45" s="151"/>
      <c r="BM45" s="151"/>
      <c r="BN45" s="151"/>
      <c r="BO45" s="469">
        <v>2.0</v>
      </c>
      <c r="BP45" s="8"/>
      <c r="BQ45" s="8"/>
      <c r="BR45" s="9"/>
      <c r="BS45" s="43"/>
    </row>
    <row r="46" ht="15.0" customHeight="1">
      <c r="A46" s="213"/>
      <c r="B46" s="20"/>
      <c r="C46" s="20"/>
      <c r="D46" s="20"/>
      <c r="E46" s="20"/>
      <c r="F46" s="20"/>
      <c r="G46" s="20"/>
      <c r="H46" s="20"/>
      <c r="I46" s="20"/>
      <c r="J46" s="156"/>
      <c r="K46" s="424" t="s">
        <v>200</v>
      </c>
      <c r="L46" s="71"/>
      <c r="M46" s="71"/>
      <c r="N46" s="71"/>
      <c r="O46" s="71"/>
      <c r="P46" s="472" t="s">
        <v>201</v>
      </c>
      <c r="Q46" s="71"/>
      <c r="R46" s="71"/>
      <c r="S46" s="72"/>
      <c r="T46" s="424" t="s">
        <v>294</v>
      </c>
      <c r="U46" s="71"/>
      <c r="V46" s="71"/>
      <c r="W46" s="71"/>
      <c r="X46" s="71"/>
      <c r="Y46" s="71"/>
      <c r="Z46" s="71"/>
      <c r="AA46" s="71"/>
      <c r="AB46" s="71"/>
      <c r="AC46" s="71"/>
      <c r="AD46" s="71"/>
      <c r="AE46" s="71"/>
      <c r="AF46" s="471" t="str">
        <f>AF2</f>
        <v>GAME 1</v>
      </c>
      <c r="AG46" s="39"/>
      <c r="AH46" s="39"/>
      <c r="AI46" s="40"/>
      <c r="AJ46" s="213"/>
      <c r="AK46" s="20"/>
      <c r="AL46" s="20"/>
      <c r="AM46" s="20"/>
      <c r="AN46" s="20"/>
      <c r="AO46" s="20"/>
      <c r="AP46" s="20"/>
      <c r="AQ46" s="20"/>
      <c r="AR46" s="20"/>
      <c r="AS46" s="156"/>
      <c r="AT46" s="424" t="s">
        <v>200</v>
      </c>
      <c r="AU46" s="71"/>
      <c r="AV46" s="71"/>
      <c r="AW46" s="71"/>
      <c r="AX46" s="71"/>
      <c r="AY46" s="472" t="s">
        <v>201</v>
      </c>
      <c r="AZ46" s="71"/>
      <c r="BA46" s="71"/>
      <c r="BB46" s="72"/>
      <c r="BC46" s="424" t="s">
        <v>294</v>
      </c>
      <c r="BD46" s="71"/>
      <c r="BE46" s="71"/>
      <c r="BF46" s="71"/>
      <c r="BG46" s="71"/>
      <c r="BH46" s="71"/>
      <c r="BI46" s="71"/>
      <c r="BJ46" s="71"/>
      <c r="BK46" s="71"/>
      <c r="BL46" s="71"/>
      <c r="BM46" s="71"/>
      <c r="BN46" s="71"/>
      <c r="BO46" s="471" t="str">
        <f>BO2</f>
        <v>GAME 1</v>
      </c>
      <c r="BP46" s="39"/>
      <c r="BQ46" s="39"/>
      <c r="BR46" s="40"/>
      <c r="BS46" s="43"/>
    </row>
    <row r="47" ht="13.5" customHeight="1">
      <c r="A47" s="428" t="s">
        <v>278</v>
      </c>
      <c r="B47" s="473" t="s">
        <v>279</v>
      </c>
      <c r="C47" s="430" t="s">
        <v>280</v>
      </c>
      <c r="D47" s="431" t="s">
        <v>281</v>
      </c>
      <c r="E47" s="45"/>
      <c r="F47" s="432"/>
      <c r="G47" s="430" t="s">
        <v>282</v>
      </c>
      <c r="H47" s="431" t="s">
        <v>281</v>
      </c>
      <c r="I47" s="45"/>
      <c r="J47" s="432"/>
      <c r="K47" s="430" t="s">
        <v>283</v>
      </c>
      <c r="L47" s="431" t="s">
        <v>281</v>
      </c>
      <c r="M47" s="45"/>
      <c r="N47" s="432"/>
      <c r="O47" s="430" t="s">
        <v>283</v>
      </c>
      <c r="P47" s="431" t="s">
        <v>281</v>
      </c>
      <c r="Q47" s="45"/>
      <c r="R47" s="432"/>
      <c r="S47" s="430" t="s">
        <v>283</v>
      </c>
      <c r="T47" s="431" t="s">
        <v>281</v>
      </c>
      <c r="U47" s="45"/>
      <c r="V47" s="432"/>
      <c r="W47" s="433"/>
      <c r="X47" s="433" t="s">
        <v>295</v>
      </c>
      <c r="Y47" s="475" t="s">
        <v>130</v>
      </c>
      <c r="Z47" s="14"/>
      <c r="AA47" s="14"/>
      <c r="AB47" s="14"/>
      <c r="AC47" s="14"/>
      <c r="AD47" s="14"/>
      <c r="AE47" s="14"/>
      <c r="AF47" s="14"/>
      <c r="AG47" s="42"/>
      <c r="AH47" s="475" t="s">
        <v>230</v>
      </c>
      <c r="AI47" s="15"/>
      <c r="AJ47" s="428" t="s">
        <v>278</v>
      </c>
      <c r="AK47" s="473" t="s">
        <v>279</v>
      </c>
      <c r="AL47" s="430" t="s">
        <v>280</v>
      </c>
      <c r="AM47" s="431" t="s">
        <v>281</v>
      </c>
      <c r="AN47" s="45"/>
      <c r="AO47" s="432"/>
      <c r="AP47" s="430" t="s">
        <v>282</v>
      </c>
      <c r="AQ47" s="431" t="s">
        <v>281</v>
      </c>
      <c r="AR47" s="45"/>
      <c r="AS47" s="432"/>
      <c r="AT47" s="430" t="s">
        <v>283</v>
      </c>
      <c r="AU47" s="431" t="s">
        <v>281</v>
      </c>
      <c r="AV47" s="45"/>
      <c r="AW47" s="432"/>
      <c r="AX47" s="430" t="s">
        <v>283</v>
      </c>
      <c r="AY47" s="431" t="s">
        <v>281</v>
      </c>
      <c r="AZ47" s="45"/>
      <c r="BA47" s="432"/>
      <c r="BB47" s="430" t="s">
        <v>283</v>
      </c>
      <c r="BC47" s="431" t="s">
        <v>281</v>
      </c>
      <c r="BD47" s="45"/>
      <c r="BE47" s="432"/>
      <c r="BF47" s="433"/>
      <c r="BG47" s="433" t="s">
        <v>295</v>
      </c>
      <c r="BH47" s="475" t="s">
        <v>130</v>
      </c>
      <c r="BI47" s="14"/>
      <c r="BJ47" s="14"/>
      <c r="BK47" s="14"/>
      <c r="BL47" s="14"/>
      <c r="BM47" s="14"/>
      <c r="BN47" s="14"/>
      <c r="BO47" s="14"/>
      <c r="BP47" s="42"/>
      <c r="BQ47" s="475" t="s">
        <v>230</v>
      </c>
      <c r="BR47" s="15"/>
      <c r="BS47" s="5"/>
    </row>
    <row r="48" ht="36.75" customHeight="1">
      <c r="A48" s="448"/>
      <c r="B48" s="476"/>
      <c r="C48" s="450"/>
      <c r="D48" s="446"/>
      <c r="E48" s="446"/>
      <c r="F48" s="446"/>
      <c r="G48" s="449"/>
      <c r="H48" s="446"/>
      <c r="I48" s="446"/>
      <c r="J48" s="446"/>
      <c r="K48" s="449"/>
      <c r="L48" s="446"/>
      <c r="M48" s="446"/>
      <c r="N48" s="446"/>
      <c r="O48" s="449"/>
      <c r="P48" s="446"/>
      <c r="Q48" s="446"/>
      <c r="R48" s="446"/>
      <c r="S48" s="449"/>
      <c r="T48" s="446"/>
      <c r="U48" s="446"/>
      <c r="V48" s="447"/>
      <c r="W48" s="43"/>
      <c r="X48" s="477" t="str">
        <f>X4</f>
        <v>04</v>
      </c>
      <c r="Y48" s="478"/>
      <c r="Z48" s="479"/>
      <c r="AA48" s="480"/>
      <c r="AB48" s="480"/>
      <c r="AC48" s="480"/>
      <c r="AD48" s="481"/>
      <c r="AE48" s="482"/>
      <c r="AF48" s="483"/>
      <c r="AG48" s="484"/>
      <c r="AH48" s="485"/>
      <c r="AI48" s="486"/>
      <c r="AJ48" s="448"/>
      <c r="AK48" s="476"/>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040</v>
      </c>
      <c r="BH48" s="478"/>
      <c r="BI48" s="479"/>
      <c r="BJ48" s="480"/>
      <c r="BK48" s="480"/>
      <c r="BL48" s="480"/>
      <c r="BM48" s="481"/>
      <c r="BN48" s="482"/>
      <c r="BO48" s="483"/>
      <c r="BP48" s="484"/>
      <c r="BQ48" s="485"/>
      <c r="BR48" s="486"/>
      <c r="BS48" s="43"/>
    </row>
    <row r="49" ht="36.75" customHeight="1">
      <c r="A49" s="443"/>
      <c r="B49" s="487"/>
      <c r="C49" s="451"/>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0"/>
      <c r="D50" s="446"/>
      <c r="E50" s="446"/>
      <c r="F50" s="446"/>
      <c r="G50" s="449"/>
      <c r="H50" s="446"/>
      <c r="I50" s="446"/>
      <c r="J50" s="446"/>
      <c r="K50" s="449"/>
      <c r="L50" s="446"/>
      <c r="M50" s="446"/>
      <c r="N50" s="446"/>
      <c r="O50" s="449"/>
      <c r="P50" s="446"/>
      <c r="Q50" s="446"/>
      <c r="R50" s="446"/>
      <c r="S50" s="449"/>
      <c r="T50" s="446"/>
      <c r="U50" s="446"/>
      <c r="V50" s="447"/>
      <c r="W50" s="43"/>
      <c r="X50" s="498" t="str">
        <f>X6</f>
        <v>16</v>
      </c>
      <c r="Y50" s="499"/>
      <c r="Z50" s="500"/>
      <c r="AA50" s="501"/>
      <c r="AB50" s="501"/>
      <c r="AC50" s="501"/>
      <c r="AD50" s="502"/>
      <c r="AE50" s="503"/>
      <c r="AF50" s="504"/>
      <c r="AG50" s="505"/>
      <c r="AH50" s="506"/>
      <c r="AI50" s="486"/>
      <c r="AJ50" s="448"/>
      <c r="AK50" s="476"/>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101</v>
      </c>
      <c r="BH50" s="499"/>
      <c r="BI50" s="500"/>
      <c r="BJ50" s="501"/>
      <c r="BK50" s="501"/>
      <c r="BL50" s="501"/>
      <c r="BM50" s="502"/>
      <c r="BN50" s="503"/>
      <c r="BO50" s="504"/>
      <c r="BP50" s="505"/>
      <c r="BQ50" s="506"/>
      <c r="BR50" s="486"/>
      <c r="BS50" s="43"/>
    </row>
    <row r="51" ht="36.75" customHeight="1">
      <c r="A51" s="443"/>
      <c r="B51" s="487"/>
      <c r="C51" s="451"/>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0"/>
      <c r="D52" s="446"/>
      <c r="E52" s="446"/>
      <c r="F52" s="446"/>
      <c r="G52" s="449"/>
      <c r="H52" s="446"/>
      <c r="I52" s="446"/>
      <c r="J52" s="446"/>
      <c r="K52" s="449"/>
      <c r="L52" s="446"/>
      <c r="M52" s="446"/>
      <c r="N52" s="446"/>
      <c r="O52" s="449"/>
      <c r="P52" s="446"/>
      <c r="Q52" s="446"/>
      <c r="R52" s="446"/>
      <c r="S52" s="449"/>
      <c r="T52" s="446"/>
      <c r="U52" s="446"/>
      <c r="V52" s="447"/>
      <c r="W52" s="43"/>
      <c r="X52" s="477" t="str">
        <f>X8</f>
        <v>177</v>
      </c>
      <c r="Y52" s="478"/>
      <c r="Z52" s="479"/>
      <c r="AA52" s="480"/>
      <c r="AB52" s="480"/>
      <c r="AC52" s="480"/>
      <c r="AD52" s="481"/>
      <c r="AE52" s="482"/>
      <c r="AF52" s="483"/>
      <c r="AG52" s="484"/>
      <c r="AH52" s="506"/>
      <c r="AI52" s="486"/>
      <c r="AJ52" s="448"/>
      <c r="AK52" s="476"/>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11</v>
      </c>
      <c r="BH52" s="478"/>
      <c r="BI52" s="479"/>
      <c r="BJ52" s="480"/>
      <c r="BK52" s="480"/>
      <c r="BL52" s="480"/>
      <c r="BM52" s="481"/>
      <c r="BN52" s="482"/>
      <c r="BO52" s="483"/>
      <c r="BP52" s="484"/>
      <c r="BQ52" s="506"/>
      <c r="BR52" s="486"/>
      <c r="BS52" s="43"/>
    </row>
    <row r="53" ht="36.75" customHeight="1">
      <c r="A53" s="443"/>
      <c r="B53" s="487"/>
      <c r="C53" s="451"/>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0"/>
      <c r="D54" s="446"/>
      <c r="E54" s="446"/>
      <c r="F54" s="446"/>
      <c r="G54" s="449"/>
      <c r="H54" s="446"/>
      <c r="I54" s="446"/>
      <c r="J54" s="446"/>
      <c r="K54" s="449"/>
      <c r="L54" s="446"/>
      <c r="M54" s="446"/>
      <c r="N54" s="446"/>
      <c r="O54" s="449"/>
      <c r="P54" s="446"/>
      <c r="Q54" s="446"/>
      <c r="R54" s="446"/>
      <c r="S54" s="449"/>
      <c r="T54" s="446"/>
      <c r="U54" s="446"/>
      <c r="V54" s="447"/>
      <c r="W54" s="43"/>
      <c r="X54" s="498" t="str">
        <f>X10</f>
        <v>215</v>
      </c>
      <c r="Y54" s="499"/>
      <c r="Z54" s="500"/>
      <c r="AA54" s="501"/>
      <c r="AB54" s="501"/>
      <c r="AC54" s="501"/>
      <c r="AD54" s="502"/>
      <c r="AE54" s="503"/>
      <c r="AF54" s="504"/>
      <c r="AG54" s="505"/>
      <c r="AH54" s="506"/>
      <c r="AI54" s="486"/>
      <c r="AJ54" s="448"/>
      <c r="AK54" s="476"/>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33</v>
      </c>
      <c r="BH54" s="499"/>
      <c r="BI54" s="500"/>
      <c r="BJ54" s="501"/>
      <c r="BK54" s="501"/>
      <c r="BL54" s="501"/>
      <c r="BM54" s="502"/>
      <c r="BN54" s="503"/>
      <c r="BO54" s="504"/>
      <c r="BP54" s="505"/>
      <c r="BQ54" s="506"/>
      <c r="BR54" s="486"/>
      <c r="BS54" s="43"/>
    </row>
    <row r="55" ht="36.75" customHeight="1">
      <c r="A55" s="443"/>
      <c r="B55" s="487"/>
      <c r="C55" s="451"/>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0"/>
      <c r="D56" s="446"/>
      <c r="E56" s="446"/>
      <c r="F56" s="446"/>
      <c r="G56" s="449"/>
      <c r="H56" s="446"/>
      <c r="I56" s="446"/>
      <c r="J56" s="446"/>
      <c r="K56" s="449"/>
      <c r="L56" s="446"/>
      <c r="M56" s="446"/>
      <c r="N56" s="446"/>
      <c r="O56" s="449"/>
      <c r="P56" s="446"/>
      <c r="Q56" s="446"/>
      <c r="R56" s="446"/>
      <c r="S56" s="449"/>
      <c r="T56" s="446"/>
      <c r="U56" s="446"/>
      <c r="V56" s="447"/>
      <c r="W56" s="43"/>
      <c r="X56" s="477" t="str">
        <f>X12</f>
        <v>27</v>
      </c>
      <c r="Y56" s="478"/>
      <c r="Z56" s="479"/>
      <c r="AA56" s="480"/>
      <c r="AB56" s="480"/>
      <c r="AC56" s="480"/>
      <c r="AD56" s="481"/>
      <c r="AE56" s="482"/>
      <c r="AF56" s="483"/>
      <c r="AG56" s="484"/>
      <c r="AH56" s="506"/>
      <c r="AI56" s="486"/>
      <c r="AJ56" s="448"/>
      <c r="AK56" s="476"/>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1337</v>
      </c>
      <c r="BH56" s="478"/>
      <c r="BI56" s="479"/>
      <c r="BJ56" s="480"/>
      <c r="BK56" s="480"/>
      <c r="BL56" s="480"/>
      <c r="BM56" s="481"/>
      <c r="BN56" s="482"/>
      <c r="BO56" s="483"/>
      <c r="BP56" s="484"/>
      <c r="BQ56" s="506"/>
      <c r="BR56" s="486"/>
      <c r="BS56" s="43"/>
    </row>
    <row r="57" ht="36.75" customHeight="1">
      <c r="A57" s="443"/>
      <c r="B57" s="487"/>
      <c r="C57" s="451"/>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0"/>
      <c r="D58" s="446"/>
      <c r="E58" s="446"/>
      <c r="F58" s="446"/>
      <c r="G58" s="449"/>
      <c r="H58" s="446"/>
      <c r="I58" s="446"/>
      <c r="J58" s="446"/>
      <c r="K58" s="449"/>
      <c r="L58" s="446"/>
      <c r="M58" s="446"/>
      <c r="N58" s="446"/>
      <c r="O58" s="449"/>
      <c r="P58" s="446"/>
      <c r="Q58" s="446"/>
      <c r="R58" s="446"/>
      <c r="S58" s="449"/>
      <c r="T58" s="446"/>
      <c r="U58" s="446"/>
      <c r="V58" s="447"/>
      <c r="W58" s="43"/>
      <c r="X58" s="498" t="str">
        <f>X14</f>
        <v>271</v>
      </c>
      <c r="Y58" s="499"/>
      <c r="Z58" s="500"/>
      <c r="AA58" s="501"/>
      <c r="AB58" s="501"/>
      <c r="AC58" s="501"/>
      <c r="AD58" s="502"/>
      <c r="AE58" s="503"/>
      <c r="AF58" s="504"/>
      <c r="AG58" s="505"/>
      <c r="AH58" s="506"/>
      <c r="AI58" s="486"/>
      <c r="AJ58" s="448"/>
      <c r="AK58" s="476"/>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150</v>
      </c>
      <c r="BH58" s="499"/>
      <c r="BI58" s="500"/>
      <c r="BJ58" s="501"/>
      <c r="BK58" s="501"/>
      <c r="BL58" s="501"/>
      <c r="BM58" s="502"/>
      <c r="BN58" s="503"/>
      <c r="BO58" s="504"/>
      <c r="BP58" s="505"/>
      <c r="BQ58" s="506"/>
      <c r="BR58" s="486"/>
      <c r="BS58" s="43"/>
    </row>
    <row r="59" ht="36.75" customHeight="1">
      <c r="A59" s="443"/>
      <c r="B59" s="487"/>
      <c r="C59" s="451"/>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0"/>
      <c r="D60" s="446"/>
      <c r="E60" s="446"/>
      <c r="F60" s="446"/>
      <c r="G60" s="449"/>
      <c r="H60" s="446"/>
      <c r="I60" s="446"/>
      <c r="J60" s="446"/>
      <c r="K60" s="449"/>
      <c r="L60" s="446"/>
      <c r="M60" s="446"/>
      <c r="N60" s="446"/>
      <c r="O60" s="449"/>
      <c r="P60" s="446"/>
      <c r="Q60" s="446"/>
      <c r="R60" s="446"/>
      <c r="S60" s="449"/>
      <c r="T60" s="446"/>
      <c r="U60" s="446"/>
      <c r="V60" s="447"/>
      <c r="W60" s="43"/>
      <c r="X60" s="477" t="str">
        <f>X16</f>
        <v>220</v>
      </c>
      <c r="Y60" s="478"/>
      <c r="Z60" s="479"/>
      <c r="AA60" s="480"/>
      <c r="AB60" s="480"/>
      <c r="AC60" s="480"/>
      <c r="AD60" s="481"/>
      <c r="AE60" s="482"/>
      <c r="AF60" s="483"/>
      <c r="AG60" s="484"/>
      <c r="AH60" s="506"/>
      <c r="AI60" s="486"/>
      <c r="AJ60" s="448"/>
      <c r="AK60" s="476"/>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16</v>
      </c>
      <c r="BH60" s="478"/>
      <c r="BI60" s="479"/>
      <c r="BJ60" s="480"/>
      <c r="BK60" s="480"/>
      <c r="BL60" s="480"/>
      <c r="BM60" s="481"/>
      <c r="BN60" s="482"/>
      <c r="BO60" s="483"/>
      <c r="BP60" s="484"/>
      <c r="BQ60" s="506"/>
      <c r="BR60" s="486"/>
      <c r="BS60" s="43"/>
    </row>
    <row r="61" ht="36.75" customHeight="1">
      <c r="A61" s="443"/>
      <c r="B61" s="487"/>
      <c r="C61" s="451"/>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0"/>
      <c r="D62" s="446"/>
      <c r="E62" s="446"/>
      <c r="F62" s="446"/>
      <c r="G62" s="449"/>
      <c r="H62" s="446"/>
      <c r="I62" s="446"/>
      <c r="J62" s="446"/>
      <c r="K62" s="449"/>
      <c r="L62" s="446"/>
      <c r="M62" s="446"/>
      <c r="N62" s="446"/>
      <c r="O62" s="449"/>
      <c r="P62" s="446"/>
      <c r="Q62" s="446"/>
      <c r="R62" s="446"/>
      <c r="S62" s="449"/>
      <c r="T62" s="446"/>
      <c r="U62" s="446"/>
      <c r="V62" s="447"/>
      <c r="W62" s="43"/>
      <c r="X62" s="498" t="str">
        <f>X18</f>
        <v>3556</v>
      </c>
      <c r="Y62" s="499"/>
      <c r="Z62" s="500"/>
      <c r="AA62" s="501"/>
      <c r="AB62" s="501"/>
      <c r="AC62" s="501"/>
      <c r="AD62" s="502"/>
      <c r="AE62" s="503"/>
      <c r="AF62" s="504"/>
      <c r="AG62" s="505"/>
      <c r="AH62" s="506"/>
      <c r="AI62" s="486"/>
      <c r="AJ62" s="448"/>
      <c r="AK62" s="476"/>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3110</v>
      </c>
      <c r="BH62" s="499"/>
      <c r="BI62" s="500"/>
      <c r="BJ62" s="501"/>
      <c r="BK62" s="501"/>
      <c r="BL62" s="501"/>
      <c r="BM62" s="502"/>
      <c r="BN62" s="503"/>
      <c r="BO62" s="504"/>
      <c r="BP62" s="505"/>
      <c r="BQ62" s="506"/>
      <c r="BR62" s="486"/>
      <c r="BS62" s="43"/>
    </row>
    <row r="63" ht="36.75" customHeight="1">
      <c r="A63" s="443"/>
      <c r="B63" s="487"/>
      <c r="C63" s="451"/>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0"/>
      <c r="D64" s="446"/>
      <c r="E64" s="446"/>
      <c r="F64" s="446"/>
      <c r="G64" s="449"/>
      <c r="H64" s="446"/>
      <c r="I64" s="446"/>
      <c r="J64" s="446"/>
      <c r="K64" s="449"/>
      <c r="L64" s="446"/>
      <c r="M64" s="446"/>
      <c r="N64" s="446"/>
      <c r="O64" s="449"/>
      <c r="P64" s="446"/>
      <c r="Q64" s="446"/>
      <c r="R64" s="446"/>
      <c r="S64" s="449"/>
      <c r="T64" s="446"/>
      <c r="U64" s="446"/>
      <c r="V64" s="447"/>
      <c r="W64" s="43"/>
      <c r="X64" s="477" t="str">
        <f>X20</f>
        <v>360</v>
      </c>
      <c r="Y64" s="478"/>
      <c r="Z64" s="479"/>
      <c r="AA64" s="480"/>
      <c r="AB64" s="480"/>
      <c r="AC64" s="480"/>
      <c r="AD64" s="481"/>
      <c r="AE64" s="482"/>
      <c r="AF64" s="483"/>
      <c r="AG64" s="484"/>
      <c r="AH64" s="506"/>
      <c r="AI64" s="486"/>
      <c r="AJ64" s="448"/>
      <c r="AK64" s="476"/>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333</v>
      </c>
      <c r="BH64" s="478"/>
      <c r="BI64" s="479"/>
      <c r="BJ64" s="480"/>
      <c r="BK64" s="480"/>
      <c r="BL64" s="480"/>
      <c r="BM64" s="481"/>
      <c r="BN64" s="482"/>
      <c r="BO64" s="483"/>
      <c r="BP64" s="484"/>
      <c r="BQ64" s="506"/>
      <c r="BR64" s="486"/>
      <c r="BS64" s="43"/>
    </row>
    <row r="65" ht="36.75" customHeight="1">
      <c r="A65" s="443"/>
      <c r="B65" s="487"/>
      <c r="C65" s="451"/>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0"/>
      <c r="D66" s="446"/>
      <c r="E66" s="446"/>
      <c r="F66" s="446"/>
      <c r="G66" s="449"/>
      <c r="H66" s="446"/>
      <c r="I66" s="446"/>
      <c r="J66" s="446"/>
      <c r="K66" s="449"/>
      <c r="L66" s="446"/>
      <c r="M66" s="446"/>
      <c r="N66" s="446"/>
      <c r="O66" s="449"/>
      <c r="P66" s="446"/>
      <c r="Q66" s="446"/>
      <c r="R66" s="446"/>
      <c r="S66" s="449"/>
      <c r="T66" s="446"/>
      <c r="U66" s="446"/>
      <c r="V66" s="447"/>
      <c r="W66" s="43"/>
      <c r="X66" s="498" t="str">
        <f>X22</f>
        <v>40</v>
      </c>
      <c r="Y66" s="499"/>
      <c r="Z66" s="500"/>
      <c r="AA66" s="501"/>
      <c r="AB66" s="501"/>
      <c r="AC66" s="501"/>
      <c r="AD66" s="502"/>
      <c r="AE66" s="503"/>
      <c r="AF66" s="504"/>
      <c r="AG66" s="505"/>
      <c r="AH66" s="506"/>
      <c r="AI66" s="486"/>
      <c r="AJ66" s="448"/>
      <c r="AK66" s="476"/>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4</v>
      </c>
      <c r="BH66" s="499"/>
      <c r="BI66" s="500"/>
      <c r="BJ66" s="501"/>
      <c r="BK66" s="501"/>
      <c r="BL66" s="501"/>
      <c r="BM66" s="502"/>
      <c r="BN66" s="503"/>
      <c r="BO66" s="504"/>
      <c r="BP66" s="505"/>
      <c r="BQ66" s="506"/>
      <c r="BR66" s="486"/>
      <c r="BS66" s="43"/>
    </row>
    <row r="67" ht="36.75" customHeight="1">
      <c r="A67" s="443"/>
      <c r="B67" s="487"/>
      <c r="C67" s="451"/>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0"/>
      <c r="D68" s="446"/>
      <c r="E68" s="446"/>
      <c r="F68" s="446"/>
      <c r="G68" s="449"/>
      <c r="H68" s="446"/>
      <c r="I68" s="446"/>
      <c r="J68" s="446"/>
      <c r="K68" s="449"/>
      <c r="L68" s="446"/>
      <c r="M68" s="446"/>
      <c r="N68" s="446"/>
      <c r="O68" s="449"/>
      <c r="P68" s="446"/>
      <c r="Q68" s="446"/>
      <c r="R68" s="446"/>
      <c r="S68" s="449"/>
      <c r="T68" s="446"/>
      <c r="U68" s="446"/>
      <c r="V68" s="447"/>
      <c r="W68" s="43"/>
      <c r="X68" s="477" t="str">
        <f>X24</f>
        <v>42</v>
      </c>
      <c r="Y68" s="478"/>
      <c r="Z68" s="479"/>
      <c r="AA68" s="480"/>
      <c r="AB68" s="480"/>
      <c r="AC68" s="480"/>
      <c r="AD68" s="481"/>
      <c r="AE68" s="482"/>
      <c r="AF68" s="483"/>
      <c r="AG68" s="484"/>
      <c r="AH68" s="506"/>
      <c r="AI68" s="486"/>
      <c r="AJ68" s="448"/>
      <c r="AK68" s="476"/>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42</v>
      </c>
      <c r="BH68" s="478"/>
      <c r="BI68" s="479"/>
      <c r="BJ68" s="480"/>
      <c r="BK68" s="480"/>
      <c r="BL68" s="480"/>
      <c r="BM68" s="481"/>
      <c r="BN68" s="482"/>
      <c r="BO68" s="483"/>
      <c r="BP68" s="484"/>
      <c r="BQ68" s="506"/>
      <c r="BR68" s="486"/>
      <c r="BS68" s="43"/>
    </row>
    <row r="69" ht="36.75" customHeight="1">
      <c r="A69" s="443"/>
      <c r="B69" s="487"/>
      <c r="C69" s="451"/>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0"/>
      <c r="D70" s="446"/>
      <c r="E70" s="446"/>
      <c r="F70" s="446"/>
      <c r="G70" s="449"/>
      <c r="H70" s="446"/>
      <c r="I70" s="446"/>
      <c r="J70" s="446"/>
      <c r="K70" s="449"/>
      <c r="L70" s="446"/>
      <c r="M70" s="446"/>
      <c r="N70" s="446"/>
      <c r="O70" s="449"/>
      <c r="P70" s="446"/>
      <c r="Q70" s="446"/>
      <c r="R70" s="446"/>
      <c r="S70" s="449"/>
      <c r="T70" s="446"/>
      <c r="U70" s="446"/>
      <c r="V70" s="447"/>
      <c r="W70" s="43"/>
      <c r="X70" s="498" t="str">
        <f>X26</f>
        <v>44</v>
      </c>
      <c r="Y70" s="499"/>
      <c r="Z70" s="500"/>
      <c r="AA70" s="501"/>
      <c r="AB70" s="501"/>
      <c r="AC70" s="501"/>
      <c r="AD70" s="502"/>
      <c r="AE70" s="503"/>
      <c r="AF70" s="504"/>
      <c r="AG70" s="505"/>
      <c r="AH70" s="506"/>
      <c r="AI70" s="486"/>
      <c r="AJ70" s="448"/>
      <c r="AK70" s="476"/>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48</v>
      </c>
      <c r="BH70" s="499"/>
      <c r="BI70" s="500"/>
      <c r="BJ70" s="501"/>
      <c r="BK70" s="501"/>
      <c r="BL70" s="501"/>
      <c r="BM70" s="502"/>
      <c r="BN70" s="503"/>
      <c r="BO70" s="504"/>
      <c r="BP70" s="505"/>
      <c r="BQ70" s="506"/>
      <c r="BR70" s="486"/>
      <c r="BS70" s="43"/>
    </row>
    <row r="71" ht="36.75" customHeight="1">
      <c r="A71" s="443"/>
      <c r="B71" s="487"/>
      <c r="C71" s="451"/>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0"/>
      <c r="D72" s="446"/>
      <c r="E72" s="446"/>
      <c r="F72" s="446"/>
      <c r="G72" s="449"/>
      <c r="H72" s="446"/>
      <c r="I72" s="446"/>
      <c r="J72" s="446"/>
      <c r="K72" s="449"/>
      <c r="L72" s="446"/>
      <c r="M72" s="446"/>
      <c r="N72" s="446"/>
      <c r="O72" s="449"/>
      <c r="P72" s="446"/>
      <c r="Q72" s="446"/>
      <c r="R72" s="446"/>
      <c r="S72" s="449"/>
      <c r="T72" s="446"/>
      <c r="U72" s="446"/>
      <c r="V72" s="447"/>
      <c r="W72" s="43"/>
      <c r="X72" s="477" t="str">
        <f>X28</f>
        <v>45</v>
      </c>
      <c r="Y72" s="478"/>
      <c r="Z72" s="479"/>
      <c r="AA72" s="480"/>
      <c r="AB72" s="480"/>
      <c r="AC72" s="480"/>
      <c r="AD72" s="481"/>
      <c r="AE72" s="482"/>
      <c r="AF72" s="483"/>
      <c r="AG72" s="484"/>
      <c r="AH72" s="506"/>
      <c r="AI72" s="486"/>
      <c r="AJ72" s="448"/>
      <c r="AK72" s="476"/>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167</v>
      </c>
      <c r="BH72" s="478"/>
      <c r="BI72" s="479"/>
      <c r="BJ72" s="480"/>
      <c r="BK72" s="480"/>
      <c r="BL72" s="480"/>
      <c r="BM72" s="481"/>
      <c r="BN72" s="482"/>
      <c r="BO72" s="483"/>
      <c r="BP72" s="484"/>
      <c r="BQ72" s="506"/>
      <c r="BR72" s="486"/>
      <c r="BS72" s="43"/>
    </row>
    <row r="73" ht="36.75" customHeight="1">
      <c r="A73" s="443"/>
      <c r="B73" s="487"/>
      <c r="C73" s="451"/>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0"/>
      <c r="D74" s="446"/>
      <c r="E74" s="446"/>
      <c r="F74" s="446"/>
      <c r="G74" s="449"/>
      <c r="H74" s="446"/>
      <c r="I74" s="446"/>
      <c r="J74" s="446"/>
      <c r="K74" s="449"/>
      <c r="L74" s="446"/>
      <c r="M74" s="446"/>
      <c r="N74" s="446"/>
      <c r="O74" s="449"/>
      <c r="P74" s="446"/>
      <c r="Q74" s="446"/>
      <c r="R74" s="446"/>
      <c r="S74" s="449"/>
      <c r="T74" s="446"/>
      <c r="U74" s="446"/>
      <c r="V74" s="447"/>
      <c r="W74" s="43"/>
      <c r="X74" s="498" t="str">
        <f>X30</f>
        <v>48</v>
      </c>
      <c r="Y74" s="499"/>
      <c r="Z74" s="500"/>
      <c r="AA74" s="501"/>
      <c r="AB74" s="501"/>
      <c r="AC74" s="501"/>
      <c r="AD74" s="502"/>
      <c r="AE74" s="503"/>
      <c r="AF74" s="504"/>
      <c r="AG74" s="505"/>
      <c r="AH74" s="506"/>
      <c r="AI74" s="486"/>
      <c r="AJ74" s="448"/>
      <c r="AK74" s="476"/>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602</v>
      </c>
      <c r="BH74" s="499"/>
      <c r="BI74" s="500"/>
      <c r="BJ74" s="501"/>
      <c r="BK74" s="501"/>
      <c r="BL74" s="501"/>
      <c r="BM74" s="502"/>
      <c r="BN74" s="503"/>
      <c r="BO74" s="504"/>
      <c r="BP74" s="505"/>
      <c r="BQ74" s="506"/>
      <c r="BR74" s="486"/>
      <c r="BS74" s="43"/>
    </row>
    <row r="75" ht="36.75" customHeight="1">
      <c r="A75" s="443"/>
      <c r="B75" s="487"/>
      <c r="C75" s="451"/>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0"/>
      <c r="D76" s="446"/>
      <c r="E76" s="446"/>
      <c r="F76" s="446"/>
      <c r="G76" s="449"/>
      <c r="H76" s="446"/>
      <c r="I76" s="446"/>
      <c r="J76" s="446"/>
      <c r="K76" s="449"/>
      <c r="L76" s="446"/>
      <c r="M76" s="446"/>
      <c r="N76" s="446"/>
      <c r="O76" s="449"/>
      <c r="P76" s="446"/>
      <c r="Q76" s="446"/>
      <c r="R76" s="446"/>
      <c r="S76" s="449"/>
      <c r="T76" s="446"/>
      <c r="U76" s="446"/>
      <c r="V76" s="447"/>
      <c r="W76" s="43"/>
      <c r="X76" s="477" t="str">
        <f>X32</f>
        <v>565</v>
      </c>
      <c r="Y76" s="478"/>
      <c r="Z76" s="479"/>
      <c r="AA76" s="480"/>
      <c r="AB76" s="480"/>
      <c r="AC76" s="480"/>
      <c r="AD76" s="481"/>
      <c r="AE76" s="482"/>
      <c r="AF76" s="483"/>
      <c r="AG76" s="484"/>
      <c r="AH76" s="506"/>
      <c r="AI76" s="486"/>
      <c r="AJ76" s="448"/>
      <c r="AK76" s="476"/>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777</v>
      </c>
      <c r="BH76" s="478"/>
      <c r="BI76" s="479"/>
      <c r="BJ76" s="480"/>
      <c r="BK76" s="480"/>
      <c r="BL76" s="480"/>
      <c r="BM76" s="481"/>
      <c r="BN76" s="482"/>
      <c r="BO76" s="483"/>
      <c r="BP76" s="484"/>
      <c r="BQ76" s="506"/>
      <c r="BR76" s="486"/>
      <c r="BS76" s="43"/>
    </row>
    <row r="77" ht="36.75" customHeight="1">
      <c r="A77" s="443"/>
      <c r="B77" s="487"/>
      <c r="C77" s="451"/>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0"/>
      <c r="D78" s="446"/>
      <c r="E78" s="446"/>
      <c r="F78" s="446"/>
      <c r="G78" s="449"/>
      <c r="H78" s="446"/>
      <c r="I78" s="446"/>
      <c r="J78" s="446"/>
      <c r="K78" s="449"/>
      <c r="L78" s="446"/>
      <c r="M78" s="446"/>
      <c r="N78" s="446"/>
      <c r="O78" s="449"/>
      <c r="P78" s="446"/>
      <c r="Q78" s="446"/>
      <c r="R78" s="446"/>
      <c r="S78" s="449"/>
      <c r="T78" s="446"/>
      <c r="U78" s="446"/>
      <c r="V78" s="447"/>
      <c r="W78" s="43"/>
      <c r="X78" s="498" t="str">
        <f>X34</f>
        <v>50</v>
      </c>
      <c r="Y78" s="499"/>
      <c r="Z78" s="500"/>
      <c r="AA78" s="501"/>
      <c r="AB78" s="501"/>
      <c r="AC78" s="501"/>
      <c r="AD78" s="502"/>
      <c r="AE78" s="503"/>
      <c r="AF78" s="504"/>
      <c r="AG78" s="505"/>
      <c r="AH78" s="506"/>
      <c r="AI78" s="486"/>
      <c r="AJ78" s="448"/>
      <c r="AK78" s="476"/>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88</v>
      </c>
      <c r="BH78" s="499"/>
      <c r="BI78" s="500"/>
      <c r="BJ78" s="501"/>
      <c r="BK78" s="501"/>
      <c r="BL78" s="501"/>
      <c r="BM78" s="502"/>
      <c r="BN78" s="503"/>
      <c r="BO78" s="504"/>
      <c r="BP78" s="505"/>
      <c r="BQ78" s="506"/>
      <c r="BR78" s="486"/>
      <c r="BS78" s="43"/>
    </row>
    <row r="79" ht="36.75" customHeight="1">
      <c r="A79" s="443"/>
      <c r="B79" s="487"/>
      <c r="C79" s="451"/>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0"/>
      <c r="D80" s="446"/>
      <c r="E80" s="446"/>
      <c r="F80" s="446"/>
      <c r="G80" s="449"/>
      <c r="H80" s="446"/>
      <c r="I80" s="446"/>
      <c r="J80" s="446"/>
      <c r="K80" s="449"/>
      <c r="L80" s="446"/>
      <c r="M80" s="446"/>
      <c r="N80" s="446"/>
      <c r="O80" s="449"/>
      <c r="P80" s="446"/>
      <c r="Q80" s="446"/>
      <c r="R80" s="446"/>
      <c r="S80" s="449"/>
      <c r="T80" s="446"/>
      <c r="U80" s="446"/>
      <c r="V80" s="447"/>
      <c r="W80" s="43"/>
      <c r="X80" s="477" t="str">
        <f>X36</f>
        <v>808</v>
      </c>
      <c r="Y80" s="478"/>
      <c r="Z80" s="479"/>
      <c r="AA80" s="480"/>
      <c r="AB80" s="480"/>
      <c r="AC80" s="480"/>
      <c r="AD80" s="481"/>
      <c r="AE80" s="482"/>
      <c r="AF80" s="483"/>
      <c r="AG80" s="484"/>
      <c r="AH80" s="506"/>
      <c r="AI80" s="486"/>
      <c r="AJ80" s="448"/>
      <c r="AK80" s="476"/>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4" t="str">
        <f>BG36</f>
        <v/>
      </c>
      <c r="BH80" s="478"/>
      <c r="BI80" s="479"/>
      <c r="BJ80" s="480"/>
      <c r="BK80" s="480"/>
      <c r="BL80" s="480"/>
      <c r="BM80" s="481"/>
      <c r="BN80" s="482"/>
      <c r="BO80" s="483"/>
      <c r="BP80" s="484"/>
      <c r="BQ80" s="506"/>
      <c r="BR80" s="486"/>
      <c r="BS80" s="43"/>
    </row>
    <row r="81" ht="36.75" customHeight="1">
      <c r="A81" s="443"/>
      <c r="B81" s="487"/>
      <c r="C81" s="451"/>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0"/>
      <c r="D82" s="446"/>
      <c r="E82" s="446"/>
      <c r="F82" s="446"/>
      <c r="G82" s="449"/>
      <c r="H82" s="446"/>
      <c r="I82" s="446"/>
      <c r="J82" s="446"/>
      <c r="K82" s="449"/>
      <c r="L82" s="446"/>
      <c r="M82" s="446"/>
      <c r="N82" s="446"/>
      <c r="O82" s="449"/>
      <c r="P82" s="446"/>
      <c r="Q82" s="446"/>
      <c r="R82" s="446"/>
      <c r="S82" s="449"/>
      <c r="T82" s="446"/>
      <c r="U82" s="446"/>
      <c r="V82" s="447"/>
      <c r="W82" s="43"/>
      <c r="X82" s="498" t="str">
        <f>X38</f>
        <v>912</v>
      </c>
      <c r="Y82" s="499"/>
      <c r="Z82" s="500"/>
      <c r="AA82" s="501"/>
      <c r="AB82" s="501"/>
      <c r="AC82" s="501"/>
      <c r="AD82" s="502"/>
      <c r="AE82" s="503"/>
      <c r="AF82" s="504"/>
      <c r="AG82" s="505"/>
      <c r="AH82" s="506"/>
      <c r="AI82" s="486"/>
      <c r="AJ82" s="448"/>
      <c r="AK82" s="476"/>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5" t="str">
        <f>BG38</f>
        <v/>
      </c>
      <c r="BH82" s="499"/>
      <c r="BI82" s="500"/>
      <c r="BJ82" s="501"/>
      <c r="BK82" s="501"/>
      <c r="BL82" s="501"/>
      <c r="BM82" s="502"/>
      <c r="BN82" s="503"/>
      <c r="BO82" s="504"/>
      <c r="BP82" s="505"/>
      <c r="BQ82" s="506"/>
      <c r="BR82" s="486"/>
      <c r="BS82" s="43"/>
    </row>
    <row r="83" ht="36.75" customHeight="1">
      <c r="A83" s="443"/>
      <c r="B83" s="487"/>
      <c r="C83" s="451"/>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0"/>
      <c r="D84" s="446"/>
      <c r="E84" s="446"/>
      <c r="F84" s="446"/>
      <c r="G84" s="449"/>
      <c r="H84" s="446"/>
      <c r="I84" s="446"/>
      <c r="J84" s="446"/>
      <c r="K84" s="449"/>
      <c r="L84" s="446"/>
      <c r="M84" s="446"/>
      <c r="N84" s="446"/>
      <c r="O84" s="449"/>
      <c r="P84" s="446"/>
      <c r="Q84" s="446"/>
      <c r="R84" s="446"/>
      <c r="S84" s="449"/>
      <c r="T84" s="446"/>
      <c r="U84" s="446"/>
      <c r="V84" s="447"/>
      <c r="W84" s="43"/>
      <c r="X84" s="477" t="str">
        <f>X40</f>
        <v>93</v>
      </c>
      <c r="Y84" s="478"/>
      <c r="Z84" s="479"/>
      <c r="AA84" s="480"/>
      <c r="AB84" s="480"/>
      <c r="AC84" s="480"/>
      <c r="AD84" s="481"/>
      <c r="AE84" s="482"/>
      <c r="AF84" s="483"/>
      <c r="AG84" s="484"/>
      <c r="AH84" s="506"/>
      <c r="AI84" s="486"/>
      <c r="AJ84" s="448"/>
      <c r="AK84" s="476"/>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4" t="str">
        <f>BG40</f>
        <v/>
      </c>
      <c r="BH84" s="478"/>
      <c r="BI84" s="479"/>
      <c r="BJ84" s="480"/>
      <c r="BK84" s="480"/>
      <c r="BL84" s="480"/>
      <c r="BM84" s="481"/>
      <c r="BN84" s="482"/>
      <c r="BO84" s="483"/>
      <c r="BP84" s="484"/>
      <c r="BQ84" s="506"/>
      <c r="BR84" s="486"/>
      <c r="BS84" s="43"/>
    </row>
    <row r="85" ht="36.75" customHeight="1">
      <c r="A85" s="443"/>
      <c r="B85" s="487"/>
      <c r="C85" s="451"/>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6" t="s">
        <v>300</v>
      </c>
      <c r="B86" s="344"/>
      <c r="C86" s="344"/>
      <c r="D86" s="344"/>
      <c r="E86" s="344"/>
      <c r="F86" s="344"/>
      <c r="G86" s="344"/>
      <c r="H86" s="344"/>
      <c r="I86" s="344"/>
      <c r="J86" s="344"/>
      <c r="K86" s="344"/>
      <c r="L86" s="344"/>
      <c r="M86" s="344"/>
      <c r="N86" s="344"/>
      <c r="O86" s="344"/>
      <c r="P86" s="344"/>
      <c r="Q86" s="344"/>
      <c r="R86" s="344"/>
      <c r="S86" s="517" t="s">
        <v>297</v>
      </c>
      <c r="T86" s="518"/>
      <c r="U86" s="519"/>
      <c r="V86" s="520"/>
      <c r="W86" s="43"/>
      <c r="X86" s="498" t="str">
        <f>X42</f>
        <v>999</v>
      </c>
      <c r="Y86" s="499"/>
      <c r="Z86" s="500"/>
      <c r="AA86" s="501"/>
      <c r="AB86" s="501"/>
      <c r="AC86" s="501"/>
      <c r="AD86" s="502"/>
      <c r="AE86" s="503"/>
      <c r="AF86" s="504"/>
      <c r="AG86" s="505"/>
      <c r="AH86" s="506"/>
      <c r="AI86" s="486"/>
      <c r="AJ86" s="516" t="s">
        <v>301</v>
      </c>
      <c r="AK86" s="344"/>
      <c r="AL86" s="344"/>
      <c r="AM86" s="344"/>
      <c r="AN86" s="344"/>
      <c r="AO86" s="344"/>
      <c r="AP86" s="344"/>
      <c r="AQ86" s="344"/>
      <c r="AR86" s="344"/>
      <c r="AS86" s="344"/>
      <c r="AT86" s="344"/>
      <c r="AU86" s="344"/>
      <c r="AV86" s="344"/>
      <c r="AW86" s="344"/>
      <c r="AX86" s="344"/>
      <c r="AY86" s="344"/>
      <c r="AZ86" s="344"/>
      <c r="BA86" s="344"/>
      <c r="BB86" s="517" t="s">
        <v>297</v>
      </c>
      <c r="BC86" s="518"/>
      <c r="BD86" s="519"/>
      <c r="BE86" s="520"/>
      <c r="BF86" s="43"/>
      <c r="BG86" s="515"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302</v>
      </c>
      <c r="AD88" s="8"/>
      <c r="AE88" s="8"/>
      <c r="AF88" s="8"/>
      <c r="AG88" s="8"/>
      <c r="AH88" s="8"/>
      <c r="AI88" s="9"/>
      <c r="BB88" s="521"/>
      <c r="BC88" s="521"/>
      <c r="BD88" s="521"/>
      <c r="BE88" s="521"/>
      <c r="BF88" s="43"/>
      <c r="BG88" s="525"/>
      <c r="BH88" s="526"/>
      <c r="BI88" s="526"/>
      <c r="BJ88" s="526"/>
      <c r="BK88" s="526"/>
      <c r="BL88" s="527" t="s">
        <v>302</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303</v>
      </c>
    </row>
    <row r="2" ht="15.0" customHeight="1">
      <c r="A2" s="5" t="str">
        <f>IF(IGRF!B10="","PLEASE FILL IN THE IGRF TAB!",IGRF!$B$10&amp;" / "&amp;IGRF!$B$11&amp;" vs. "&amp;IGRF!$I$10&amp;" / "&amp;IGRF!$I$11&amp;IF(IGRF!$L$3="",""," Game "&amp;IGRF!$L$3))</f>
        <v>Tiger Bay Brawlers / Challengers vs. Dublin Roller Derby / The Be Grands Game 1</v>
      </c>
    </row>
    <row r="3" ht="15.0" customHeight="1">
      <c r="A3" s="532">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304</v>
      </c>
      <c r="B4" s="46"/>
      <c r="C4" s="533" t="s">
        <v>305</v>
      </c>
      <c r="D4" s="45"/>
      <c r="E4" s="45"/>
      <c r="F4" s="46"/>
      <c r="G4" s="534"/>
      <c r="H4" s="535"/>
      <c r="I4" s="536"/>
      <c r="J4" s="537" t="s">
        <v>306</v>
      </c>
      <c r="K4" s="45"/>
      <c r="L4" s="45"/>
      <c r="M4" s="45"/>
      <c r="N4" s="45"/>
      <c r="O4" s="45"/>
      <c r="P4" s="46"/>
      <c r="Q4" s="536"/>
      <c r="R4" s="537" t="s">
        <v>307</v>
      </c>
      <c r="S4" s="45"/>
      <c r="T4" s="45"/>
      <c r="U4" s="45"/>
      <c r="V4" s="45"/>
      <c r="W4" s="45"/>
      <c r="X4" s="45"/>
      <c r="Y4" s="45"/>
      <c r="Z4" s="45"/>
      <c r="AA4" s="45"/>
      <c r="AB4" s="45"/>
      <c r="AC4" s="46"/>
      <c r="AD4" s="537" t="s">
        <v>308</v>
      </c>
      <c r="AE4" s="45"/>
      <c r="AF4" s="45"/>
      <c r="AG4" s="45"/>
      <c r="AH4" s="45"/>
      <c r="AI4" s="45"/>
      <c r="AJ4" s="45"/>
      <c r="AK4" s="46"/>
      <c r="AL4" s="537" t="s">
        <v>309</v>
      </c>
      <c r="AM4" s="46"/>
    </row>
    <row r="5" ht="63.75" customHeight="1">
      <c r="A5" s="538" t="s">
        <v>228</v>
      </c>
      <c r="B5" s="539" t="str">
        <f>Score!$A$1</f>
        <v>Tiger Bay Brawlers / Challengers</v>
      </c>
      <c r="C5" s="540" t="s">
        <v>310</v>
      </c>
      <c r="D5" s="541" t="s">
        <v>311</v>
      </c>
      <c r="E5" s="541" t="s">
        <v>312</v>
      </c>
      <c r="F5" s="542" t="s">
        <v>231</v>
      </c>
      <c r="G5" s="543" t="s">
        <v>313</v>
      </c>
      <c r="H5" s="544" t="s">
        <v>314</v>
      </c>
      <c r="I5" s="545" t="s">
        <v>315</v>
      </c>
      <c r="J5" s="546" t="s">
        <v>205</v>
      </c>
      <c r="K5" s="547" t="s">
        <v>206</v>
      </c>
      <c r="L5" s="547" t="s">
        <v>316</v>
      </c>
      <c r="M5" s="547" t="s">
        <v>317</v>
      </c>
      <c r="N5" s="547" t="s">
        <v>318</v>
      </c>
      <c r="O5" s="547" t="s">
        <v>319</v>
      </c>
      <c r="P5" s="547" t="s">
        <v>320</v>
      </c>
      <c r="Q5" s="548" t="s">
        <v>321</v>
      </c>
      <c r="R5" s="540" t="s">
        <v>322</v>
      </c>
      <c r="S5" s="547" t="s">
        <v>323</v>
      </c>
      <c r="T5" s="544" t="s">
        <v>324</v>
      </c>
      <c r="U5" s="540" t="s">
        <v>325</v>
      </c>
      <c r="V5" s="540" t="s">
        <v>326</v>
      </c>
      <c r="W5" s="549" t="s">
        <v>327</v>
      </c>
      <c r="X5" s="541" t="s">
        <v>328</v>
      </c>
      <c r="Y5" s="550" t="s">
        <v>329</v>
      </c>
      <c r="Z5" s="541" t="s">
        <v>330</v>
      </c>
      <c r="AA5" s="550" t="s">
        <v>331</v>
      </c>
      <c r="AB5" s="541" t="s">
        <v>332</v>
      </c>
      <c r="AC5" s="551" t="s">
        <v>333</v>
      </c>
      <c r="AD5" s="552" t="s">
        <v>334</v>
      </c>
      <c r="AE5" s="552" t="s">
        <v>335</v>
      </c>
      <c r="AF5" s="553" t="s">
        <v>336</v>
      </c>
      <c r="AG5" s="554" t="s">
        <v>337</v>
      </c>
      <c r="AH5" s="554" t="s">
        <v>338</v>
      </c>
      <c r="AI5" s="554" t="s">
        <v>339</v>
      </c>
      <c r="AJ5" s="554" t="s">
        <v>340</v>
      </c>
      <c r="AK5" s="555" t="s">
        <v>341</v>
      </c>
      <c r="AL5" s="556" t="s">
        <v>342</v>
      </c>
      <c r="AM5" s="46"/>
    </row>
    <row r="6" ht="19.5" customHeight="1">
      <c r="A6" s="557" t="str">
        <f>IF(ISBLANK(IGRF!$B14),"",IGRF!$B14)</f>
        <v>04</v>
      </c>
      <c r="B6" s="558" t="str">
        <f>IF(ISBLANK(IGRF!$C14),"",IGRF!$C14)</f>
        <v>Nina</v>
      </c>
      <c r="C6" s="559">
        <f>IF(A6="","",SUM(LU!O9,LU!O108))</f>
        <v>0</v>
      </c>
      <c r="D6" s="559">
        <f>IF(A6="","",SUM(LU!D9,LU!D108))</f>
        <v>0</v>
      </c>
      <c r="E6" s="559">
        <f>IF(A6="","",SUM(LU!J9,LU!J108))</f>
        <v>13</v>
      </c>
      <c r="F6" s="560">
        <f>IF(A6="","",(SUM(C6:E6)-(SUMPRODUCT(--(Lineups!C$4:C$41=A6),--(Lineups!A$4:A$41="SP"))+SUMPRODUCT(--(Lineups!G$4:G$41=A6),--(Lineups!A$4:A$41="SP"))+SUMPRODUCT(--(Lineups!C$46:C$83=A6),--(Lineups!A$46:A$83="SP"))+SUMPRODUCT(--(Lineups!G$46:G$83=A6),--(Lineups!A$46:A$83="SP")))))</f>
        <v>13</v>
      </c>
      <c r="G6" s="561">
        <f>IF(OR(A6="",F6=0,LU!D$3+LU!D$102=0),"",F6/(LU!D$3+LU!D$102))</f>
        <v>0.2954545455</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24</v>
      </c>
      <c r="S6" s="559">
        <f>IF(OR(A6="",F6=0),"",SUM(LU!Q78,LU!Q177))</f>
        <v>127</v>
      </c>
      <c r="T6" s="562">
        <f>IF(OR(A6="",F6=0),"",SUM(LU!Q32,LU!Q131))</f>
        <v>-103</v>
      </c>
      <c r="U6" s="559" t="str">
        <f>IF(OR(A6="",C6=0),"",SUM(LU!O32,LU!O131))</f>
        <v/>
      </c>
      <c r="V6" s="571" t="str">
        <f t="shared" ref="V6:V25" si="3">IF(OR(A6="",C6=0),"",U6/C6)</f>
        <v/>
      </c>
      <c r="W6" s="572" t="str">
        <f>IF(OR(A6="",D6=0),"",SUM(LU!D32,LU!D131))</f>
        <v/>
      </c>
      <c r="X6" s="571" t="str">
        <f t="shared" ref="X6:X25" si="4">IF(OR(A6="",D6=0),"",W6/D6)</f>
        <v/>
      </c>
      <c r="Y6" s="572">
        <f>IF(OR(A6="",E6=0),"",SUM(LU!J32,LU!J131))</f>
        <v>-103</v>
      </c>
      <c r="Z6" s="571">
        <f t="shared" ref="Z6:Z25" si="5">IF(OR(A6="",E6=0),"",Y6/E6)</f>
        <v>-7.923076923</v>
      </c>
      <c r="AA6" s="573">
        <f>IF(OR(A6="",AND(D6=0, E6=0)),"",SUM(LU!L32,LU!L131))</f>
        <v>-103</v>
      </c>
      <c r="AB6" s="574">
        <f t="shared" ref="AB6:AB25" si="6">IF(OR(A6="",AND(D6=0, E6=0)),"",AA6/(D6+E6))</f>
        <v>-7.923076923</v>
      </c>
      <c r="AC6" s="569">
        <f>IF(OR(A6="",F6=0),"",T6/F6)</f>
        <v>-7.923076923</v>
      </c>
      <c r="AD6" s="575">
        <f>IF(OR(A6="",F6=0,R$26="-",LU!$D$5=0),"",R6-R$26)</f>
        <v>-16</v>
      </c>
      <c r="AE6" s="576">
        <f>IF(OR(A6="",F6=0,S$26="-",LU!$D$5=0),"",S6-S$26)</f>
        <v>14.66666667</v>
      </c>
      <c r="AF6" s="577">
        <f t="shared" ref="AF6:AF25" si="7">IF(OR(A6="",F6=0,AD6=""),"",AD6-AE6)</f>
        <v>-30.66666667</v>
      </c>
      <c r="AG6" s="578" t="str">
        <f t="shared" ref="AG6:AG25" si="8">IF(OR($A6="",C6=0),"",V6-V$26)</f>
        <v/>
      </c>
      <c r="AH6" s="578" t="str">
        <f t="shared" ref="AH6:AH25" si="9">IF(OR($A6="",D6=0),"",X6-X$26)</f>
        <v/>
      </c>
      <c r="AI6" s="579">
        <f t="shared" ref="AI6:AI25" si="10">IF(OR($A6="",E6=0),"",Z6-Z$26)</f>
        <v>-4.455448353</v>
      </c>
      <c r="AJ6" s="580">
        <f t="shared" ref="AJ6:AJ25" si="11">IF(OR($A6="",AND(D6=0, E6=0)),"",AB6-AB$26)</f>
        <v>-4.990009594</v>
      </c>
      <c r="AK6" s="581">
        <f>IF(OR($A6="",AC6="",AC$26="-",LU!$D$5=0),"",AC6-AC$26)</f>
        <v>-2.851175121</v>
      </c>
      <c r="AL6" s="582">
        <f>IF(OR(A6="",F6=0),"",SUM(PT!U3,PT!U4))</f>
        <v>1</v>
      </c>
      <c r="AM6" s="50"/>
    </row>
    <row r="7" ht="19.5" customHeight="1">
      <c r="A7" s="583" t="str">
        <f>IF(ISBLANK(IGRF!$B15),"",IGRF!$B15)</f>
        <v>16</v>
      </c>
      <c r="B7" s="584" t="str">
        <f>IF(ISBLANK(IGRF!$C15),"",IGRF!$C15)</f>
        <v>Saabor</v>
      </c>
      <c r="C7" s="585">
        <f>IF(A7="","",SUM(LU!O10,LU!O109))</f>
        <v>11</v>
      </c>
      <c r="D7" s="585">
        <f>IF(A7="","",SUM(LU!D10,LU!D109))</f>
        <v>0</v>
      </c>
      <c r="E7" s="586">
        <f>IF(A7="","",SUM(LU!J10,LU!J109))</f>
        <v>1</v>
      </c>
      <c r="F7" s="587">
        <f>IF(A7="","",(SUM(C7:E7)-(SUMPRODUCT(--(Lineups!C$4:C$41=A7),--(Lineups!A$4:A$41="SP"))+SUMPRODUCT(--(Lineups!G$4:G$41=A7),--(Lineups!A$4:A$41="SP"))+SUMPRODUCT(--(Lineups!C$46:C$83=A7),--(Lineups!A$46:A$83="SP"))+SUMPRODUCT(--(Lineups!G$46:G$83=A7),--(Lineups!A$46:A$83="SP")))))</f>
        <v>11</v>
      </c>
      <c r="G7" s="588">
        <f>IF(OR(A7="",F7=0,LU!D$3+LU!D$102=0),"",F7/(LU!D$3+LU!D$102))</f>
        <v>0.25</v>
      </c>
      <c r="H7" s="589">
        <f>IF(OR(C7=0,A7=""),"",SK!D177)</f>
        <v>27</v>
      </c>
      <c r="I7" s="590">
        <f>IF(OR(A7="",SK!E177="",SK!E177=0),"",H7/SK!E177)</f>
        <v>2.454545455</v>
      </c>
      <c r="J7" s="591">
        <f>IF(OR(A7="",C7=0),"",SK!G177)</f>
        <v>1</v>
      </c>
      <c r="K7" s="592">
        <f>IF(OR(A7="",C7=0),"",SK!H177)</f>
        <v>2</v>
      </c>
      <c r="L7" s="593">
        <f>IF(OR(A7="",C7=0),"",SK!J177)</f>
        <v>2</v>
      </c>
      <c r="M7" s="593">
        <f>IF(OR(A7="",C7=0),"",SK!L177)</f>
        <v>0</v>
      </c>
      <c r="N7" s="593">
        <f>IF(OR(A7="",C7=0),"",SUMPRODUCT(--(Lineups!$A$4:$A$41="SP"),--(Lineups!$C$4:$C$41=A7))+SUMPRODUCT(--(Lineups!$A$46:$A$83="SP"),--(Lineups!$C$46:$C$83=A7)))</f>
        <v>0</v>
      </c>
      <c r="O7" s="594">
        <f t="shared" si="1"/>
        <v>0.1818181818</v>
      </c>
      <c r="P7" s="595">
        <f>IF(OR(A7="",C7=0),"",SK!I177)</f>
        <v>11</v>
      </c>
      <c r="Q7" s="596">
        <f t="shared" si="2"/>
        <v>5.5</v>
      </c>
      <c r="R7" s="597">
        <f>IF(OR(A7="",F7=0),"",SUM(LU!Q56,LU!Q155))</f>
        <v>31</v>
      </c>
      <c r="S7" s="585">
        <f>IF(OR(A7="",F7=0),"",SUM(LU!Q79,LU!Q178))</f>
        <v>67</v>
      </c>
      <c r="T7" s="589">
        <f>IF(OR(A7="",F7=0),"",SUM(LU!Q33,LU!Q132))</f>
        <v>-36</v>
      </c>
      <c r="U7" s="585">
        <f>IF(OR(A7="",C7=0),"",SUM(LU!O33,LU!O132))</f>
        <v>-40</v>
      </c>
      <c r="V7" s="598">
        <f t="shared" si="3"/>
        <v>-3.636363636</v>
      </c>
      <c r="W7" s="599" t="str">
        <f>IF(OR(A7="",D7=0),"",SUM(LU!D33,LU!D132))</f>
        <v/>
      </c>
      <c r="X7" s="598" t="str">
        <f t="shared" si="4"/>
        <v/>
      </c>
      <c r="Y7" s="599">
        <f>IF(OR(A7="",E7=0),"",SUM(LU!J33,LU!J132))</f>
        <v>4</v>
      </c>
      <c r="Z7" s="600">
        <f t="shared" si="5"/>
        <v>4</v>
      </c>
      <c r="AA7" s="599">
        <f>IF(OR(A7="",AND(D7=0, E7=0)),"",SUM(LU!L33,LU!L132))</f>
        <v>4</v>
      </c>
      <c r="AB7" s="598">
        <f t="shared" si="6"/>
        <v>4</v>
      </c>
      <c r="AC7" s="601">
        <f t="shared" ref="AC7:AC25" si="12">IF(OR(A7="",F7="",F7=0),"",T7/F7)</f>
        <v>-3.272727273</v>
      </c>
      <c r="AD7" s="602">
        <f>IF(OR(A7="",F7=0,R$26="-",LU!$D$5=0),"",R7-R$26)</f>
        <v>-9</v>
      </c>
      <c r="AE7" s="603">
        <f>IF(OR(A7="",F7=0,S$26="-",LU!$D$5=0),"",S7-S$26)</f>
        <v>-45.33333333</v>
      </c>
      <c r="AF7" s="604">
        <f t="shared" si="7"/>
        <v>36.33333333</v>
      </c>
      <c r="AG7" s="605">
        <f t="shared" si="8"/>
        <v>-1.254545455</v>
      </c>
      <c r="AH7" s="605" t="str">
        <f t="shared" si="9"/>
        <v/>
      </c>
      <c r="AI7" s="606">
        <f t="shared" si="10"/>
        <v>7.46762857</v>
      </c>
      <c r="AJ7" s="605">
        <f t="shared" si="11"/>
        <v>6.933067329</v>
      </c>
      <c r="AK7" s="607">
        <f>IF(OR($A7="",AC7="",AC$26="-",LU!$D$5=0),"",AC7-AC$26)</f>
        <v>1.799174529</v>
      </c>
      <c r="AL7" s="608">
        <f>IF(OR(A7="",F7=0),"",SUM(PT!U5,PT!U6))</f>
        <v>1</v>
      </c>
      <c r="AM7" s="87"/>
    </row>
    <row r="8" ht="19.5" customHeight="1">
      <c r="A8" s="583" t="str">
        <f>IF(ISBLANK(IGRF!$B16),"",IGRF!$B16)</f>
        <v>177</v>
      </c>
      <c r="B8" s="584" t="str">
        <f>IF(ISBLANK(IGRF!$C16),"",IGRF!$C16)</f>
        <v>Phoenix</v>
      </c>
      <c r="C8" s="585">
        <f>IF(A8="","",SUM(LU!O11,LU!O110))</f>
        <v>0</v>
      </c>
      <c r="D8" s="585">
        <f>IF(A8="","",SUM(LU!D11,LU!D110))</f>
        <v>0</v>
      </c>
      <c r="E8" s="586">
        <f>IF(A8="","",SUM(LU!J11,LU!J110))</f>
        <v>18</v>
      </c>
      <c r="F8" s="587">
        <f>IF(A8="","",(SUM(C8:E8)-(SUMPRODUCT(--(Lineups!C$4:C$41=A8),--(Lineups!A$4:A$41="SP"))+SUMPRODUCT(--(Lineups!G$4:G$41=A8),--(Lineups!A$4:A$41="SP"))+SUMPRODUCT(--(Lineups!C$46:C$83=A8),--(Lineups!A$46:A$83="SP"))+SUMPRODUCT(--(Lineups!G$46:G$83=A8),--(Lineups!A$46:A$83="SP")))))</f>
        <v>18</v>
      </c>
      <c r="G8" s="588">
        <f>IF(OR(A8="",F8=0,LU!D$3+LU!D$102=0),"",F8/(LU!D$3+LU!D$102))</f>
        <v>0.4090909091</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51</v>
      </c>
      <c r="S8" s="585">
        <f>IF(OR(A8="",F8=0),"",SUM(LU!Q80,LU!Q179))</f>
        <v>128</v>
      </c>
      <c r="T8" s="589">
        <f>IF(OR(A8="",F8=0),"",SUM(LU!Q34,LU!Q133))</f>
        <v>-77</v>
      </c>
      <c r="U8" s="585" t="str">
        <f>IF(OR(A8="",C8=0),"",SUM(LU!O34,LU!O133))</f>
        <v/>
      </c>
      <c r="V8" s="598" t="str">
        <f t="shared" si="3"/>
        <v/>
      </c>
      <c r="W8" s="599" t="str">
        <f>IF(OR(A8="",D8=0),"",SUM(LU!D34,LU!D133))</f>
        <v/>
      </c>
      <c r="X8" s="598" t="str">
        <f t="shared" si="4"/>
        <v/>
      </c>
      <c r="Y8" s="599">
        <f>IF(OR(A8="",E8=0),"",SUM(LU!J34,LU!J133))</f>
        <v>-77</v>
      </c>
      <c r="Z8" s="598">
        <f t="shared" si="5"/>
        <v>-4.277777778</v>
      </c>
      <c r="AA8" s="599">
        <f>IF(OR(A8="",AND(D8=0, E8=0)),"",SUM(LU!L34,LU!L133))</f>
        <v>-77</v>
      </c>
      <c r="AB8" s="598">
        <f t="shared" si="6"/>
        <v>-4.277777778</v>
      </c>
      <c r="AC8" s="596">
        <f t="shared" si="12"/>
        <v>-4.277777778</v>
      </c>
      <c r="AD8" s="602">
        <f>IF(OR(A8="",F8=0,R$26="-",LU!$D$5=0),"",R8-R$26)</f>
        <v>11</v>
      </c>
      <c r="AE8" s="603">
        <f>IF(OR(A8="",F8=0,S$26="-",LU!$D$5=0),"",S8-S$26)</f>
        <v>15.66666667</v>
      </c>
      <c r="AF8" s="604">
        <f t="shared" si="7"/>
        <v>-4.666666667</v>
      </c>
      <c r="AG8" s="605" t="str">
        <f t="shared" si="8"/>
        <v/>
      </c>
      <c r="AH8" s="605" t="str">
        <f t="shared" si="9"/>
        <v/>
      </c>
      <c r="AI8" s="606">
        <f t="shared" si="10"/>
        <v>-0.8101492075</v>
      </c>
      <c r="AJ8" s="605">
        <f t="shared" si="11"/>
        <v>-1.344710448</v>
      </c>
      <c r="AK8" s="609">
        <f>IF(OR($A8="",AC8="",AC$26="-",LU!$D$5=0),"",AC8-AC$26)</f>
        <v>0.7941240241</v>
      </c>
      <c r="AL8" s="608">
        <f>IF(OR(A8="",F8=0),"",SUM(PT!U7,PT!U8))</f>
        <v>5</v>
      </c>
      <c r="AM8" s="87"/>
    </row>
    <row r="9" ht="19.5" customHeight="1">
      <c r="A9" s="583" t="str">
        <f>IF(ISBLANK(IGRF!$B17),"",IGRF!$B17)</f>
        <v>215</v>
      </c>
      <c r="B9" s="584" t="str">
        <f>IF(ISBLANK(IGRF!$C17),"",IGRF!$C17)</f>
        <v>Pollock</v>
      </c>
      <c r="C9" s="585">
        <f>IF(A9="","",SUM(LU!O12,LU!O111))</f>
        <v>3</v>
      </c>
      <c r="D9" s="585">
        <f>IF(A9="","",SUM(LU!D12,LU!D111))</f>
        <v>0</v>
      </c>
      <c r="E9" s="586">
        <f>IF(A9="","",SUM(LU!J12,LU!J111))</f>
        <v>0</v>
      </c>
      <c r="F9" s="587">
        <f>IF(A9="","",(SUM(C9:E9)-(SUMPRODUCT(--(Lineups!C$4:C$41=A9),--(Lineups!A$4:A$41="SP"))+SUMPRODUCT(--(Lineups!G$4:G$41=A9),--(Lineups!A$4:A$41="SP"))+SUMPRODUCT(--(Lineups!C$46:C$83=A9),--(Lineups!A$46:A$83="SP"))+SUMPRODUCT(--(Lineups!G$46:G$83=A9),--(Lineups!A$46:A$83="SP")))))</f>
        <v>3</v>
      </c>
      <c r="G9" s="588">
        <f>IF(OR(A9="",F9=0,LU!D$3+LU!D$102=0),"",F9/(LU!D$3+LU!D$102))</f>
        <v>0.06818181818</v>
      </c>
      <c r="H9" s="589">
        <f>IF(OR(C9=0,A9=""),"",SK!D183)</f>
        <v>4</v>
      </c>
      <c r="I9" s="590">
        <f>IF(OR(A9="",SK!E183="",SK!E183=0),"",H9/SK!E183)</f>
        <v>1.333333333</v>
      </c>
      <c r="J9" s="591">
        <f>IF(OR(A9="",C9=0),"",SK!G183)</f>
        <v>0</v>
      </c>
      <c r="K9" s="592">
        <f>IF(OR(A9="",C9=0),"",SK!H183)</f>
        <v>1</v>
      </c>
      <c r="L9" s="593">
        <f>IF(OR(A9="",C9=0),"",SK!J183)</f>
        <v>0</v>
      </c>
      <c r="M9" s="593">
        <f>IF(OR(A9="",C9=0),"",SK!L183)</f>
        <v>0</v>
      </c>
      <c r="N9" s="593">
        <f>IF(OR(A9="",C9=0),"",SUMPRODUCT(--(Lineups!$A$4:$A$41="SP"),--(Lineups!$C$4:$C$41=A9))+SUMPRODUCT(--(Lineups!$A$46:$A$83="SP"),--(Lineups!$C$46:$C$83=A9)))</f>
        <v>0</v>
      </c>
      <c r="O9" s="594">
        <f t="shared" si="1"/>
        <v>0.3333333333</v>
      </c>
      <c r="P9" s="595">
        <f>IF(OR(A9="",C9=0),"",SK!I183)</f>
        <v>-3</v>
      </c>
      <c r="Q9" s="596">
        <f t="shared" si="2"/>
        <v>-3</v>
      </c>
      <c r="R9" s="597">
        <f>IF(OR(A9="",F9=0),"",SUM(LU!Q58,LU!Q157))</f>
        <v>4</v>
      </c>
      <c r="S9" s="585">
        <f>IF(OR(A9="",F9=0),"",SUM(LU!Q81,LU!Q180))</f>
        <v>25</v>
      </c>
      <c r="T9" s="589">
        <f>IF(OR(A9="",F9=0),"",SUM(LU!Q35,LU!Q134))</f>
        <v>-21</v>
      </c>
      <c r="U9" s="585">
        <f>IF(OR(A9="",C9=0),"",SUM(LU!O35,LU!O134))</f>
        <v>-21</v>
      </c>
      <c r="V9" s="598">
        <f t="shared" si="3"/>
        <v>-7</v>
      </c>
      <c r="W9" s="599" t="str">
        <f>IF(OR(A9="",D9=0),"",SUM(LU!D35,LU!D134))</f>
        <v/>
      </c>
      <c r="X9" s="598" t="str">
        <f t="shared" si="4"/>
        <v/>
      </c>
      <c r="Y9" s="599" t="str">
        <f>IF(OR(A9="",E9=0),"",SUM(LU!J35,LU!J134))</f>
        <v/>
      </c>
      <c r="Z9" s="598" t="str">
        <f t="shared" si="5"/>
        <v/>
      </c>
      <c r="AA9" s="599" t="str">
        <f>IF(OR(A9="",AND(D9=0, E9=0)),"",SUM(LU!L35,LU!L134))</f>
        <v/>
      </c>
      <c r="AB9" s="598" t="str">
        <f t="shared" si="6"/>
        <v/>
      </c>
      <c r="AC9" s="596">
        <f t="shared" si="12"/>
        <v>-7</v>
      </c>
      <c r="AD9" s="602">
        <f>IF(OR(A9="",F9=0,R$26="-",LU!$D$5=0),"",R9-R$26)</f>
        <v>-36</v>
      </c>
      <c r="AE9" s="603">
        <f>IF(OR(A9="",F9=0,S$26="-",LU!$D$5=0),"",S9-S$26)</f>
        <v>-87.33333333</v>
      </c>
      <c r="AF9" s="604">
        <f t="shared" si="7"/>
        <v>51.33333333</v>
      </c>
      <c r="AG9" s="605">
        <f t="shared" si="8"/>
        <v>-4.618181818</v>
      </c>
      <c r="AH9" s="605" t="str">
        <f t="shared" si="9"/>
        <v/>
      </c>
      <c r="AI9" s="606" t="str">
        <f t="shared" si="10"/>
        <v/>
      </c>
      <c r="AJ9" s="605" t="str">
        <f t="shared" si="11"/>
        <v/>
      </c>
      <c r="AK9" s="609">
        <f>IF(OR($A9="",AC9="",AC$26="-",LU!$D$5=0),"",AC9-AC$26)</f>
        <v>-1.928098198</v>
      </c>
      <c r="AL9" s="608">
        <f>IF(OR(A9="",F9=0),"",SUM(PT!U9,PT!U10))</f>
        <v>0</v>
      </c>
      <c r="AM9" s="87"/>
    </row>
    <row r="10" ht="19.5" customHeight="1">
      <c r="A10" s="583" t="str">
        <f>IF(ISBLANK(IGRF!$B18),"",IGRF!$B18)</f>
        <v>27</v>
      </c>
      <c r="B10" s="584" t="str">
        <f>IF(ISBLANK(IGRF!$C18),"",IGRF!$C18)</f>
        <v>MegaHurtz</v>
      </c>
      <c r="C10" s="585">
        <f>IF(A10="","",SUM(LU!O13,LU!O112))</f>
        <v>0</v>
      </c>
      <c r="D10" s="585">
        <f>IF(A10="","",SUM(LU!D13,LU!D112))</f>
        <v>0</v>
      </c>
      <c r="E10" s="586">
        <f>IF(A10="","",SUM(LU!J13,LU!J112))</f>
        <v>0</v>
      </c>
      <c r="F10" s="587">
        <f>IF(A10="","",(SUM(C10:E10)-(SUMPRODUCT(--(Lineups!C$4:C$41=A10),--(Lineups!A$4:A$41="SP"))+SUMPRODUCT(--(Lineups!G$4:G$41=A10),--(Lineups!A$4:A$41="SP"))+SUMPRODUCT(--(Lineups!C$46:C$83=A10),--(Lineups!A$46:A$83="SP"))+SUMPRODUCT(--(Lineups!G$46:G$83=A10),--(Lineups!A$46:A$83="SP")))))</f>
        <v>0</v>
      </c>
      <c r="G10" s="588" t="str">
        <f>IF(OR(A10="",F10=0,LU!D$3+LU!D$102=0),"",F10/(LU!D$3+LU!D$102))</f>
        <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t="str">
        <f>IF(OR(A10="",F10=0),"",SUM(LU!Q59,LU!Q158))</f>
        <v/>
      </c>
      <c r="S10" s="585" t="str">
        <f>IF(OR(A10="",F10=0),"",SUM(LU!Q82,LU!Q181))</f>
        <v/>
      </c>
      <c r="T10" s="589" t="str">
        <f>IF(OR(A10="",F10=0),"",SUM(LU!Q36,LU!Q135))</f>
        <v/>
      </c>
      <c r="U10" s="585" t="str">
        <f>IF(OR(A10="",C10=0),"",SUM(LU!O36,LU!O135))</f>
        <v/>
      </c>
      <c r="V10" s="598" t="str">
        <f t="shared" si="3"/>
        <v/>
      </c>
      <c r="W10" s="599" t="str">
        <f>IF(OR(A10="",D10=0),"",SUM(LU!D36,LU!D135))</f>
        <v/>
      </c>
      <c r="X10" s="598" t="str">
        <f t="shared" si="4"/>
        <v/>
      </c>
      <c r="Y10" s="599" t="str">
        <f>IF(OR(A10="",E10=0),"",SUM(LU!J36,LU!J135))</f>
        <v/>
      </c>
      <c r="Z10" s="598" t="str">
        <f t="shared" si="5"/>
        <v/>
      </c>
      <c r="AA10" s="599" t="str">
        <f>IF(OR(A10="",AND(D10=0, E10=0)),"",SUM(LU!L36,LU!L135))</f>
        <v/>
      </c>
      <c r="AB10" s="598" t="str">
        <f t="shared" si="6"/>
        <v/>
      </c>
      <c r="AC10" s="596" t="str">
        <f t="shared" si="12"/>
        <v/>
      </c>
      <c r="AD10" s="602" t="str">
        <f>IF(OR(A10="",F10=0,R$26="-",LU!$D$5=0),"",R10-R$26)</f>
        <v/>
      </c>
      <c r="AE10" s="603" t="str">
        <f>IF(OR(A10="",F10=0,S$26="-",LU!$D$5=0),"",S10-S$26)</f>
        <v/>
      </c>
      <c r="AF10" s="604" t="str">
        <f t="shared" si="7"/>
        <v/>
      </c>
      <c r="AG10" s="605" t="str">
        <f t="shared" si="8"/>
        <v/>
      </c>
      <c r="AH10" s="605" t="str">
        <f t="shared" si="9"/>
        <v/>
      </c>
      <c r="AI10" s="606" t="str">
        <f t="shared" si="10"/>
        <v/>
      </c>
      <c r="AJ10" s="605" t="str">
        <f t="shared" si="11"/>
        <v/>
      </c>
      <c r="AK10" s="609" t="str">
        <f>IF(OR($A10="",AC10="",AC$26="-",LU!$D$5=0),"",AC10-AC$26)</f>
        <v/>
      </c>
      <c r="AL10" s="608" t="str">
        <f>IF(OR(A10="",F10=0),"",SUM(PT!U11,PT!U12))</f>
        <v/>
      </c>
      <c r="AM10" s="87"/>
    </row>
    <row r="11" ht="19.5" customHeight="1">
      <c r="A11" s="583" t="str">
        <f>IF(ISBLANK(IGRF!$B19),"",IGRF!$B19)</f>
        <v>271</v>
      </c>
      <c r="B11" s="584" t="str">
        <f>IF(ISBLANK(IGRF!$C19),"",IGRF!$C19)</f>
        <v>Peb Canary</v>
      </c>
      <c r="C11" s="585">
        <f>IF(A11="","",SUM(LU!O14,LU!O113))</f>
        <v>10</v>
      </c>
      <c r="D11" s="585">
        <f>IF(A11="","",SUM(LU!D14,LU!D113))</f>
        <v>0</v>
      </c>
      <c r="E11" s="586">
        <f>IF(A11="","",SUM(LU!J14,LU!J113))</f>
        <v>2</v>
      </c>
      <c r="F11" s="587">
        <f>IF(A11="","",(SUM(C11:E11)-(SUMPRODUCT(--(Lineups!C$4:C$41=A11),--(Lineups!A$4:A$41="SP"))+SUMPRODUCT(--(Lineups!G$4:G$41=A11),--(Lineups!A$4:A$41="SP"))+SUMPRODUCT(--(Lineups!C$46:C$83=A11),--(Lineups!A$46:A$83="SP"))+SUMPRODUCT(--(Lineups!G$46:G$83=A11),--(Lineups!A$46:A$83="SP")))))</f>
        <v>10</v>
      </c>
      <c r="G11" s="588">
        <f>IF(OR(A11="",F11=0,LU!D$3+LU!D$102=0),"",F11/(LU!D$3+LU!D$102))</f>
        <v>0.2272727273</v>
      </c>
      <c r="H11" s="589">
        <f>IF(OR(C11=0,A11=""),"",SK!D189)</f>
        <v>36</v>
      </c>
      <c r="I11" s="590">
        <f>IF(OR(A11="",SK!E189="",SK!E189=0),"",H11/SK!E189)</f>
        <v>3.6</v>
      </c>
      <c r="J11" s="591">
        <f>IF(OR(A11="",C11=0),"",SK!G189)</f>
        <v>0</v>
      </c>
      <c r="K11" s="592">
        <f>IF(OR(A11="",C11=0),"",SK!H189)</f>
        <v>3</v>
      </c>
      <c r="L11" s="593">
        <f>IF(OR(A11="",C11=0),"",SK!J189)</f>
        <v>3</v>
      </c>
      <c r="M11" s="593">
        <f>IF(OR(A11="",C11=0),"",SK!L189)</f>
        <v>2</v>
      </c>
      <c r="N11" s="593">
        <f>IF(OR(A11="",C11=0),"",SUMPRODUCT(--(Lineups!$A$4:$A$41="SP"),--(Lineups!$C$4:$C$41=A11))+SUMPRODUCT(--(Lineups!$A$46:$A$83="SP"),--(Lineups!$C$46:$C$83=A11)))</f>
        <v>0</v>
      </c>
      <c r="O11" s="594">
        <f t="shared" si="1"/>
        <v>0.3</v>
      </c>
      <c r="P11" s="595">
        <f>IF(OR(A11="",C11=0),"",SK!I189)</f>
        <v>24</v>
      </c>
      <c r="Q11" s="596">
        <f t="shared" si="2"/>
        <v>8</v>
      </c>
      <c r="R11" s="597">
        <f>IF(OR(A11="",F11=0),"",SUM(LU!Q60,LU!Q159))</f>
        <v>36</v>
      </c>
      <c r="S11" s="585">
        <f>IF(OR(A11="",F11=0),"",SUM(LU!Q83,LU!Q182))</f>
        <v>58</v>
      </c>
      <c r="T11" s="589">
        <f>IF(OR(A11="",F11=0),"",SUM(LU!Q37,LU!Q136))</f>
        <v>-22</v>
      </c>
      <c r="U11" s="585">
        <f>IF(OR(A11="",C11=0),"",SUM(LU!O37,LU!O136))</f>
        <v>-22</v>
      </c>
      <c r="V11" s="598">
        <f t="shared" si="3"/>
        <v>-2.2</v>
      </c>
      <c r="W11" s="599" t="str">
        <f>IF(OR(A11="",D11=0),"",SUM(LU!D37,LU!D136))</f>
        <v/>
      </c>
      <c r="X11" s="598" t="str">
        <f t="shared" si="4"/>
        <v/>
      </c>
      <c r="Y11" s="599">
        <f>IF(OR(A11="",E11=0),"",SUM(LU!J37,LU!J136))</f>
        <v>0</v>
      </c>
      <c r="Z11" s="598">
        <f t="shared" si="5"/>
        <v>0</v>
      </c>
      <c r="AA11" s="599">
        <f>IF(OR(A11="",AND(D11=0, E11=0)),"",SUM(LU!L37,LU!L136))</f>
        <v>0</v>
      </c>
      <c r="AB11" s="598">
        <f t="shared" si="6"/>
        <v>0</v>
      </c>
      <c r="AC11" s="596">
        <f t="shared" si="12"/>
        <v>-2.2</v>
      </c>
      <c r="AD11" s="602">
        <f>IF(OR(A11="",F11=0,R$26="-",LU!$D$5=0),"",R11-R$26)</f>
        <v>-4</v>
      </c>
      <c r="AE11" s="603">
        <f>IF(OR(A11="",F11=0,S$26="-",LU!$D$5=0),"",S11-S$26)</f>
        <v>-54.33333333</v>
      </c>
      <c r="AF11" s="604">
        <f t="shared" si="7"/>
        <v>50.33333333</v>
      </c>
      <c r="AG11" s="605">
        <f t="shared" si="8"/>
        <v>0.1818181818</v>
      </c>
      <c r="AH11" s="605" t="str">
        <f t="shared" si="9"/>
        <v/>
      </c>
      <c r="AI11" s="606">
        <f t="shared" si="10"/>
        <v>3.46762857</v>
      </c>
      <c r="AJ11" s="605">
        <f t="shared" si="11"/>
        <v>2.933067329</v>
      </c>
      <c r="AK11" s="609">
        <f>IF(OR($A11="",AC11="",AC$26="-",LU!$D$5=0),"",AC11-AC$26)</f>
        <v>2.871901802</v>
      </c>
      <c r="AL11" s="608">
        <f>IF(OR(A11="",F11=0),"",SUM(PT!U13,PT!U14))</f>
        <v>0</v>
      </c>
      <c r="AM11" s="87"/>
    </row>
    <row r="12" ht="19.5" customHeight="1">
      <c r="A12" s="583" t="str">
        <f>IF(ISBLANK(IGRF!$B20),"",IGRF!$B20)</f>
        <v>220</v>
      </c>
      <c r="B12" s="584" t="str">
        <f>IF(ISBLANK(IGRF!$C20),"",IGRF!$C20)</f>
        <v>Cerosene</v>
      </c>
      <c r="C12" s="585">
        <f>IF(A12="","",SUM(LU!O15,LU!O114))</f>
        <v>1</v>
      </c>
      <c r="D12" s="585">
        <f>IF(A12="","",SUM(LU!D15,LU!D114))</f>
        <v>2</v>
      </c>
      <c r="E12" s="586">
        <f>IF(A12="","",SUM(LU!J15,LU!J114))</f>
        <v>19</v>
      </c>
      <c r="F12" s="587">
        <f>IF(A12="","",(SUM(C12:E12)-(SUMPRODUCT(--(Lineups!C$4:C$41=A12),--(Lineups!A$4:A$41="SP"))+SUMPRODUCT(--(Lineups!G$4:G$41=A12),--(Lineups!A$4:A$41="SP"))+SUMPRODUCT(--(Lineups!C$46:C$83=A12),--(Lineups!A$46:A$83="SP"))+SUMPRODUCT(--(Lineups!G$46:G$83=A12),--(Lineups!A$46:A$83="SP")))))</f>
        <v>21</v>
      </c>
      <c r="G12" s="588">
        <f>IF(OR(A12="",F12=0,LU!D$3+LU!D$102=0),"",F12/(LU!D$3+LU!D$102))</f>
        <v>0.4772727273</v>
      </c>
      <c r="H12" s="589">
        <f>IF(OR(C12=0,A12=""),"",SK!D192)</f>
        <v>4</v>
      </c>
      <c r="I12" s="590">
        <f>IF(OR(A12="",SK!E192="",SK!E192=0),"",H12/SK!E192)</f>
        <v>4</v>
      </c>
      <c r="J12" s="591">
        <f>IF(OR(A12="",C12=0),"",SK!G192)</f>
        <v>0</v>
      </c>
      <c r="K12" s="592">
        <f>IF(OR(A12="",C12=0),"",SK!H192)</f>
        <v>0</v>
      </c>
      <c r="L12" s="593">
        <f>IF(OR(A12="",C12=0),"",SK!J192)</f>
        <v>0</v>
      </c>
      <c r="M12" s="593">
        <f>IF(OR(A12="",C12=0),"",SK!L192)</f>
        <v>0</v>
      </c>
      <c r="N12" s="593">
        <f>IF(OR(A12="",C12=0),"",SUMPRODUCT(--(Lineups!$A$4:$A$41="SP"),--(Lineups!$C$4:$C$41=A12))+SUMPRODUCT(--(Lineups!$A$46:$A$83="SP"),--(Lineups!$C$46:$C$83=A12)))</f>
        <v>1</v>
      </c>
      <c r="O12" s="594" t="str">
        <f t="shared" si="1"/>
        <v/>
      </c>
      <c r="P12" s="595">
        <f>IF(OR(A12="",C12=0),"",SK!I192)</f>
        <v>0</v>
      </c>
      <c r="Q12" s="596" t="str">
        <f t="shared" si="2"/>
        <v/>
      </c>
      <c r="R12" s="597">
        <f>IF(OR(A12="",F12=0),"",SUM(LU!Q61,LU!Q160))</f>
        <v>57</v>
      </c>
      <c r="S12" s="585">
        <f>IF(OR(A12="",F12=0),"",SUM(LU!Q84,LU!Q183))</f>
        <v>153</v>
      </c>
      <c r="T12" s="589">
        <f>IF(OR(A12="",F12=0),"",SUM(LU!Q38,LU!Q137))</f>
        <v>-96</v>
      </c>
      <c r="U12" s="585">
        <f>IF(OR(A12="",C12=0),"",SUM(LU!O38,LU!O137))</f>
        <v>4</v>
      </c>
      <c r="V12" s="598">
        <f t="shared" si="3"/>
        <v>4</v>
      </c>
      <c r="W12" s="599">
        <f>IF(OR(A12="",D12=0),"",SUM(LU!D38,LU!D137))</f>
        <v>-34</v>
      </c>
      <c r="X12" s="598">
        <f t="shared" si="4"/>
        <v>-17</v>
      </c>
      <c r="Y12" s="599">
        <f>IF(OR(A12="",E12=0),"",SUM(LU!J38,LU!J137))</f>
        <v>-66</v>
      </c>
      <c r="Z12" s="598">
        <f t="shared" si="5"/>
        <v>-3.473684211</v>
      </c>
      <c r="AA12" s="599">
        <f>IF(OR(A12="",AND(D12=0, E12=0)),"",SUM(LU!L38,LU!L137))</f>
        <v>-100</v>
      </c>
      <c r="AB12" s="598">
        <f t="shared" si="6"/>
        <v>-4.761904762</v>
      </c>
      <c r="AC12" s="596">
        <f t="shared" si="12"/>
        <v>-4.571428571</v>
      </c>
      <c r="AD12" s="602">
        <f>IF(OR(A12="",F12=0,R$26="-",LU!$D$5=0),"",R12-R$26)</f>
        <v>17</v>
      </c>
      <c r="AE12" s="603">
        <f>IF(OR(A12="",F12=0,S$26="-",LU!$D$5=0),"",S12-S$26)</f>
        <v>40.66666667</v>
      </c>
      <c r="AF12" s="604">
        <f t="shared" si="7"/>
        <v>-23.66666667</v>
      </c>
      <c r="AG12" s="605">
        <f t="shared" si="8"/>
        <v>6.381818182</v>
      </c>
      <c r="AH12" s="605">
        <f t="shared" si="9"/>
        <v>-9.204352227</v>
      </c>
      <c r="AI12" s="606">
        <f t="shared" si="10"/>
        <v>-0.006055640266</v>
      </c>
      <c r="AJ12" s="605">
        <f t="shared" si="11"/>
        <v>-1.828837432</v>
      </c>
      <c r="AK12" s="609">
        <f>IF(OR($A12="",AC12="",AC$26="-",LU!$D$5=0),"",AC12-AC$26)</f>
        <v>0.5004732305</v>
      </c>
      <c r="AL12" s="608">
        <f>IF(OR(A12="",F12=0),"",SUM(PT!U15,PT!U16))</f>
        <v>3</v>
      </c>
      <c r="AM12" s="87"/>
    </row>
    <row r="13" ht="19.5" customHeight="1">
      <c r="A13" s="583" t="str">
        <f>IF(ISBLANK(IGRF!$B21),"",IGRF!$B21)</f>
        <v>3556</v>
      </c>
      <c r="B13" s="584" t="str">
        <f>IF(ISBLANK(IGRF!$C21),"",IGRF!$C21)</f>
        <v>Crystal Beth</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7"/>
    </row>
    <row r="14" ht="19.5" customHeight="1">
      <c r="A14" s="583" t="str">
        <f>IF(ISBLANK(IGRF!$B22),"",IGRF!$B22)</f>
        <v>360</v>
      </c>
      <c r="B14" s="584" t="str">
        <f>IF(ISBLANK(IGRF!$C22),"",IGRF!$C22)</f>
        <v>Baxter</v>
      </c>
      <c r="C14" s="585">
        <f>IF(A14="","",SUM(LU!O17,LU!O116))</f>
        <v>0</v>
      </c>
      <c r="D14" s="585">
        <f>IF(A14="","",SUM(LU!D17,LU!D116))</f>
        <v>0</v>
      </c>
      <c r="E14" s="586">
        <f>IF(A14="","",SUM(LU!J17,LU!J116))</f>
        <v>0</v>
      </c>
      <c r="F14" s="587">
        <f>IF(A14="","",(SUM(C14:E14)-(SUMPRODUCT(--(Lineups!C$4:C$41=A14),--(Lineups!A$4:A$41="SP"))+SUMPRODUCT(--(Lineups!G$4:G$41=A14),--(Lineups!A$4:A$41="SP"))+SUMPRODUCT(--(Lineups!C$46:C$83=A14),--(Lineups!A$46:A$83="SP"))+SUMPRODUCT(--(Lineups!G$46:G$83=A14),--(Lineups!A$46:A$83="SP")))))</f>
        <v>0</v>
      </c>
      <c r="G14" s="588" t="str">
        <f>IF(OR(A14="",F14=0,LU!D$3+LU!D$102=0),"",F14/(LU!D$3+LU!D$102))</f>
        <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t="str">
        <f>IF(OR(A14="",F14=0),"",SUM(LU!Q63,LU!Q162))</f>
        <v/>
      </c>
      <c r="S14" s="585" t="str">
        <f>IF(OR(A14="",F14=0),"",SUM(LU!Q86,LU!Q185))</f>
        <v/>
      </c>
      <c r="T14" s="589" t="str">
        <f>IF(OR(A14="",F14=0),"",SUM(LU!Q40,LU!Q139))</f>
        <v/>
      </c>
      <c r="U14" s="585" t="str">
        <f>IF(OR(A14="",C14=0),"",SUM(LU!O40,LU!O139))</f>
        <v/>
      </c>
      <c r="V14" s="598" t="str">
        <f t="shared" si="3"/>
        <v/>
      </c>
      <c r="W14" s="599" t="str">
        <f>IF(OR(A14="",D14=0),"",SUM(LU!D40,LU!D139))</f>
        <v/>
      </c>
      <c r="X14" s="598" t="str">
        <f t="shared" si="4"/>
        <v/>
      </c>
      <c r="Y14" s="599" t="str">
        <f>IF(OR(A14="",E14=0),"",SUM(LU!J40,LU!J139))</f>
        <v/>
      </c>
      <c r="Z14" s="598" t="str">
        <f t="shared" si="5"/>
        <v/>
      </c>
      <c r="AA14" s="599" t="str">
        <f>IF(OR(A14="",AND(D14=0, E14=0)),"",SUM(LU!L40,LU!L139))</f>
        <v/>
      </c>
      <c r="AB14" s="598" t="str">
        <f t="shared" si="6"/>
        <v/>
      </c>
      <c r="AC14" s="596" t="str">
        <f t="shared" si="12"/>
        <v/>
      </c>
      <c r="AD14" s="602" t="str">
        <f>IF(OR(A14="",F14=0,R$26="-",LU!$D$5=0),"",R14-R$26)</f>
        <v/>
      </c>
      <c r="AE14" s="603" t="str">
        <f>IF(OR(A14="",F14=0,S$26="-",LU!$D$5=0),"",S14-S$26)</f>
        <v/>
      </c>
      <c r="AF14" s="604" t="str">
        <f t="shared" si="7"/>
        <v/>
      </c>
      <c r="AG14" s="605" t="str">
        <f t="shared" si="8"/>
        <v/>
      </c>
      <c r="AH14" s="605" t="str">
        <f t="shared" si="9"/>
        <v/>
      </c>
      <c r="AI14" s="606" t="str">
        <f t="shared" si="10"/>
        <v/>
      </c>
      <c r="AJ14" s="605" t="str">
        <f t="shared" si="11"/>
        <v/>
      </c>
      <c r="AK14" s="609" t="str">
        <f>IF(OR($A14="",AC14="",AC$26="-",LU!$D$5=0),"",AC14-AC$26)</f>
        <v/>
      </c>
      <c r="AL14" s="608" t="str">
        <f>IF(OR(A14="",F14=0),"",SUM(PT!U19,PT!U20))</f>
        <v/>
      </c>
      <c r="AM14" s="87"/>
    </row>
    <row r="15" ht="19.5" customHeight="1">
      <c r="A15" s="583" t="str">
        <f>IF(ISBLANK(IGRF!$B23),"",IGRF!$B23)</f>
        <v>40</v>
      </c>
      <c r="B15" s="584" t="str">
        <f>IF(ISBLANK(IGRF!$C23),"",IGRF!$C23)</f>
        <v>Kid</v>
      </c>
      <c r="C15" s="585">
        <f>IF(A15="","",SUM(LU!O18,LU!O117))</f>
        <v>0</v>
      </c>
      <c r="D15" s="585">
        <f>IF(A15="","",SUM(LU!D18,LU!D117))</f>
        <v>0</v>
      </c>
      <c r="E15" s="586">
        <f>IF(A15="","",SUM(LU!J18,LU!J117))</f>
        <v>0</v>
      </c>
      <c r="F15" s="587">
        <f>IF(A15="","",(SUM(C15:E15)-(SUMPRODUCT(--(Lineups!C$4:C$41=A15),--(Lineups!A$4:A$41="SP"))+SUMPRODUCT(--(Lineups!G$4:G$41=A15),--(Lineups!A$4:A$41="SP"))+SUMPRODUCT(--(Lineups!C$46:C$83=A15),--(Lineups!A$46:A$83="SP"))+SUMPRODUCT(--(Lineups!G$46:G$83=A15),--(Lineups!A$46:A$83="SP")))))</f>
        <v>0</v>
      </c>
      <c r="G15" s="588" t="str">
        <f>IF(OR(A15="",F15=0,LU!D$3+LU!D$102=0),"",F15/(LU!D$3+LU!D$102))</f>
        <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t="str">
        <f>IF(OR(A15="",F15=0),"",SUM(LU!Q64,LU!Q163))</f>
        <v/>
      </c>
      <c r="S15" s="585" t="str">
        <f>IF(OR(A15="",F15=0),"",SUM(LU!Q87,LU!Q186))</f>
        <v/>
      </c>
      <c r="T15" s="589" t="str">
        <f>IF(OR(A15="",F15=0),"",SUM(LU!Q41,LU!Q140))</f>
        <v/>
      </c>
      <c r="U15" s="585" t="str">
        <f>IF(OR(A15="",C15=0),"",SUM(LU!O41,LU!O140))</f>
        <v/>
      </c>
      <c r="V15" s="598" t="str">
        <f t="shared" si="3"/>
        <v/>
      </c>
      <c r="W15" s="599" t="str">
        <f>IF(OR(A15="",D15=0),"",SUM(LU!D41,LU!D140))</f>
        <v/>
      </c>
      <c r="X15" s="598" t="str">
        <f t="shared" si="4"/>
        <v/>
      </c>
      <c r="Y15" s="599" t="str">
        <f>IF(OR(A15="",E15=0),"",SUM(LU!J41,LU!J140))</f>
        <v/>
      </c>
      <c r="Z15" s="598" t="str">
        <f t="shared" si="5"/>
        <v/>
      </c>
      <c r="AA15" s="599" t="str">
        <f>IF(OR(A15="",AND(D15=0, E15=0)),"",SUM(LU!L41,LU!L140))</f>
        <v/>
      </c>
      <c r="AB15" s="598" t="str">
        <f t="shared" si="6"/>
        <v/>
      </c>
      <c r="AC15" s="596" t="str">
        <f t="shared" si="12"/>
        <v/>
      </c>
      <c r="AD15" s="602" t="str">
        <f>IF(OR(A15="",F15=0,R$26="-",LU!$D$5=0),"",R15-R$26)</f>
        <v/>
      </c>
      <c r="AE15" s="603" t="str">
        <f>IF(OR(A15="",F15=0,S$26="-",LU!$D$5=0),"",S15-S$26)</f>
        <v/>
      </c>
      <c r="AF15" s="604" t="str">
        <f t="shared" si="7"/>
        <v/>
      </c>
      <c r="AG15" s="605" t="str">
        <f t="shared" si="8"/>
        <v/>
      </c>
      <c r="AH15" s="605" t="str">
        <f t="shared" si="9"/>
        <v/>
      </c>
      <c r="AI15" s="606" t="str">
        <f t="shared" si="10"/>
        <v/>
      </c>
      <c r="AJ15" s="605" t="str">
        <f t="shared" si="11"/>
        <v/>
      </c>
      <c r="AK15" s="609" t="str">
        <f>IF(OR($A15="",AC15="",AC$26="-",LU!$D$5=0),"",AC15-AC$26)</f>
        <v/>
      </c>
      <c r="AL15" s="608" t="str">
        <f>IF(OR(A15="",F15=0),"",SUM(PT!U21,PT!U22))</f>
        <v/>
      </c>
      <c r="AM15" s="87"/>
    </row>
    <row r="16" ht="19.5" customHeight="1">
      <c r="A16" s="583" t="str">
        <f>IF(ISBLANK(IGRF!$B24),"",IGRF!$B24)</f>
        <v>42</v>
      </c>
      <c r="B16" s="584" t="str">
        <f>IF(ISBLANK(IGRF!$C24),"",IGRF!$C24)</f>
        <v>Bosh</v>
      </c>
      <c r="C16" s="585">
        <f>IF(A16="","",SUM(LU!O19,LU!O118))</f>
        <v>1</v>
      </c>
      <c r="D16" s="585">
        <f>IF(A16="","",SUM(LU!D19,LU!D118))</f>
        <v>13</v>
      </c>
      <c r="E16" s="586">
        <f>IF(A16="","",SUM(LU!J19,LU!J118))</f>
        <v>11</v>
      </c>
      <c r="F16" s="587">
        <f>IF(A16="","",(SUM(C16:E16)-(SUMPRODUCT(--(Lineups!C$4:C$41=A16),--(Lineups!A$4:A$41="SP"))+SUMPRODUCT(--(Lineups!G$4:G$41=A16),--(Lineups!A$4:A$41="SP"))+SUMPRODUCT(--(Lineups!C$46:C$83=A16),--(Lineups!A$46:A$83="SP"))+SUMPRODUCT(--(Lineups!G$46:G$83=A16),--(Lineups!A$46:A$83="SP")))))</f>
        <v>24</v>
      </c>
      <c r="G16" s="588">
        <f>IF(OR(A16="",F16=0,LU!D$3+LU!D$102=0),"",F16/(LU!D$3+LU!D$102))</f>
        <v>0.5454545455</v>
      </c>
      <c r="H16" s="589">
        <f>IF(OR(C16=0,A16=""),"",SK!D204)</f>
        <v>0</v>
      </c>
      <c r="I16" s="590">
        <f>IF(OR(A16="",SK!E204="",SK!E204=0),"",H16/SK!E204)</f>
        <v>0</v>
      </c>
      <c r="J16" s="591">
        <f>IF(OR(A16="",C16=0),"",SK!G204)</f>
        <v>0</v>
      </c>
      <c r="K16" s="592">
        <f>IF(OR(A16="",C16=0),"",SK!H204)</f>
        <v>0</v>
      </c>
      <c r="L16" s="593">
        <f>IF(OR(A16="",C16=0),"",SK!J204)</f>
        <v>0</v>
      </c>
      <c r="M16" s="593">
        <f>IF(OR(A16="",C16=0),"",SK!L204)</f>
        <v>0</v>
      </c>
      <c r="N16" s="593">
        <f>IF(OR(A16="",C16=0),"",SUMPRODUCT(--(Lineups!$A$4:$A$41="SP"),--(Lineups!$C$4:$C$41=A16))+SUMPRODUCT(--(Lineups!$A$46:$A$83="SP"),--(Lineups!$C$46:$C$83=A16)))</f>
        <v>1</v>
      </c>
      <c r="O16" s="594" t="str">
        <f t="shared" si="1"/>
        <v/>
      </c>
      <c r="P16" s="595">
        <f>IF(OR(A16="",C16=0),"",SK!I204)</f>
        <v>0</v>
      </c>
      <c r="Q16" s="596" t="str">
        <f t="shared" si="2"/>
        <v/>
      </c>
      <c r="R16" s="597">
        <f>IF(OR(A16="",F16=0),"",SUM(LU!Q65,LU!Q164))</f>
        <v>58</v>
      </c>
      <c r="S16" s="585">
        <f>IF(OR(A16="",F16=0),"",SUM(LU!Q88,LU!Q187))</f>
        <v>192</v>
      </c>
      <c r="T16" s="589">
        <f>IF(OR(A16="",F16=0),"",SUM(LU!Q42,LU!Q141))</f>
        <v>-134</v>
      </c>
      <c r="U16" s="585">
        <f>IF(OR(A16="",C16=0),"",SUM(LU!O42,LU!O141))</f>
        <v>0</v>
      </c>
      <c r="V16" s="598">
        <f t="shared" si="3"/>
        <v>0</v>
      </c>
      <c r="W16" s="599">
        <f>IF(OR(A16="",D16=0),"",SUM(LU!D42,LU!D141))</f>
        <v>-97</v>
      </c>
      <c r="X16" s="598">
        <f t="shared" si="4"/>
        <v>-7.461538462</v>
      </c>
      <c r="Y16" s="599">
        <f>IF(OR(A16="",E16=0),"",SUM(LU!J42,LU!J141))</f>
        <v>-37</v>
      </c>
      <c r="Z16" s="598">
        <f t="shared" si="5"/>
        <v>-3.363636364</v>
      </c>
      <c r="AA16" s="599">
        <f>IF(OR(A16="",AND(D16=0, E16=0)),"",SUM(LU!L42,LU!L141))</f>
        <v>-134</v>
      </c>
      <c r="AB16" s="598">
        <f t="shared" si="6"/>
        <v>-5.583333333</v>
      </c>
      <c r="AC16" s="596">
        <f t="shared" si="12"/>
        <v>-5.583333333</v>
      </c>
      <c r="AD16" s="602">
        <f>IF(OR(A16="",F16=0,R$26="-",LU!$D$5=0),"",R16-R$26)</f>
        <v>18</v>
      </c>
      <c r="AE16" s="603">
        <f>IF(OR(A16="",F16=0,S$26="-",LU!$D$5=0),"",S16-S$26)</f>
        <v>79.66666667</v>
      </c>
      <c r="AF16" s="604">
        <f t="shared" si="7"/>
        <v>-61.66666667</v>
      </c>
      <c r="AG16" s="605">
        <f t="shared" si="8"/>
        <v>2.381818182</v>
      </c>
      <c r="AH16" s="605">
        <f t="shared" si="9"/>
        <v>0.3341093117</v>
      </c>
      <c r="AI16" s="606">
        <f t="shared" si="10"/>
        <v>0.1039922066</v>
      </c>
      <c r="AJ16" s="605">
        <f t="shared" si="11"/>
        <v>-2.650266004</v>
      </c>
      <c r="AK16" s="609">
        <f>IF(OR($A16="",AC16="",AC$26="-",LU!$D$5=0),"",AC16-AC$26)</f>
        <v>-0.5114315314</v>
      </c>
      <c r="AL16" s="608">
        <f>IF(OR(A16="",F16=0),"",SUM(PT!U23,PT!U24))</f>
        <v>4</v>
      </c>
      <c r="AM16" s="87"/>
    </row>
    <row r="17" ht="19.5" customHeight="1">
      <c r="A17" s="583" t="str">
        <f>IF(ISBLANK(IGRF!$B25),"",IGRF!$B25)</f>
        <v>44</v>
      </c>
      <c r="B17" s="584" t="str">
        <f>IF(ISBLANK(IGRF!$C25),"",IGRF!$C25)</f>
        <v>Esparcieux</v>
      </c>
      <c r="C17" s="585">
        <f>IF(A17="","",SUM(LU!O20,LU!O119))</f>
        <v>0</v>
      </c>
      <c r="D17" s="585">
        <f>IF(A17="","",SUM(LU!D20,LU!D119))</f>
        <v>0</v>
      </c>
      <c r="E17" s="586">
        <f>IF(A17="","",SUM(LU!J20,LU!J119))</f>
        <v>0</v>
      </c>
      <c r="F17" s="587">
        <f>IF(A17="","",(SUM(C17:E17)-(SUMPRODUCT(--(Lineups!C$4:C$41=A17),--(Lineups!A$4:A$41="SP"))+SUMPRODUCT(--(Lineups!G$4:G$41=A17),--(Lineups!A$4:A$41="SP"))+SUMPRODUCT(--(Lineups!C$46:C$83=A17),--(Lineups!A$46:A$83="SP"))+SUMPRODUCT(--(Lineups!G$46:G$83=A17),--(Lineups!A$46:A$83="SP")))))</f>
        <v>0</v>
      </c>
      <c r="G17" s="588" t="str">
        <f>IF(OR(A17="",F17=0,LU!D$3+LU!D$102=0),"",F17/(LU!D$3+LU!D$102))</f>
        <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t="str">
        <f>IF(OR(A17="",F17=0),"",SUM(LU!Q66,LU!Q165))</f>
        <v/>
      </c>
      <c r="S17" s="585" t="str">
        <f>IF(OR(A17="",F17=0),"",SUM(LU!Q89,LU!Q188))</f>
        <v/>
      </c>
      <c r="T17" s="589" t="str">
        <f>IF(OR(A17="",F17=0),"",SUM(LU!Q43,LU!Q142))</f>
        <v/>
      </c>
      <c r="U17" s="585" t="str">
        <f>IF(OR(A17="",C17=0),"",SUM(LU!O43,LU!O142))</f>
        <v/>
      </c>
      <c r="V17" s="598" t="str">
        <f t="shared" si="3"/>
        <v/>
      </c>
      <c r="W17" s="599" t="str">
        <f>IF(OR(A17="",D17=0),"",SUM(LU!D43,LU!D142))</f>
        <v/>
      </c>
      <c r="X17" s="598" t="str">
        <f t="shared" si="4"/>
        <v/>
      </c>
      <c r="Y17" s="599" t="str">
        <f>IF(OR(A17="",E17=0),"",SUM(LU!J43,LU!J142))</f>
        <v/>
      </c>
      <c r="Z17" s="598" t="str">
        <f t="shared" si="5"/>
        <v/>
      </c>
      <c r="AA17" s="599" t="str">
        <f>IF(OR(A17="",AND(D17=0, E17=0)),"",SUM(LU!L43,LU!L142))</f>
        <v/>
      </c>
      <c r="AB17" s="598" t="str">
        <f t="shared" si="6"/>
        <v/>
      </c>
      <c r="AC17" s="596" t="str">
        <f t="shared" si="12"/>
        <v/>
      </c>
      <c r="AD17" s="602" t="str">
        <f>IF(OR(A17="",F17=0,R$26="-",LU!$D$5=0),"",R17-R$26)</f>
        <v/>
      </c>
      <c r="AE17" s="603" t="str">
        <f>IF(OR(A17="",F17=0,S$26="-",LU!$D$5=0),"",S17-S$26)</f>
        <v/>
      </c>
      <c r="AF17" s="604" t="str">
        <f t="shared" si="7"/>
        <v/>
      </c>
      <c r="AG17" s="605" t="str">
        <f t="shared" si="8"/>
        <v/>
      </c>
      <c r="AH17" s="605" t="str">
        <f t="shared" si="9"/>
        <v/>
      </c>
      <c r="AI17" s="606" t="str">
        <f t="shared" si="10"/>
        <v/>
      </c>
      <c r="AJ17" s="605" t="str">
        <f t="shared" si="11"/>
        <v/>
      </c>
      <c r="AK17" s="609" t="str">
        <f>IF(OR($A17="",AC17="",AC$26="-",LU!$D$5=0),"",AC17-AC$26)</f>
        <v/>
      </c>
      <c r="AL17" s="608" t="str">
        <f>IF(OR(A17="",F17=0),"",SUM(PT!U25,PT!U26))</f>
        <v/>
      </c>
      <c r="AM17" s="87"/>
    </row>
    <row r="18" ht="19.5" customHeight="1">
      <c r="A18" s="583" t="str">
        <f>IF(ISBLANK(IGRF!$B26),"",IGRF!$B26)</f>
        <v>45</v>
      </c>
      <c r="B18" s="584" t="str">
        <f>IF(ISBLANK(IGRF!$C26),"",IGRF!$C26)</f>
        <v>Hawk</v>
      </c>
      <c r="C18" s="585">
        <f>IF(A18="","",SUM(LU!O21,LU!O120))</f>
        <v>10</v>
      </c>
      <c r="D18" s="585">
        <f>IF(A18="","",SUM(LU!D21,LU!D120))</f>
        <v>0</v>
      </c>
      <c r="E18" s="586">
        <f>IF(A18="","",SUM(LU!J21,LU!J120))</f>
        <v>3</v>
      </c>
      <c r="F18" s="587">
        <f>IF(A18="","",(SUM(C18:E18)-(SUMPRODUCT(--(Lineups!C$4:C$41=A18),--(Lineups!A$4:A$41="SP"))+SUMPRODUCT(--(Lineups!G$4:G$41=A18),--(Lineups!A$4:A$41="SP"))+SUMPRODUCT(--(Lineups!C$46:C$83=A18),--(Lineups!A$46:A$83="SP"))+SUMPRODUCT(--(Lineups!G$46:G$83=A18),--(Lineups!A$46:A$83="SP")))))</f>
        <v>10</v>
      </c>
      <c r="G18" s="588">
        <f>IF(OR(A18="",F18=0,LU!D$3+LU!D$102=0),"",F18/(LU!D$3+LU!D$102))</f>
        <v>0.2272727273</v>
      </c>
      <c r="H18" s="589">
        <f>IF(OR(C18=0,A18=""),"",SK!D210)</f>
        <v>20</v>
      </c>
      <c r="I18" s="590">
        <f>IF(OR(A18="",SK!E210="",SK!E210=0),"",H18/SK!E210)</f>
        <v>2</v>
      </c>
      <c r="J18" s="591">
        <f>IF(OR(A18="",C18=0),"",SK!G210)</f>
        <v>0</v>
      </c>
      <c r="K18" s="592">
        <f>IF(OR(A18="",C18=0),"",SK!H210)</f>
        <v>2</v>
      </c>
      <c r="L18" s="593">
        <f>IF(OR(A18="",C18=0),"",SK!J210)</f>
        <v>2</v>
      </c>
      <c r="M18" s="593">
        <f>IF(OR(A18="",C18=0),"",SK!L210)</f>
        <v>5</v>
      </c>
      <c r="N18" s="593">
        <f>IF(OR(A18="",C18=0),"",SUMPRODUCT(--(Lineups!$A$4:$A$41="SP"),--(Lineups!$C$4:$C$41=A18))+SUMPRODUCT(--(Lineups!$A$46:$A$83="SP"),--(Lineups!$C$46:$C$83=A18)))</f>
        <v>0</v>
      </c>
      <c r="O18" s="594">
        <f t="shared" si="1"/>
        <v>0.2</v>
      </c>
      <c r="P18" s="595">
        <f>IF(OR(A18="",C18=0),"",SK!I210)</f>
        <v>0</v>
      </c>
      <c r="Q18" s="596">
        <f t="shared" si="2"/>
        <v>0</v>
      </c>
      <c r="R18" s="597">
        <f>IF(OR(A18="",F18=0),"",SUM(LU!Q67,LU!Q166))</f>
        <v>24</v>
      </c>
      <c r="S18" s="585">
        <f>IF(OR(A18="",F18=0),"",SUM(LU!Q90,LU!Q189))</f>
        <v>91</v>
      </c>
      <c r="T18" s="589">
        <f>IF(OR(A18="",F18=0),"",SUM(LU!Q44,LU!Q143))</f>
        <v>-67</v>
      </c>
      <c r="U18" s="585">
        <f>IF(OR(A18="",C18=0),"",SUM(LU!O44,LU!O143))</f>
        <v>-71</v>
      </c>
      <c r="V18" s="598">
        <f t="shared" si="3"/>
        <v>-7.1</v>
      </c>
      <c r="W18" s="599" t="str">
        <f>IF(OR(A18="",D18=0),"",SUM(LU!D44,LU!D143))</f>
        <v/>
      </c>
      <c r="X18" s="598" t="str">
        <f t="shared" si="4"/>
        <v/>
      </c>
      <c r="Y18" s="599">
        <f>IF(OR(A18="",E18=0),"",SUM(LU!J44,LU!J143))</f>
        <v>4</v>
      </c>
      <c r="Z18" s="598">
        <f t="shared" si="5"/>
        <v>1.333333333</v>
      </c>
      <c r="AA18" s="599">
        <f>IF(OR(A18="",AND(D18=0, E18=0)),"",SUM(LU!L44,LU!L143))</f>
        <v>4</v>
      </c>
      <c r="AB18" s="598">
        <f t="shared" si="6"/>
        <v>1.333333333</v>
      </c>
      <c r="AC18" s="596">
        <f t="shared" si="12"/>
        <v>-6.7</v>
      </c>
      <c r="AD18" s="602">
        <f>IF(OR(A18="",F18=0,R$26="-",LU!$D$5=0),"",R18-R$26)</f>
        <v>-16</v>
      </c>
      <c r="AE18" s="603">
        <f>IF(OR(A18="",F18=0,S$26="-",LU!$D$5=0),"",S18-S$26)</f>
        <v>-21.33333333</v>
      </c>
      <c r="AF18" s="604">
        <f t="shared" si="7"/>
        <v>5.333333333</v>
      </c>
      <c r="AG18" s="605">
        <f t="shared" si="8"/>
        <v>-4.718181818</v>
      </c>
      <c r="AH18" s="605" t="str">
        <f t="shared" si="9"/>
        <v/>
      </c>
      <c r="AI18" s="606">
        <f t="shared" si="10"/>
        <v>4.800961904</v>
      </c>
      <c r="AJ18" s="605">
        <f t="shared" si="11"/>
        <v>4.266400663</v>
      </c>
      <c r="AK18" s="609">
        <f>IF(OR($A18="",AC18="",AC$26="-",LU!$D$5=0),"",AC18-AC$26)</f>
        <v>-1.628098198</v>
      </c>
      <c r="AL18" s="608">
        <f>IF(OR(A18="",F18=0),"",SUM(PT!U27,PT!U28))</f>
        <v>0</v>
      </c>
      <c r="AM18" s="87"/>
    </row>
    <row r="19" ht="19.5" customHeight="1">
      <c r="A19" s="583" t="str">
        <f>IF(ISBLANK(IGRF!$B27),"",IGRF!$B27)</f>
        <v>48</v>
      </c>
      <c r="B19" s="584" t="str">
        <f>IF(ISBLANK(IGRF!$C27),"",IGRF!$C27)</f>
        <v>Ward</v>
      </c>
      <c r="C19" s="585">
        <f>IF(A19="","",SUM(LU!O22,LU!O121))</f>
        <v>0</v>
      </c>
      <c r="D19" s="585">
        <f>IF(A19="","",SUM(LU!D22,LU!D121))</f>
        <v>0</v>
      </c>
      <c r="E19" s="586">
        <f>IF(A19="","",SUM(LU!J22,LU!J121))</f>
        <v>13</v>
      </c>
      <c r="F19" s="587">
        <f>IF(A19="","",(SUM(C19:E19)-(SUMPRODUCT(--(Lineups!C$4:C$41=A19),--(Lineups!A$4:A$41="SP"))+SUMPRODUCT(--(Lineups!G$4:G$41=A19),--(Lineups!A$4:A$41="SP"))+SUMPRODUCT(--(Lineups!C$46:C$83=A19),--(Lineups!A$46:A$83="SP"))+SUMPRODUCT(--(Lineups!G$46:G$83=A19),--(Lineups!A$46:A$83="SP")))))</f>
        <v>13</v>
      </c>
      <c r="G19" s="588">
        <f>IF(OR(A19="",F19=0,LU!D$3+LU!D$102=0),"",F19/(LU!D$3+LU!D$102))</f>
        <v>0.2954545455</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25</v>
      </c>
      <c r="S19" s="585">
        <f>IF(OR(A19="",F19=0),"",SUM(LU!Q91,LU!Q190))</f>
        <v>76</v>
      </c>
      <c r="T19" s="589">
        <f>IF(OR(A19="",F19=0),"",SUM(LU!Q45,LU!Q144))</f>
        <v>-51</v>
      </c>
      <c r="U19" s="585" t="str">
        <f>IF(OR(A19="",C19=0),"",SUM(LU!O45,LU!O144))</f>
        <v/>
      </c>
      <c r="V19" s="598" t="str">
        <f t="shared" si="3"/>
        <v/>
      </c>
      <c r="W19" s="599" t="str">
        <f>IF(OR(A19="",D19=0),"",SUM(LU!D45,LU!D144))</f>
        <v/>
      </c>
      <c r="X19" s="598" t="str">
        <f t="shared" si="4"/>
        <v/>
      </c>
      <c r="Y19" s="599">
        <f>IF(OR(A19="",E19=0),"",SUM(LU!J45,LU!J144))</f>
        <v>-51</v>
      </c>
      <c r="Z19" s="598">
        <f t="shared" si="5"/>
        <v>-3.923076923</v>
      </c>
      <c r="AA19" s="599">
        <f>IF(OR(A19="",AND(D19=0, E19=0)),"",SUM(LU!L45,LU!L144))</f>
        <v>-51</v>
      </c>
      <c r="AB19" s="598">
        <f t="shared" si="6"/>
        <v>-3.923076923</v>
      </c>
      <c r="AC19" s="596">
        <f t="shared" si="12"/>
        <v>-3.923076923</v>
      </c>
      <c r="AD19" s="602">
        <f>IF(OR(A19="",F19=0,R$26="-",LU!$D$5=0),"",R19-R$26)</f>
        <v>-15</v>
      </c>
      <c r="AE19" s="603">
        <f>IF(OR(A19="",F19=0,S$26="-",LU!$D$5=0),"",S19-S$26)</f>
        <v>-36.33333333</v>
      </c>
      <c r="AF19" s="604">
        <f t="shared" si="7"/>
        <v>21.33333333</v>
      </c>
      <c r="AG19" s="605" t="str">
        <f t="shared" si="8"/>
        <v/>
      </c>
      <c r="AH19" s="605" t="str">
        <f t="shared" si="9"/>
        <v/>
      </c>
      <c r="AI19" s="606">
        <f t="shared" si="10"/>
        <v>-0.4554483528</v>
      </c>
      <c r="AJ19" s="605">
        <f t="shared" si="11"/>
        <v>-0.9900095936</v>
      </c>
      <c r="AK19" s="609">
        <f>IF(OR($A19="",AC19="",AC$26="-",LU!$D$5=0),"",AC19-AC$26)</f>
        <v>1.148824879</v>
      </c>
      <c r="AL19" s="608">
        <f>IF(OR(A19="",F19=0),"",SUM(PT!U29,PT!U30))</f>
        <v>2</v>
      </c>
      <c r="AM19" s="87"/>
    </row>
    <row r="20" ht="19.5" customHeight="1">
      <c r="A20" s="583" t="str">
        <f>IF(ISBLANK(IGRF!$B28),"",IGRF!$B28)</f>
        <v>565</v>
      </c>
      <c r="B20" s="584" t="str">
        <f>IF(ISBLANK(IGRF!$C28),"",IGRF!$C28)</f>
        <v>Melyn</v>
      </c>
      <c r="C20" s="585">
        <f>IF(A20="","",SUM(LU!O23,LU!O122))</f>
        <v>0</v>
      </c>
      <c r="D20" s="585">
        <f>IF(A20="","",SUM(LU!D23,LU!D122))</f>
        <v>0</v>
      </c>
      <c r="E20" s="586">
        <f>IF(A20="","",SUM(LU!J23,LU!J122))</f>
        <v>13</v>
      </c>
      <c r="F20" s="587">
        <f>IF(A20="","",(SUM(C20:E20)-(SUMPRODUCT(--(Lineups!C$4:C$41=A20),--(Lineups!A$4:A$41="SP"))+SUMPRODUCT(--(Lineups!G$4:G$41=A20),--(Lineups!A$4:A$41="SP"))+SUMPRODUCT(--(Lineups!C$46:C$83=A20),--(Lineups!A$46:A$83="SP"))+SUMPRODUCT(--(Lineups!G$46:G$83=A20),--(Lineups!A$46:A$83="SP")))))</f>
        <v>13</v>
      </c>
      <c r="G20" s="588">
        <f>IF(OR(A20="",F20=0,LU!D$3+LU!D$102=0),"",F20/(LU!D$3+LU!D$102))</f>
        <v>0.2954545455</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f>IF(OR(A20="",F20=0),"",SUM(LU!Q69,LU!Q168))</f>
        <v>42</v>
      </c>
      <c r="S20" s="585">
        <f>IF(OR(A20="",F20=0),"",SUM(LU!Q92,LU!Q191))</f>
        <v>110</v>
      </c>
      <c r="T20" s="589">
        <f>IF(OR(A20="",F20=0),"",SUM(LU!Q46,LU!Q145))</f>
        <v>-68</v>
      </c>
      <c r="U20" s="585" t="str">
        <f>IF(OR(A20="",C20=0),"",SUM(LU!O46,LU!O145))</f>
        <v/>
      </c>
      <c r="V20" s="598" t="str">
        <f t="shared" si="3"/>
        <v/>
      </c>
      <c r="W20" s="599" t="str">
        <f>IF(OR(A20="",D20=0),"",SUM(LU!D46,LU!D145))</f>
        <v/>
      </c>
      <c r="X20" s="598" t="str">
        <f t="shared" si="4"/>
        <v/>
      </c>
      <c r="Y20" s="599">
        <f>IF(OR(A20="",E20=0),"",SUM(LU!J46,LU!J145))</f>
        <v>-68</v>
      </c>
      <c r="Z20" s="598">
        <f t="shared" si="5"/>
        <v>-5.230769231</v>
      </c>
      <c r="AA20" s="599">
        <f>IF(OR(A20="",AND(D20=0, E20=0)),"",SUM(LU!L46,LU!L145))</f>
        <v>-68</v>
      </c>
      <c r="AB20" s="598">
        <f t="shared" si="6"/>
        <v>-5.230769231</v>
      </c>
      <c r="AC20" s="596">
        <f t="shared" si="12"/>
        <v>-5.230769231</v>
      </c>
      <c r="AD20" s="602">
        <f>IF(OR(A20="",F20=0,R$26="-",LU!$D$5=0),"",R20-R$26)</f>
        <v>2</v>
      </c>
      <c r="AE20" s="603">
        <f>IF(OR(A20="",F20=0,S$26="-",LU!$D$5=0),"",S20-S$26)</f>
        <v>-2.333333333</v>
      </c>
      <c r="AF20" s="604">
        <f t="shared" si="7"/>
        <v>4.333333333</v>
      </c>
      <c r="AG20" s="605" t="str">
        <f t="shared" si="8"/>
        <v/>
      </c>
      <c r="AH20" s="605" t="str">
        <f t="shared" si="9"/>
        <v/>
      </c>
      <c r="AI20" s="606">
        <f t="shared" si="10"/>
        <v>-1.763140661</v>
      </c>
      <c r="AJ20" s="605">
        <f t="shared" si="11"/>
        <v>-2.297701901</v>
      </c>
      <c r="AK20" s="609">
        <f>IF(OR($A20="",AC20="",AC$26="-",LU!$D$5=0),"",AC20-AC$26)</f>
        <v>-0.1588674289</v>
      </c>
      <c r="AL20" s="608">
        <f>IF(OR(A20="",F20=0),"",SUM(PT!U31,PT!U32))</f>
        <v>0</v>
      </c>
      <c r="AM20" s="87"/>
    </row>
    <row r="21" ht="19.5" customHeight="1">
      <c r="A21" s="583" t="str">
        <f>IF(ISBLANK(IGRF!$B29),"",IGRF!$B29)</f>
        <v>50</v>
      </c>
      <c r="B21" s="584" t="str">
        <f>IF(ISBLANK(IGRF!$C29),"",IGRF!$C29)</f>
        <v>Gray</v>
      </c>
      <c r="C21" s="585">
        <f>IF(A21="","",SUM(LU!O24,LU!O123))</f>
        <v>0</v>
      </c>
      <c r="D21" s="585">
        <f>IF(A21="","",SUM(LU!D24,LU!D123))</f>
        <v>0</v>
      </c>
      <c r="E21" s="586">
        <f>IF(A21="","",SUM(LU!J24,LU!J123))</f>
        <v>20</v>
      </c>
      <c r="F21" s="587">
        <f>IF(A21="","",(SUM(C21:E21)-(SUMPRODUCT(--(Lineups!C$4:C$41=A21),--(Lineups!A$4:A$41="SP"))+SUMPRODUCT(--(Lineups!G$4:G$41=A21),--(Lineups!A$4:A$41="SP"))+SUMPRODUCT(--(Lineups!C$46:C$83=A21),--(Lineups!A$46:A$83="SP"))+SUMPRODUCT(--(Lineups!G$46:G$83=A21),--(Lineups!A$46:A$83="SP")))))</f>
        <v>20</v>
      </c>
      <c r="G21" s="588">
        <f>IF(OR(A21="",F21=0,LU!D$3+LU!D$102=0),"",F21/(LU!D$3+LU!D$102))</f>
        <v>0.4545454545</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f>IF(OR(A21="",F21=0),"",SUM(LU!Q70,LU!Q169))</f>
        <v>71</v>
      </c>
      <c r="S21" s="585">
        <f>IF(OR(A21="",F21=0),"",SUM(LU!Q93,LU!Q192))</f>
        <v>167</v>
      </c>
      <c r="T21" s="589">
        <f>IF(OR(A21="",F21=0),"",SUM(LU!Q47,LU!Q146))</f>
        <v>-96</v>
      </c>
      <c r="U21" s="585" t="str">
        <f>IF(OR(A21="",C21=0),"",SUM(LU!O47,LU!O146))</f>
        <v/>
      </c>
      <c r="V21" s="598" t="str">
        <f t="shared" si="3"/>
        <v/>
      </c>
      <c r="W21" s="599" t="str">
        <f>IF(OR(A21="",D21=0),"",SUM(LU!D47,LU!D146))</f>
        <v/>
      </c>
      <c r="X21" s="598" t="str">
        <f t="shared" si="4"/>
        <v/>
      </c>
      <c r="Y21" s="599">
        <f>IF(OR(A21="",E21=0),"",SUM(LU!J47,LU!J146))</f>
        <v>-96</v>
      </c>
      <c r="Z21" s="598">
        <f t="shared" si="5"/>
        <v>-4.8</v>
      </c>
      <c r="AA21" s="599">
        <f>IF(OR(A21="",AND(D21=0, E21=0)),"",SUM(LU!L47,LU!L146))</f>
        <v>-96</v>
      </c>
      <c r="AB21" s="598">
        <f t="shared" si="6"/>
        <v>-4.8</v>
      </c>
      <c r="AC21" s="596">
        <f t="shared" si="12"/>
        <v>-4.8</v>
      </c>
      <c r="AD21" s="602">
        <f>IF(OR(A21="",F21=0,R$26="-",LU!$D$5=0),"",R21-R$26)</f>
        <v>31</v>
      </c>
      <c r="AE21" s="603">
        <f>IF(OR(A21="",F21=0,S$26="-",LU!$D$5=0),"",S21-S$26)</f>
        <v>54.66666667</v>
      </c>
      <c r="AF21" s="604">
        <f t="shared" si="7"/>
        <v>-23.66666667</v>
      </c>
      <c r="AG21" s="605" t="str">
        <f t="shared" si="8"/>
        <v/>
      </c>
      <c r="AH21" s="605" t="str">
        <f t="shared" si="9"/>
        <v/>
      </c>
      <c r="AI21" s="606">
        <f t="shared" si="10"/>
        <v>-1.33237143</v>
      </c>
      <c r="AJ21" s="605">
        <f t="shared" si="11"/>
        <v>-1.866932671</v>
      </c>
      <c r="AK21" s="609">
        <f>IF(OR($A21="",AC21="",AC$26="-",LU!$D$5=0),"",AC21-AC$26)</f>
        <v>0.2719018019</v>
      </c>
      <c r="AL21" s="608">
        <f>IF(OR(A21="",F21=0),"",SUM(PT!U33,PT!U34))</f>
        <v>3</v>
      </c>
      <c r="AM21" s="87"/>
    </row>
    <row r="22" ht="19.5" customHeight="1">
      <c r="A22" s="583" t="str">
        <f>IF(ISBLANK(IGRF!$B30),"",IGRF!$B30)</f>
        <v>808</v>
      </c>
      <c r="B22" s="584" t="str">
        <f>IF(ISBLANK(IGRF!$C30),"",IGRF!$C30)</f>
        <v>Morganator</v>
      </c>
      <c r="C22" s="585">
        <f>IF(A22="","",SUM(LU!O25,LU!O124))</f>
        <v>0</v>
      </c>
      <c r="D22" s="585">
        <f>IF(A22="","",SUM(LU!D25,LU!D124))</f>
        <v>0</v>
      </c>
      <c r="E22" s="586">
        <f>IF(A22="","",SUM(LU!J25,LU!J124))</f>
        <v>13</v>
      </c>
      <c r="F22" s="587">
        <f>IF(A22="","",(SUM(C22:E22)-(SUMPRODUCT(--(Lineups!C$4:C$41=A22),--(Lineups!A$4:A$41="SP"))+SUMPRODUCT(--(Lineups!G$4:G$41=A22),--(Lineups!A$4:A$41="SP"))+SUMPRODUCT(--(Lineups!C$46:C$83=A22),--(Lineups!A$46:A$83="SP"))+SUMPRODUCT(--(Lineups!G$46:G$83=A22),--(Lineups!A$46:A$83="SP")))))</f>
        <v>13</v>
      </c>
      <c r="G22" s="588">
        <f>IF(OR(A22="",F22=0,LU!D$3+LU!D$102=0),"",F22/(LU!D$3+LU!D$102))</f>
        <v>0.2954545455</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f>IF(OR(A22="",F22=0),"",SUM(LU!Q71,LU!Q170))</f>
        <v>44</v>
      </c>
      <c r="S22" s="585">
        <f>IF(OR(A22="",F22=0),"",SUM(LU!Q94,LU!Q193))</f>
        <v>104</v>
      </c>
      <c r="T22" s="589">
        <f>IF(OR(A22="",F22=0),"",SUM(LU!Q48,LU!Q147))</f>
        <v>-60</v>
      </c>
      <c r="U22" s="585" t="str">
        <f>IF(OR(A22="",C22=0),"",SUM(LU!O48,LU!O147))</f>
        <v/>
      </c>
      <c r="V22" s="598" t="str">
        <f t="shared" si="3"/>
        <v/>
      </c>
      <c r="W22" s="599" t="str">
        <f>IF(OR(A22="",D22=0),"",SUM(LU!D48,LU!D147))</f>
        <v/>
      </c>
      <c r="X22" s="598" t="str">
        <f t="shared" si="4"/>
        <v/>
      </c>
      <c r="Y22" s="599">
        <f>IF(OR(A22="",E22=0),"",SUM(LU!J48,LU!J147))</f>
        <v>-60</v>
      </c>
      <c r="Z22" s="598">
        <f t="shared" si="5"/>
        <v>-4.615384615</v>
      </c>
      <c r="AA22" s="599">
        <f>IF(OR(A22="",AND(D22=0, E22=0)),"",SUM(LU!L48,LU!L147))</f>
        <v>-60</v>
      </c>
      <c r="AB22" s="598">
        <f t="shared" si="6"/>
        <v>-4.615384615</v>
      </c>
      <c r="AC22" s="596">
        <f t="shared" si="12"/>
        <v>-4.615384615</v>
      </c>
      <c r="AD22" s="602">
        <f>IF(OR(A22="",F22=0,R$26="-",LU!$D$5=0),"",R22-R$26)</f>
        <v>4</v>
      </c>
      <c r="AE22" s="603">
        <f>IF(OR(A22="",F22=0,S$26="-",LU!$D$5=0),"",S22-S$26)</f>
        <v>-8.333333333</v>
      </c>
      <c r="AF22" s="604">
        <f t="shared" si="7"/>
        <v>12.33333333</v>
      </c>
      <c r="AG22" s="605" t="str">
        <f t="shared" si="8"/>
        <v/>
      </c>
      <c r="AH22" s="605" t="str">
        <f t="shared" si="9"/>
        <v/>
      </c>
      <c r="AI22" s="606">
        <f t="shared" si="10"/>
        <v>-1.147756045</v>
      </c>
      <c r="AJ22" s="605">
        <f t="shared" si="11"/>
        <v>-1.682317286</v>
      </c>
      <c r="AK22" s="609">
        <f>IF(OR($A22="",AC22="",AC$26="-",LU!$D$5=0),"",AC22-AC$26)</f>
        <v>0.4565171865</v>
      </c>
      <c r="AL22" s="608">
        <f>IF(OR(A22="",F22=0),"",SUM(PT!U35,PT!U36))</f>
        <v>1</v>
      </c>
      <c r="AM22" s="87"/>
    </row>
    <row r="23" ht="19.5" customHeight="1">
      <c r="A23" s="583" t="str">
        <f>IF(ISBLANK(IGRF!$B31),"",IGRF!$B31)</f>
        <v>912</v>
      </c>
      <c r="B23" s="584" t="str">
        <f>IF(ISBLANK(IGRF!$C31),"",IGRF!$C31)</f>
        <v>Battered Sausage</v>
      </c>
      <c r="C23" s="585">
        <f>IF(A23="","",SUM(LU!O26,LU!O125))</f>
        <v>1</v>
      </c>
      <c r="D23" s="585">
        <f>IF(A23="","",SUM(LU!D26,LU!D125))</f>
        <v>10</v>
      </c>
      <c r="E23" s="586">
        <f>IF(A23="","",SUM(LU!J26,LU!J125))</f>
        <v>11</v>
      </c>
      <c r="F23" s="587">
        <f>IF(A23="","",(SUM(C23:E23)-(SUMPRODUCT(--(Lineups!C$4:C$41=A23),--(Lineups!A$4:A$41="SP"))+SUMPRODUCT(--(Lineups!G$4:G$41=A23),--(Lineups!A$4:A$41="SP"))+SUMPRODUCT(--(Lineups!C$46:C$83=A23),--(Lineups!A$46:A$83="SP"))+SUMPRODUCT(--(Lineups!G$46:G$83=A23),--(Lineups!A$46:A$83="SP")))))</f>
        <v>21</v>
      </c>
      <c r="G23" s="588">
        <f>IF(OR(A23="",F23=0,LU!D$3+LU!D$102=0),"",F23/(LU!D$3+LU!D$102))</f>
        <v>0.4772727273</v>
      </c>
      <c r="H23" s="589">
        <f>IF(OR(C23=0,A23=""),"",SK!D225)</f>
        <v>0</v>
      </c>
      <c r="I23" s="590">
        <f>IF(OR(A23="",SK!E225="",SK!E225=0),"",H23/SK!E225)</f>
        <v>0</v>
      </c>
      <c r="J23" s="591">
        <f>IF(OR(A23="",C23=0),"",SK!G225)</f>
        <v>0</v>
      </c>
      <c r="K23" s="592">
        <f>IF(OR(A23="",C23=0),"",SK!H225)</f>
        <v>0</v>
      </c>
      <c r="L23" s="593">
        <f>IF(OR(A23="",C23=0),"",SK!J225)</f>
        <v>0</v>
      </c>
      <c r="M23" s="593">
        <f>IF(OR(A23="",C23=0),"",SK!L225)</f>
        <v>0</v>
      </c>
      <c r="N23" s="593">
        <f>IF(OR(A23="",C23=0),"",SUMPRODUCT(--(Lineups!$A$4:$A$41="SP"),--(Lineups!$C$4:$C$41=A23))+SUMPRODUCT(--(Lineups!$A$46:$A$83="SP"),--(Lineups!$C$46:$C$83=A23)))</f>
        <v>1</v>
      </c>
      <c r="O23" s="594" t="str">
        <f t="shared" si="1"/>
        <v/>
      </c>
      <c r="P23" s="595">
        <f>IF(OR(A23="",C23=0),"",SK!I225)</f>
        <v>0</v>
      </c>
      <c r="Q23" s="596" t="str">
        <f t="shared" si="2"/>
        <v/>
      </c>
      <c r="R23" s="597">
        <f>IF(OR(A23="",F23=0),"",SUM(LU!Q72,LU!Q171))</f>
        <v>51</v>
      </c>
      <c r="S23" s="585">
        <f>IF(OR(A23="",F23=0),"",SUM(LU!Q95,LU!Q194))</f>
        <v>164</v>
      </c>
      <c r="T23" s="589">
        <f>IF(OR(A23="",F23=0),"",SUM(LU!Q49,LU!Q148))</f>
        <v>-113</v>
      </c>
      <c r="U23" s="585">
        <f>IF(OR(A23="",C23=0),"",SUM(LU!O49,LU!O148))</f>
        <v>0</v>
      </c>
      <c r="V23" s="598">
        <f t="shared" si="3"/>
        <v>0</v>
      </c>
      <c r="W23" s="599">
        <f>IF(OR(A23="",D23=0),"",SUM(LU!D49,LU!D148))</f>
        <v>-33</v>
      </c>
      <c r="X23" s="598">
        <f t="shared" si="4"/>
        <v>-3.3</v>
      </c>
      <c r="Y23" s="599">
        <f>IF(OR(A23="",E23=0),"",SUM(LU!J49,LU!J148))</f>
        <v>-80</v>
      </c>
      <c r="Z23" s="598">
        <f t="shared" si="5"/>
        <v>-7.272727273</v>
      </c>
      <c r="AA23" s="599">
        <f>IF(OR(A23="",AND(D23=0, E23=0)),"",SUM(LU!L49,LU!L148))</f>
        <v>-113</v>
      </c>
      <c r="AB23" s="598">
        <f t="shared" si="6"/>
        <v>-5.380952381</v>
      </c>
      <c r="AC23" s="596">
        <f t="shared" si="12"/>
        <v>-5.380952381</v>
      </c>
      <c r="AD23" s="602">
        <f>IF(OR(A23="",F23=0,R$26="-",LU!$D$5=0),"",R23-R$26)</f>
        <v>11</v>
      </c>
      <c r="AE23" s="603">
        <f>IF(OR(A23="",F23=0,S$26="-",LU!$D$5=0),"",S23-S$26)</f>
        <v>51.66666667</v>
      </c>
      <c r="AF23" s="604">
        <f t="shared" si="7"/>
        <v>-40.66666667</v>
      </c>
      <c r="AG23" s="605">
        <f t="shared" si="8"/>
        <v>2.381818182</v>
      </c>
      <c r="AH23" s="605">
        <f t="shared" si="9"/>
        <v>4.495647773</v>
      </c>
      <c r="AI23" s="606">
        <f t="shared" si="10"/>
        <v>-3.805098702</v>
      </c>
      <c r="AJ23" s="605">
        <f t="shared" si="11"/>
        <v>-2.447885051</v>
      </c>
      <c r="AK23" s="609">
        <f>IF(OR($A23="",AC23="",AC$26="-",LU!$D$5=0),"",AC23-AC$26)</f>
        <v>-0.3090505791</v>
      </c>
      <c r="AL23" s="608">
        <f>IF(OR(A23="",F23=0),"",SUM(PT!U37,PT!U38))</f>
        <v>1</v>
      </c>
      <c r="AM23" s="87"/>
    </row>
    <row r="24" ht="19.5" customHeight="1">
      <c r="A24" s="583" t="str">
        <f>IF(ISBLANK(IGRF!$B32),"",IGRF!$B32)</f>
        <v>93</v>
      </c>
      <c r="B24" s="584" t="str">
        <f>IF(ISBLANK(IGRF!$C32),"",IGRF!$C32)</f>
        <v>Sangria</v>
      </c>
      <c r="C24" s="585">
        <f>IF(A24="","",SUM(LU!O27,LU!O126))</f>
        <v>10</v>
      </c>
      <c r="D24" s="585">
        <f>IF(A24="","",SUM(LU!D27,LU!D126))</f>
        <v>0</v>
      </c>
      <c r="E24" s="586">
        <f>IF(A24="","",SUM(LU!J27,LU!J126))</f>
        <v>1</v>
      </c>
      <c r="F24" s="587">
        <f>IF(A24="","",(SUM(C24:E24)-(SUMPRODUCT(--(Lineups!C$4:C$41=A24),--(Lineups!A$4:A$41="SP"))+SUMPRODUCT(--(Lineups!G$4:G$41=A24),--(Lineups!A$4:A$41="SP"))+SUMPRODUCT(--(Lineups!C$46:C$83=A24),--(Lineups!A$46:A$83="SP"))+SUMPRODUCT(--(Lineups!G$46:G$83=A24),--(Lineups!A$46:A$83="SP")))))</f>
        <v>10</v>
      </c>
      <c r="G24" s="588">
        <f>IF(OR(A24="",F24=0,LU!D$3+LU!D$102=0),"",F24/(LU!D$3+LU!D$102))</f>
        <v>0.2272727273</v>
      </c>
      <c r="H24" s="589">
        <f>IF(OR(C24=0,A24=""),"",SK!D228)</f>
        <v>21</v>
      </c>
      <c r="I24" s="590">
        <f>IF(OR(A24="",SK!E228="",SK!E228=0),"",H24/SK!E228)</f>
        <v>2.1</v>
      </c>
      <c r="J24" s="591">
        <f>IF(OR(A24="",C24=0),"",SK!G228)</f>
        <v>0</v>
      </c>
      <c r="K24" s="592">
        <f>IF(OR(A24="",C24=0),"",SK!H228)</f>
        <v>1</v>
      </c>
      <c r="L24" s="593">
        <f>IF(OR(A24="",C24=0),"",SK!J228)</f>
        <v>0</v>
      </c>
      <c r="M24" s="593">
        <f>IF(OR(A24="",C24=0),"",SK!L228)</f>
        <v>2</v>
      </c>
      <c r="N24" s="593">
        <f>IF(OR(A24="",C24=0),"",SUMPRODUCT(--(Lineups!$A$4:$A$41="SP"),--(Lineups!$C$4:$C$41=A24))+SUMPRODUCT(--(Lineups!$A$46:$A$83="SP"),--(Lineups!$C$46:$C$83=A24)))</f>
        <v>0</v>
      </c>
      <c r="O24" s="594">
        <f t="shared" si="1"/>
        <v>0.1</v>
      </c>
      <c r="P24" s="595">
        <f>IF(OR(A24="",C24=0),"",SK!I228)</f>
        <v>-2</v>
      </c>
      <c r="Q24" s="596">
        <f t="shared" si="2"/>
        <v>-2</v>
      </c>
      <c r="R24" s="597">
        <f>IF(OR(A24="",F24=0),"",SUM(LU!Q73,LU!Q172))</f>
        <v>25</v>
      </c>
      <c r="S24" s="585">
        <f>IF(OR(A24="",F24=0),"",SUM(LU!Q96,LU!Q195))</f>
        <v>96</v>
      </c>
      <c r="T24" s="589">
        <f>IF(OR(A24="",F24=0),"",SUM(LU!Q50,LU!Q149))</f>
        <v>-71</v>
      </c>
      <c r="U24" s="585">
        <f>IF(OR(A24="",C24=0),"",SUM(LU!O50,LU!O149))</f>
        <v>-75</v>
      </c>
      <c r="V24" s="598">
        <f t="shared" si="3"/>
        <v>-7.5</v>
      </c>
      <c r="W24" s="599" t="str">
        <f>IF(OR(A24="",D24=0),"",SUM(LU!D50,LU!D149))</f>
        <v/>
      </c>
      <c r="X24" s="598" t="str">
        <f t="shared" si="4"/>
        <v/>
      </c>
      <c r="Y24" s="599">
        <f>IF(OR(A24="",E24=0),"",SUM(LU!J50,LU!J149))</f>
        <v>4</v>
      </c>
      <c r="Z24" s="598">
        <f t="shared" si="5"/>
        <v>4</v>
      </c>
      <c r="AA24" s="599">
        <f>IF(OR(A24="",AND(D24=0, E24=0)),"",SUM(LU!L50,LU!L149))</f>
        <v>4</v>
      </c>
      <c r="AB24" s="598">
        <f t="shared" si="6"/>
        <v>4</v>
      </c>
      <c r="AC24" s="596">
        <f t="shared" si="12"/>
        <v>-7.1</v>
      </c>
      <c r="AD24" s="602">
        <f>IF(OR(A24="",F24=0,R$26="-",LU!$D$5=0),"",R24-R$26)</f>
        <v>-15</v>
      </c>
      <c r="AE24" s="603">
        <f>IF(OR(A24="",F24=0,S$26="-",LU!$D$5=0),"",S24-S$26)</f>
        <v>-16.33333333</v>
      </c>
      <c r="AF24" s="604">
        <f t="shared" si="7"/>
        <v>1.333333333</v>
      </c>
      <c r="AG24" s="605">
        <f t="shared" si="8"/>
        <v>-5.118181818</v>
      </c>
      <c r="AH24" s="605" t="str">
        <f t="shared" si="9"/>
        <v/>
      </c>
      <c r="AI24" s="606">
        <f t="shared" si="10"/>
        <v>7.46762857</v>
      </c>
      <c r="AJ24" s="605">
        <f t="shared" si="11"/>
        <v>6.933067329</v>
      </c>
      <c r="AK24" s="609">
        <f>IF(OR($A24="",AC24="",AC$26="-",LU!$D$5=0),"",AC24-AC$26)</f>
        <v>-2.028098198</v>
      </c>
      <c r="AL24" s="608">
        <f>IF(OR(A24="",F24=0),"",SUM(PT!U39,PT!U40))</f>
        <v>1</v>
      </c>
      <c r="AM24" s="87"/>
    </row>
    <row r="25" ht="19.5" customHeight="1">
      <c r="A25" s="583" t="str">
        <f>IF(ISBLANK(IGRF!$B33),"",IGRF!$B33)</f>
        <v>999</v>
      </c>
      <c r="B25" s="584" t="str">
        <f>IF(ISBLANK(IGRF!$C33),"",IGRF!$C33)</f>
        <v>Angel</v>
      </c>
      <c r="C25" s="585">
        <f>IF(A25="","",SUM(LU!O28,LU!O127))</f>
        <v>4</v>
      </c>
      <c r="D25" s="585">
        <f>IF(A25="","",SUM(LU!D28,LU!D127))</f>
        <v>19</v>
      </c>
      <c r="E25" s="585">
        <f>IF(A25="","",SUM(LU!J28,LU!J127))</f>
        <v>1</v>
      </c>
      <c r="F25" s="610">
        <f>IF(A25="","",(SUM(C25:E25)-(SUMPRODUCT(--(Lineups!C$4:C$41=A25),--(Lineups!A$4:A$41="SP"))+SUMPRODUCT(--(Lineups!G$4:G$41=A25),--(Lineups!A$4:A$41="SP"))+SUMPRODUCT(--(Lineups!C$46:C$83=A25),--(Lineups!A$46:A$83="SP"))+SUMPRODUCT(--(Lineups!G$46:G$83=A25),--(Lineups!A$46:A$83="SP")))))</f>
        <v>20</v>
      </c>
      <c r="G25" s="611">
        <f>IF(OR(A25="",F25=0,LU!D$3+LU!D$102=0),"",F25/(LU!D$3+LU!D$102))</f>
        <v>0.4545454545</v>
      </c>
      <c r="H25" s="589">
        <f>IF(OR(C25=0,A25=""),"",SK!D231)</f>
        <v>8</v>
      </c>
      <c r="I25" s="590">
        <f>IF(OR(A25="",SK!E231="",SK!E231=0),"",H25/SK!E231)</f>
        <v>2</v>
      </c>
      <c r="J25" s="591">
        <f>IF(OR(A25="",C25=0),"",SK!G231)</f>
        <v>0</v>
      </c>
      <c r="K25" s="592">
        <f>IF(OR(A25="",C25=0),"",SK!H231)</f>
        <v>0</v>
      </c>
      <c r="L25" s="593">
        <f>IF(OR(A25="",C25=0),"",SK!J231)</f>
        <v>0</v>
      </c>
      <c r="M25" s="593">
        <f>IF(OR(A25="",C25=0),"",SK!L231)</f>
        <v>0</v>
      </c>
      <c r="N25" s="593">
        <f>IF(OR(A25="",C25=0),"",SUMPRODUCT(--(Lineups!$A$4:$A$41="SP"),--(Lineups!$C$4:$C$41=A25))+SUMPRODUCT(--(Lineups!$A$46:$A$83="SP"),--(Lineups!$C$46:$C$83=A25)))</f>
        <v>4</v>
      </c>
      <c r="O25" s="594" t="str">
        <f t="shared" si="1"/>
        <v/>
      </c>
      <c r="P25" s="612">
        <f>IF(OR(A25="",C25=0),"",SK!I231)</f>
        <v>0</v>
      </c>
      <c r="Q25" s="613" t="str">
        <f t="shared" si="2"/>
        <v/>
      </c>
      <c r="R25" s="597">
        <f>IF(OR(A25="",F25=0),"",SUM(LU!Q74,LU!Q173))</f>
        <v>57</v>
      </c>
      <c r="S25" s="585">
        <f>IF(OR(A25="",F25=0),"",SUM(LU!Q97,LU!Q196))</f>
        <v>127</v>
      </c>
      <c r="T25" s="589">
        <f>IF(OR(A25="",F25=0),"",SUM(LU!Q51,LU!Q150))</f>
        <v>-70</v>
      </c>
      <c r="U25" s="585">
        <f>IF(OR(A25="",C25=0),"",SUM(LU!O51,LU!O150))</f>
        <v>8</v>
      </c>
      <c r="V25" s="598">
        <f t="shared" si="3"/>
        <v>2</v>
      </c>
      <c r="W25" s="599">
        <f>IF(OR(A25="",D25=0),"",SUM(LU!D51,LU!D150))</f>
        <v>-65</v>
      </c>
      <c r="X25" s="598">
        <f t="shared" si="4"/>
        <v>-3.421052632</v>
      </c>
      <c r="Y25" s="599">
        <f>IF(OR(A25="",E25=0),"",SUM(LU!J51,LU!J150))</f>
        <v>-13</v>
      </c>
      <c r="Z25" s="598">
        <f t="shared" si="5"/>
        <v>-13</v>
      </c>
      <c r="AA25" s="599">
        <f>IF(OR(A25="",AND(D25=0, E25=0)),"",SUM(LU!L51,LU!L150))</f>
        <v>-78</v>
      </c>
      <c r="AB25" s="598">
        <f t="shared" si="6"/>
        <v>-3.9</v>
      </c>
      <c r="AC25" s="614">
        <f t="shared" si="12"/>
        <v>-3.5</v>
      </c>
      <c r="AD25" s="602">
        <f>IF(OR(A25="",F25=0,R$26="-",LU!$D$5=0),"",R25-R$26)</f>
        <v>17</v>
      </c>
      <c r="AE25" s="603">
        <f>IF(OR(A25="",F25=0,S$26="-",LU!$D$5=0),"",S25-S$26)</f>
        <v>14.66666667</v>
      </c>
      <c r="AF25" s="604">
        <f t="shared" si="7"/>
        <v>2.333333333</v>
      </c>
      <c r="AG25" s="605">
        <f t="shared" si="8"/>
        <v>4.381818182</v>
      </c>
      <c r="AH25" s="605">
        <f t="shared" si="9"/>
        <v>4.374595142</v>
      </c>
      <c r="AI25" s="606">
        <f t="shared" si="10"/>
        <v>-9.53237143</v>
      </c>
      <c r="AJ25" s="605">
        <f t="shared" si="11"/>
        <v>-0.9669326705</v>
      </c>
      <c r="AK25" s="609">
        <f>IF(OR($A25="",AC25="",AC$26="-",LU!$D$5=0),"",AC25-AC$26)</f>
        <v>1.571901802</v>
      </c>
      <c r="AL25" s="615">
        <f>IF(OR(A25="",F25=0),"",SUM(PT!U41,PT!U42))</f>
        <v>2</v>
      </c>
      <c r="AM25" s="73"/>
    </row>
    <row r="26" ht="21.75" customHeight="1">
      <c r="A26" s="616" t="s">
        <v>343</v>
      </c>
      <c r="B26" s="432"/>
      <c r="C26" s="617">
        <f t="shared" ref="C26:F26" si="13">SUM(C6:C25)</f>
        <v>51</v>
      </c>
      <c r="D26" s="617">
        <f t="shared" si="13"/>
        <v>44</v>
      </c>
      <c r="E26" s="617">
        <f t="shared" si="13"/>
        <v>139</v>
      </c>
      <c r="F26" s="617">
        <f t="shared" si="13"/>
        <v>220</v>
      </c>
      <c r="G26" s="618">
        <f>IF(COUNT(G6:G25)=0,"-",AVERAGE(G6:G25))</f>
        <v>0.3333333333</v>
      </c>
      <c r="H26" s="617">
        <f>SUM(H6:H25)</f>
        <v>120</v>
      </c>
      <c r="I26" s="619">
        <f>IF(LU!D3+LU!D102=0,"-",H26/(LU!D3+LU!D102))</f>
        <v>2.727272727</v>
      </c>
      <c r="J26" s="620">
        <f t="shared" ref="J26:N26" si="14">SUM(J6:J25)</f>
        <v>1</v>
      </c>
      <c r="K26" s="617">
        <f t="shared" si="14"/>
        <v>9</v>
      </c>
      <c r="L26" s="617">
        <f t="shared" si="14"/>
        <v>7</v>
      </c>
      <c r="M26" s="617">
        <f t="shared" si="14"/>
        <v>9</v>
      </c>
      <c r="N26" s="617">
        <f t="shared" si="14"/>
        <v>7</v>
      </c>
      <c r="O26" s="621">
        <f>IF(C26=0,"-",K26/(C26-N26))</f>
        <v>0.2045454545</v>
      </c>
      <c r="P26" s="622">
        <f>SUM(P6:P25)</f>
        <v>30</v>
      </c>
      <c r="Q26" s="623">
        <f t="shared" ref="Q26:AC26" si="15">IF(COUNT(Q6:Q25)=0,"-",AVERAGE(Q6:Q25))</f>
        <v>1.7</v>
      </c>
      <c r="R26" s="624">
        <f t="shared" si="15"/>
        <v>40</v>
      </c>
      <c r="S26" s="625">
        <f t="shared" si="15"/>
        <v>112.3333333</v>
      </c>
      <c r="T26" s="622">
        <f t="shared" si="15"/>
        <v>-72.33333333</v>
      </c>
      <c r="U26" s="622">
        <f t="shared" si="15"/>
        <v>-24.11111111</v>
      </c>
      <c r="V26" s="622">
        <f t="shared" si="15"/>
        <v>-2.381818182</v>
      </c>
      <c r="W26" s="622">
        <f t="shared" si="15"/>
        <v>-57.25</v>
      </c>
      <c r="X26" s="622">
        <f t="shared" si="15"/>
        <v>-7.795647773</v>
      </c>
      <c r="Y26" s="622">
        <f t="shared" si="15"/>
        <v>-45.64285714</v>
      </c>
      <c r="Z26" s="622">
        <f t="shared" si="15"/>
        <v>-3.46762857</v>
      </c>
      <c r="AA26" s="622">
        <f t="shared" si="15"/>
        <v>-62</v>
      </c>
      <c r="AB26" s="622">
        <f t="shared" si="15"/>
        <v>-2.933067329</v>
      </c>
      <c r="AC26" s="622">
        <f t="shared" si="15"/>
        <v>-5.071901802</v>
      </c>
      <c r="AD26" s="626" t="s">
        <v>344</v>
      </c>
      <c r="AE26" s="627" t="s">
        <v>344</v>
      </c>
      <c r="AF26" s="627" t="s">
        <v>344</v>
      </c>
      <c r="AG26" s="626" t="s">
        <v>344</v>
      </c>
      <c r="AH26" s="627" t="s">
        <v>344</v>
      </c>
      <c r="AI26" s="627" t="s">
        <v>344</v>
      </c>
      <c r="AJ26" s="627" t="s">
        <v>344</v>
      </c>
      <c r="AK26" s="628" t="s">
        <v>344</v>
      </c>
      <c r="AL26" s="616">
        <f>SUM(AL6:AM25)</f>
        <v>24</v>
      </c>
      <c r="AM26" s="46"/>
    </row>
    <row r="27" ht="63.75" customHeight="1">
      <c r="A27" s="538" t="s">
        <v>228</v>
      </c>
      <c r="B27" s="539" t="str">
        <f>Score!$T$1</f>
        <v>Dublin Roller Derby / The Be Grands</v>
      </c>
      <c r="C27" s="540" t="s">
        <v>310</v>
      </c>
      <c r="D27" s="541" t="s">
        <v>311</v>
      </c>
      <c r="E27" s="541" t="s">
        <v>312</v>
      </c>
      <c r="F27" s="542" t="s">
        <v>231</v>
      </c>
      <c r="G27" s="543" t="s">
        <v>313</v>
      </c>
      <c r="H27" s="544" t="s">
        <v>314</v>
      </c>
      <c r="I27" s="545" t="s">
        <v>315</v>
      </c>
      <c r="J27" s="546" t="s">
        <v>205</v>
      </c>
      <c r="K27" s="547" t="s">
        <v>206</v>
      </c>
      <c r="L27" s="547" t="s">
        <v>316</v>
      </c>
      <c r="M27" s="547" t="s">
        <v>317</v>
      </c>
      <c r="N27" s="547" t="s">
        <v>318</v>
      </c>
      <c r="O27" s="547" t="s">
        <v>319</v>
      </c>
      <c r="P27" s="547" t="s">
        <v>320</v>
      </c>
      <c r="Q27" s="548" t="s">
        <v>321</v>
      </c>
      <c r="R27" s="540" t="s">
        <v>322</v>
      </c>
      <c r="S27" s="547" t="s">
        <v>323</v>
      </c>
      <c r="T27" s="544" t="s">
        <v>324</v>
      </c>
      <c r="U27" s="540" t="s">
        <v>325</v>
      </c>
      <c r="V27" s="540" t="s">
        <v>326</v>
      </c>
      <c r="W27" s="549" t="s">
        <v>327</v>
      </c>
      <c r="X27" s="541" t="s">
        <v>328</v>
      </c>
      <c r="Y27" s="550" t="s">
        <v>329</v>
      </c>
      <c r="Z27" s="541" t="s">
        <v>330</v>
      </c>
      <c r="AA27" s="550" t="s">
        <v>331</v>
      </c>
      <c r="AB27" s="541" t="s">
        <v>332</v>
      </c>
      <c r="AC27" s="551" t="s">
        <v>333</v>
      </c>
      <c r="AD27" s="552" t="s">
        <v>334</v>
      </c>
      <c r="AE27" s="552" t="s">
        <v>335</v>
      </c>
      <c r="AF27" s="553" t="s">
        <v>336</v>
      </c>
      <c r="AG27" s="554" t="s">
        <v>337</v>
      </c>
      <c r="AH27" s="554" t="s">
        <v>338</v>
      </c>
      <c r="AI27" s="554" t="s">
        <v>339</v>
      </c>
      <c r="AJ27" s="554" t="s">
        <v>340</v>
      </c>
      <c r="AK27" s="555" t="s">
        <v>341</v>
      </c>
      <c r="AL27" s="556" t="s">
        <v>342</v>
      </c>
      <c r="AM27" s="46"/>
    </row>
    <row r="28" ht="19.5" customHeight="1">
      <c r="A28" s="557" t="str">
        <f>IF(ISBLANK(IGRF!$I14),"",IGRF!$I14)</f>
        <v>040</v>
      </c>
      <c r="B28" s="558" t="str">
        <f>IF(ISBLANK(IGRF!$J14),"",IGRF!$J14)</f>
        <v>Ruff Rackelhahn</v>
      </c>
      <c r="C28" s="559">
        <f>IF(A28="","",SUM(LU!AH9,LU!AH108))</f>
        <v>0</v>
      </c>
      <c r="D28" s="559">
        <f>IF(A28="","",SUM(LU!W9,LU!W108))</f>
        <v>0</v>
      </c>
      <c r="E28" s="559">
        <f>IF(A28="","",SUM(LU!AC9,LU!AC108))</f>
        <v>22</v>
      </c>
      <c r="F28" s="610">
        <f>IF(A28="","",(SUM(C28:E28)-(SUMPRODUCT(--(Lineups!AC$4:AC$41=A28),--(Lineups!AA$4:AA$41="SP"))+SUMPRODUCT(--(Lineups!AG$4:AG$41=A28),--(Lineups!AA$4:AA$41="SP"))+SUMPRODUCT(--(Lineups!AC$46:AC$83=A28),--(Lineups!AA$46:AA$83="SP"))+SUMPRODUCT(--(Lineups!AG$46:AG$83=A28),--(Lineups!AA$46:AA$83="SP")))))</f>
        <v>22</v>
      </c>
      <c r="G28" s="561">
        <f>IF(OR(A28="",F28=0,LU!D$3+LU!D$102=0),"",F28/(LU!D$3+LU!D$102))</f>
        <v>0.5</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180</v>
      </c>
      <c r="S28" s="559">
        <f>IF(OR(A28="",F28=0),"",SUM(LU!AJ78,LU!AJ177))</f>
        <v>67</v>
      </c>
      <c r="T28" s="562">
        <f>IF(OR(A28="",F28=0),"",SUM(LU!AJ32,LU!AJ131))</f>
        <v>113</v>
      </c>
      <c r="U28" s="559" t="str">
        <f>IF(OR(A28="",C28=0),"",SUM(LU!AH32,LU!AH131))</f>
        <v/>
      </c>
      <c r="V28" s="571" t="str">
        <f t="shared" ref="V28:V47" si="18">IF(OR(A28="",C28=0),"",U28/C28)</f>
        <v/>
      </c>
      <c r="W28" s="572" t="str">
        <f>IF(OR(A28="",D28=0),"",SUM(LU!W32,LU!W131))</f>
        <v/>
      </c>
      <c r="X28" s="571" t="str">
        <f t="shared" ref="X28:X47" si="19">IF(OR(A28="",D28=0),"",W28/D28)</f>
        <v/>
      </c>
      <c r="Y28" s="572">
        <f>IF(OR(A28="",E28=0),"",SUM(LU!AC32,LU!AC131))</f>
        <v>113</v>
      </c>
      <c r="Z28" s="571">
        <f t="shared" ref="Z28:Z47" si="20">IF(OR(A28="",E28=0),"",Y28/E28)</f>
        <v>5.136363636</v>
      </c>
      <c r="AA28" s="573">
        <f>IF(OR(A28="",AND(D28=0, E28=0)),"",SUM(LU!AE32,LU!AE131))</f>
        <v>113</v>
      </c>
      <c r="AB28" s="574">
        <f t="shared" ref="AB28:AB47" si="21">IF(OR(A28="",AND(D28=0, E28=0)),"",AA28/(D28+E28))</f>
        <v>5.136363636</v>
      </c>
      <c r="AC28" s="569">
        <f t="shared" ref="AC28:AC47" si="22">IF(OR(A28="",F28="",F28=0),"",T28/F28)</f>
        <v>5.136363636</v>
      </c>
      <c r="AD28" s="575">
        <f>IF(OR(A28="",F28=0,R$48="-",LU!$W$5=0),"",R28-R$48)</f>
        <v>67.66666667</v>
      </c>
      <c r="AE28" s="576">
        <f>IF(OR(A28="",F28=0,S$48="-",LU!$W$5=0),"",S28-S$48)</f>
        <v>27</v>
      </c>
      <c r="AF28" s="577">
        <f t="shared" ref="AF28:AF47" si="23">IF(OR(A28="",F28=0,AD28=""),"",AD28-AE28)</f>
        <v>40.66666667</v>
      </c>
      <c r="AG28" s="578" t="str">
        <f t="shared" ref="AG28:AG47" si="24">IF(OR($A28="",C28=0),"",V28-V$48)</f>
        <v/>
      </c>
      <c r="AH28" s="578" t="str">
        <f t="shared" ref="AH28:AH47" si="25">IF(OR($A28="",D28=0),"",X28-X$48)</f>
        <v/>
      </c>
      <c r="AI28" s="579">
        <f t="shared" ref="AI28:AI47" si="26">IF(OR($A28="",E28=0),"",Z28-Z$48)</f>
        <v>0.01496964574</v>
      </c>
      <c r="AJ28" s="580">
        <f t="shared" ref="AJ28:AJ47" si="27">IF(OR($A28="",AND(D28=0, E28=0)),"",AB28-AB$48)</f>
        <v>0.3873129887</v>
      </c>
      <c r="AK28" s="581">
        <f>IF(OR($A28="",AC28="",AC$48="-",LU!$W$5=0),"",AC28-AC$48)</f>
        <v>0.4192125522</v>
      </c>
      <c r="AL28" s="582">
        <f>IF(OR(A28="",F28=0),"",SUM(PT!U56,PT!U57))</f>
        <v>0</v>
      </c>
      <c r="AM28" s="50"/>
    </row>
    <row r="29" ht="19.5" customHeight="1">
      <c r="A29" s="583" t="str">
        <f>IF(ISBLANK(IGRF!$I15),"",IGRF!$I15)</f>
        <v>101</v>
      </c>
      <c r="B29" s="584" t="str">
        <f>IF(ISBLANK(IGRF!$J15),"",IGRF!$J15)</f>
        <v>Powell</v>
      </c>
      <c r="C29" s="585">
        <f>IF(A29="","",SUM(LU!AH10,LU!AH109))</f>
        <v>14</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14</v>
      </c>
      <c r="G29" s="588">
        <f>IF(OR(A29="",F29=0,LU!D$3+LU!D$102=0),"",F29/(LU!D$3+LU!D$102))</f>
        <v>0.3181818182</v>
      </c>
      <c r="H29" s="589">
        <f>IF(OR(C29=0,A29=""),"",SK!T177)</f>
        <v>98</v>
      </c>
      <c r="I29" s="590">
        <f>IF(OR(A29="",SK!U177="",SK!U177=0),"",H29/SK!U177)</f>
        <v>7</v>
      </c>
      <c r="J29" s="591">
        <f>IF(OR(C29=0,A29=""),"",SK!W177)</f>
        <v>1</v>
      </c>
      <c r="K29" s="592">
        <f>IF(OR(C29=0,A29=""),"",SK!X177)</f>
        <v>10</v>
      </c>
      <c r="L29" s="593">
        <f>IF(OR(C29=0,A29=""),"",SK!Z177)</f>
        <v>8</v>
      </c>
      <c r="M29" s="593">
        <f>IF(OR(C29=0,A29=""),"",SK!AB177)</f>
        <v>0</v>
      </c>
      <c r="N29" s="593">
        <f>IF(OR(A29="",C29=0),"",SUMPRODUCT(--(Lineups!$AA$4:$AA$41="SP"),--(Lineups!$AC$4:$AC$41=A29))+SUMPRODUCT(--(Lineups!$AA$46:$AA$83="SP"),--(Lineups!$AC$46:$AC$83=A29)))</f>
        <v>0</v>
      </c>
      <c r="O29" s="594">
        <f t="shared" si="16"/>
        <v>0.7142857143</v>
      </c>
      <c r="P29" s="595">
        <f>IF(OR(A29="",C29=0),"",SK!Y177)</f>
        <v>75</v>
      </c>
      <c r="Q29" s="596">
        <f t="shared" si="17"/>
        <v>7.5</v>
      </c>
      <c r="R29" s="597">
        <f>IF(OR(A29="",F29=0),"",SUM(LU!AJ56,LU!AJ155))</f>
        <v>98</v>
      </c>
      <c r="S29" s="585">
        <f>IF(OR(A29="",F29=0),"",SUM(LU!AJ79,LU!AJ178))</f>
        <v>41</v>
      </c>
      <c r="T29" s="589">
        <f>IF(OR(A29="",F29=0),"",SUM(LU!AJ33,LU!AJ132))</f>
        <v>57</v>
      </c>
      <c r="U29" s="585">
        <f>IF(OR(A29="",C29=0),"",SUM(LU!AH33,LU!AH132))</f>
        <v>57</v>
      </c>
      <c r="V29" s="598">
        <f t="shared" si="18"/>
        <v>4.071428571</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f t="shared" si="22"/>
        <v>4.071428571</v>
      </c>
      <c r="AD29" s="602">
        <f>IF(OR(A29="",F29=0,R$48="-",LU!$W$5=0),"",R29-R$48)</f>
        <v>-14.33333333</v>
      </c>
      <c r="AE29" s="603">
        <f>IF(OR(A29="",F29=0,S$48="-",LU!$W$5=0),"",S29-S$48)</f>
        <v>1</v>
      </c>
      <c r="AF29" s="604">
        <f t="shared" si="23"/>
        <v>-15.33333333</v>
      </c>
      <c r="AG29" s="605">
        <f t="shared" si="24"/>
        <v>-0.1091269841</v>
      </c>
      <c r="AH29" s="605" t="str">
        <f t="shared" si="25"/>
        <v/>
      </c>
      <c r="AI29" s="606" t="str">
        <f t="shared" si="26"/>
        <v/>
      </c>
      <c r="AJ29" s="605" t="str">
        <f t="shared" si="27"/>
        <v/>
      </c>
      <c r="AK29" s="609">
        <f>IF(OR($A29="",AC29="",AC$48="-",LU!$W$5=0),"",AC29-AC$48)</f>
        <v>-0.6457225128</v>
      </c>
      <c r="AL29" s="608">
        <f>IF(OR(A29="",F29=0),"",SUM(PT!U58,PT!U59))</f>
        <v>2</v>
      </c>
      <c r="AM29" s="87"/>
    </row>
    <row r="30" ht="19.5" customHeight="1">
      <c r="A30" s="583" t="str">
        <f>IF(ISBLANK(IGRF!$I16),"",IGRF!$I16)</f>
        <v>11</v>
      </c>
      <c r="B30" s="584" t="str">
        <f>IF(ISBLANK(IGRF!$J16),"",IGRF!$J16)</f>
        <v>Bambi Deerdevil</v>
      </c>
      <c r="C30" s="585">
        <f>IF(A30="","",SUM(LU!AH11,LU!AH110))</f>
        <v>12</v>
      </c>
      <c r="D30" s="585">
        <f>IF(A30="","",SUM(LU!W11,LU!W110))</f>
        <v>0</v>
      </c>
      <c r="E30" s="586">
        <f>IF(A30="","",SUM(LU!AC11,LU!AC110))</f>
        <v>3</v>
      </c>
      <c r="F30" s="587">
        <f>IF(A30="","",(SUM(C30:E30)-(SUMPRODUCT(--(Lineups!AC$4:AC$41=A30),--(Lineups!AA$4:AA$41="SP"))+SUMPRODUCT(--(Lineups!AG$4:AG$41=A30),--(Lineups!AA$4:AA$41="SP"))+SUMPRODUCT(--(Lineups!AC$46:AC$83=A30),--(Lineups!AA$46:AA$83="SP"))+SUMPRODUCT(--(Lineups!AG$46:AG$83=A30),--(Lineups!AA$46:AA$83="SP")))))</f>
        <v>12</v>
      </c>
      <c r="G30" s="588">
        <f>IF(OR(A30="",F30=0,LU!D$3+LU!D$102=0),"",F30/(LU!D$3+LU!D$102))</f>
        <v>0.2727272727</v>
      </c>
      <c r="H30" s="589">
        <f>IF(OR(C30=0,A30=""),"",SK!T180)</f>
        <v>74</v>
      </c>
      <c r="I30" s="590">
        <f>IF(OR(A30="",SK!U180="",SK!U180=0),"",H30/SK!U180)</f>
        <v>6.166666667</v>
      </c>
      <c r="J30" s="591">
        <f>IF(OR(C30=0,A30=""),"",SK!W180)</f>
        <v>3</v>
      </c>
      <c r="K30" s="592">
        <f>IF(OR(C30=0,A30=""),"",SK!X180)</f>
        <v>9</v>
      </c>
      <c r="L30" s="593">
        <f>IF(OR(C30=0,A30=""),"",SK!Z180)</f>
        <v>5</v>
      </c>
      <c r="M30" s="593">
        <f>IF(OR(C30=0,A30=""),"",SK!AB180)</f>
        <v>3</v>
      </c>
      <c r="N30" s="593">
        <f>IF(OR(A30="",C30=0),"",SUMPRODUCT(--(Lineups!$AA$4:$AA$41="SP"),--(Lineups!$AC$4:$AC$41=A30))+SUMPRODUCT(--(Lineups!$AA$46:$AA$83="SP"),--(Lineups!$AC$46:$AC$83=A30)))</f>
        <v>0</v>
      </c>
      <c r="O30" s="594">
        <f t="shared" si="16"/>
        <v>0.75</v>
      </c>
      <c r="P30" s="595">
        <f>IF(OR(A30="",C30=0),"",SK!Y180)</f>
        <v>60</v>
      </c>
      <c r="Q30" s="596">
        <f t="shared" si="17"/>
        <v>6.666666667</v>
      </c>
      <c r="R30" s="597">
        <f>IF(OR(A30="",F30=0),"",SUM(LU!AJ57,LU!AJ156))</f>
        <v>85</v>
      </c>
      <c r="S30" s="585">
        <f>IF(OR(A30="",F30=0),"",SUM(LU!AJ80,LU!AJ179))</f>
        <v>39</v>
      </c>
      <c r="T30" s="589">
        <f>IF(OR(A30="",F30=0),"",SUM(LU!AJ34,LU!AJ133))</f>
        <v>46</v>
      </c>
      <c r="U30" s="585">
        <f>IF(OR(A30="",C30=0),"",SUM(LU!AH34,LU!AH133))</f>
        <v>35</v>
      </c>
      <c r="V30" s="598">
        <f t="shared" si="18"/>
        <v>2.916666667</v>
      </c>
      <c r="W30" s="599" t="str">
        <f>IF(OR(A30="",D30=0),"",SUM(LU!W34,LU!W133))</f>
        <v/>
      </c>
      <c r="X30" s="598" t="str">
        <f t="shared" si="19"/>
        <v/>
      </c>
      <c r="Y30" s="599">
        <f>IF(OR(A30="",E30=0),"",SUM(LU!AC34,LU!AC133))</f>
        <v>11</v>
      </c>
      <c r="Z30" s="598">
        <f t="shared" si="20"/>
        <v>3.666666667</v>
      </c>
      <c r="AA30" s="599">
        <f>IF(OR(A30="",AND(D30=0, E30=0)),"",SUM(LU!AE34,LU!AE133))</f>
        <v>11</v>
      </c>
      <c r="AB30" s="598">
        <f t="shared" si="21"/>
        <v>3.666666667</v>
      </c>
      <c r="AC30" s="596">
        <f t="shared" si="22"/>
        <v>3.833333333</v>
      </c>
      <c r="AD30" s="602">
        <f>IF(OR(A30="",F30=0,R$48="-",LU!$W$5=0),"",R30-R$48)</f>
        <v>-27.33333333</v>
      </c>
      <c r="AE30" s="603">
        <f>IF(OR(A30="",F30=0,S$48="-",LU!$W$5=0),"",S30-S$48)</f>
        <v>-1</v>
      </c>
      <c r="AF30" s="604">
        <f t="shared" si="23"/>
        <v>-26.33333333</v>
      </c>
      <c r="AG30" s="605">
        <f t="shared" si="24"/>
        <v>-1.263888889</v>
      </c>
      <c r="AH30" s="605" t="str">
        <f t="shared" si="25"/>
        <v/>
      </c>
      <c r="AI30" s="606">
        <f t="shared" si="26"/>
        <v>-1.454727324</v>
      </c>
      <c r="AJ30" s="605">
        <f t="shared" si="27"/>
        <v>-1.082383981</v>
      </c>
      <c r="AK30" s="609">
        <f>IF(OR($A30="",AC30="",AC$48="-",LU!$W$5=0),"",AC30-AC$48)</f>
        <v>-0.8838177509</v>
      </c>
      <c r="AL30" s="608">
        <f>IF(OR(A30="",F30=0),"",SUM(PT!U60,PT!U61))</f>
        <v>3</v>
      </c>
      <c r="AM30" s="87"/>
    </row>
    <row r="31" ht="19.5" customHeight="1">
      <c r="A31" s="583" t="str">
        <f>IF(ISBLANK(IGRF!$I17),"",IGRF!$I17)</f>
        <v>33</v>
      </c>
      <c r="B31" s="584" t="str">
        <f>IF(ISBLANK(IGRF!$J17),"",IGRF!$J17)</f>
        <v>Fox Mauler</v>
      </c>
      <c r="C31" s="585">
        <f>IF(A31="","",SUM(LU!AH12,LU!AH111))</f>
        <v>4</v>
      </c>
      <c r="D31" s="585">
        <f>IF(A31="","",SUM(LU!W12,LU!W111))</f>
        <v>0</v>
      </c>
      <c r="E31" s="586">
        <f>IF(A31="","",SUM(LU!AC12,LU!AC111))</f>
        <v>1</v>
      </c>
      <c r="F31" s="587">
        <f>IF(A31="","",(SUM(C31:E31)-(SUMPRODUCT(--(Lineups!AC$4:AC$41=A31),--(Lineups!AA$4:AA$41="SP"))+SUMPRODUCT(--(Lineups!AG$4:AG$41=A31),--(Lineups!AA$4:AA$41="SP"))+SUMPRODUCT(--(Lineups!AC$46:AC$83=A31),--(Lineups!AA$46:AA$83="SP"))+SUMPRODUCT(--(Lineups!AG$46:AG$83=A31),--(Lineups!AA$46:AA$83="SP")))))</f>
        <v>4</v>
      </c>
      <c r="G31" s="588">
        <f>IF(OR(A31="",F31=0,LU!D$3+LU!D$102=0),"",F31/(LU!D$3+LU!D$102))</f>
        <v>0.09090909091</v>
      </c>
      <c r="H31" s="589">
        <f>IF(OR(C31=0,A31=""),"",SK!T183)</f>
        <v>20</v>
      </c>
      <c r="I31" s="590">
        <f>IF(OR(A31="",SK!U183="",SK!U183=0),"",H31/SK!U183)</f>
        <v>5</v>
      </c>
      <c r="J31" s="591">
        <f>IF(OR(C31=0,A31=""),"",SK!W183)</f>
        <v>0</v>
      </c>
      <c r="K31" s="592">
        <f>IF(OR(C31=0,A31=""),"",SK!X183)</f>
        <v>3</v>
      </c>
      <c r="L31" s="593">
        <f>IF(OR(C31=0,A31=""),"",SK!Z183)</f>
        <v>3</v>
      </c>
      <c r="M31" s="593">
        <f>IF(OR(C31=0,A31=""),"",SK!AB183)</f>
        <v>0</v>
      </c>
      <c r="N31" s="593">
        <f>IF(OR(A31="",C31=0),"",SUMPRODUCT(--(Lineups!$AA$4:$AA$41="SP"),--(Lineups!$AC$4:$AC$41=A31))+SUMPRODUCT(--(Lineups!$AA$46:$AA$83="SP"),--(Lineups!$AC$46:$AC$83=A31)))</f>
        <v>0</v>
      </c>
      <c r="O31" s="594">
        <f t="shared" si="16"/>
        <v>0.75</v>
      </c>
      <c r="P31" s="595">
        <f>IF(OR(A31="",C31=0),"",SK!Y183)</f>
        <v>8</v>
      </c>
      <c r="Q31" s="596">
        <f t="shared" si="17"/>
        <v>2.666666667</v>
      </c>
      <c r="R31" s="597">
        <f>IF(OR(A31="",F31=0),"",SUM(LU!AJ58,LU!AJ157))</f>
        <v>26</v>
      </c>
      <c r="S31" s="585">
        <f>IF(OR(A31="",F31=0),"",SUM(LU!AJ81,LU!AJ180))</f>
        <v>16</v>
      </c>
      <c r="T31" s="589">
        <f>IF(OR(A31="",F31=0),"",SUM(LU!AJ35,LU!AJ134))</f>
        <v>10</v>
      </c>
      <c r="U31" s="585">
        <f>IF(OR(A31="",C31=0),"",SUM(LU!AH35,LU!AH134))</f>
        <v>4</v>
      </c>
      <c r="V31" s="598">
        <f t="shared" si="18"/>
        <v>1</v>
      </c>
      <c r="W31" s="599" t="str">
        <f>IF(OR(A31="",D31=0),"",SUM(LU!W35,LU!W134))</f>
        <v/>
      </c>
      <c r="X31" s="598" t="str">
        <f t="shared" si="19"/>
        <v/>
      </c>
      <c r="Y31" s="599">
        <f>IF(OR(A31="",E31=0),"",SUM(LU!AC35,LU!AC134))</f>
        <v>6</v>
      </c>
      <c r="Z31" s="598">
        <f t="shared" si="20"/>
        <v>6</v>
      </c>
      <c r="AA31" s="599">
        <f>IF(OR(A31="",AND(D31=0, E31=0)),"",SUM(LU!AE35,LU!AE134))</f>
        <v>6</v>
      </c>
      <c r="AB31" s="598">
        <f t="shared" si="21"/>
        <v>6</v>
      </c>
      <c r="AC31" s="596">
        <f t="shared" si="22"/>
        <v>2.5</v>
      </c>
      <c r="AD31" s="602">
        <f>IF(OR(A31="",F31=0,R$48="-",LU!$W$5=0),"",R31-R$48)</f>
        <v>-86.33333333</v>
      </c>
      <c r="AE31" s="603">
        <f>IF(OR(A31="",F31=0,S$48="-",LU!$W$5=0),"",S31-S$48)</f>
        <v>-24</v>
      </c>
      <c r="AF31" s="604">
        <f t="shared" si="23"/>
        <v>-62.33333333</v>
      </c>
      <c r="AG31" s="605">
        <f t="shared" si="24"/>
        <v>-3.180555556</v>
      </c>
      <c r="AH31" s="605" t="str">
        <f t="shared" si="25"/>
        <v/>
      </c>
      <c r="AI31" s="606">
        <f t="shared" si="26"/>
        <v>0.8786060094</v>
      </c>
      <c r="AJ31" s="605">
        <f t="shared" si="27"/>
        <v>1.250949352</v>
      </c>
      <c r="AK31" s="609">
        <f>IF(OR($A31="",AC31="",AC$48="-",LU!$W$5=0),"",AC31-AC$48)</f>
        <v>-2.217151084</v>
      </c>
      <c r="AL31" s="608">
        <f>IF(OR(A31="",F31=0),"",SUM(PT!U62,PT!U63))</f>
        <v>0</v>
      </c>
      <c r="AM31" s="87"/>
    </row>
    <row r="32" ht="19.5" customHeight="1">
      <c r="A32" s="583" t="str">
        <f>IF(ISBLANK(IGRF!$I18),"",IGRF!$I18)</f>
        <v>1337</v>
      </c>
      <c r="B32" s="584" t="str">
        <f>IF(ISBLANK(IGRF!$J18),"",IGRF!$J18)</f>
        <v>8Bit Betty</v>
      </c>
      <c r="C32" s="585">
        <f>IF(A32="","",SUM(LU!AH13,LU!AH112))</f>
        <v>0</v>
      </c>
      <c r="D32" s="585">
        <f>IF(A32="","",SUM(LU!W13,LU!W112))</f>
        <v>7</v>
      </c>
      <c r="E32" s="586">
        <f>IF(A32="","",SUM(LU!AC13,LU!AC112))</f>
        <v>11</v>
      </c>
      <c r="F32" s="587">
        <f>IF(A32="","",(SUM(C32:E32)-(SUMPRODUCT(--(Lineups!AC$4:AC$41=A32),--(Lineups!AA$4:AA$41="SP"))+SUMPRODUCT(--(Lineups!AG$4:AG$41=A32),--(Lineups!AA$4:AA$41="SP"))+SUMPRODUCT(--(Lineups!AC$46:AC$83=A32),--(Lineups!AA$46:AA$83="SP"))+SUMPRODUCT(--(Lineups!AG$46:AG$83=A32),--(Lineups!AA$46:AA$83="SP")))))</f>
        <v>18</v>
      </c>
      <c r="G32" s="588">
        <f>IF(OR(A32="",F32=0,LU!D$3+LU!D$102=0),"",F32/(LU!D$3+LU!D$102))</f>
        <v>0.4090909091</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147</v>
      </c>
      <c r="S32" s="585">
        <f>IF(OR(A32="",F32=0),"",SUM(LU!AJ82,LU!AJ181))</f>
        <v>45</v>
      </c>
      <c r="T32" s="589">
        <f>IF(OR(A32="",F32=0),"",SUM(LU!AJ36,LU!AJ135))</f>
        <v>102</v>
      </c>
      <c r="U32" s="585" t="str">
        <f>IF(OR(A32="",C32=0),"",SUM(LU!AH36,LU!AH135))</f>
        <v/>
      </c>
      <c r="V32" s="598" t="str">
        <f t="shared" si="18"/>
        <v/>
      </c>
      <c r="W32" s="599">
        <f>IF(OR(A32="",D32=0),"",SUM(LU!W36,LU!W135))</f>
        <v>47</v>
      </c>
      <c r="X32" s="598">
        <f t="shared" si="19"/>
        <v>6.714285714</v>
      </c>
      <c r="Y32" s="599">
        <f>IF(OR(A32="",E32=0),"",SUM(LU!AC36,LU!AC135))</f>
        <v>55</v>
      </c>
      <c r="Z32" s="598">
        <f t="shared" si="20"/>
        <v>5</v>
      </c>
      <c r="AA32" s="599">
        <f>IF(OR(A32="",AND(D32=0, E32=0)),"",SUM(LU!AE36,LU!AE135))</f>
        <v>102</v>
      </c>
      <c r="AB32" s="598">
        <f t="shared" si="21"/>
        <v>5.666666667</v>
      </c>
      <c r="AC32" s="596">
        <f t="shared" si="22"/>
        <v>5.666666667</v>
      </c>
      <c r="AD32" s="602">
        <f>IF(OR(A32="",F32=0,R$48="-",LU!$W$5=0),"",R32-R$48)</f>
        <v>34.66666667</v>
      </c>
      <c r="AE32" s="603">
        <f>IF(OR(A32="",F32=0,S$48="-",LU!$W$5=0),"",S32-S$48)</f>
        <v>5</v>
      </c>
      <c r="AF32" s="604">
        <f t="shared" si="23"/>
        <v>29.66666667</v>
      </c>
      <c r="AG32" s="605" t="str">
        <f t="shared" si="24"/>
        <v/>
      </c>
      <c r="AH32" s="605">
        <f t="shared" si="25"/>
        <v>2.038095238</v>
      </c>
      <c r="AI32" s="606">
        <f t="shared" si="26"/>
        <v>-0.1213939906</v>
      </c>
      <c r="AJ32" s="605">
        <f t="shared" si="27"/>
        <v>0.917616019</v>
      </c>
      <c r="AK32" s="609">
        <f>IF(OR($A32="",AC32="",AC$48="-",LU!$W$5=0),"",AC32-AC$48)</f>
        <v>0.9495155825</v>
      </c>
      <c r="AL32" s="608">
        <f>IF(OR(A32="",F32=0),"",SUM(PT!U64,PT!U65))</f>
        <v>4</v>
      </c>
      <c r="AM32" s="87"/>
    </row>
    <row r="33" ht="19.5" customHeight="1">
      <c r="A33" s="583" t="str">
        <f>IF(ISBLANK(IGRF!$I19),"",IGRF!$I19)</f>
        <v>150</v>
      </c>
      <c r="B33" s="584" t="str">
        <f>IF(ISBLANK(IGRF!$J19),"",IGRF!$J19)</f>
        <v>Cooney</v>
      </c>
      <c r="C33" s="585">
        <f>IF(A33="","",SUM(LU!AH14,LU!AH113))</f>
        <v>0</v>
      </c>
      <c r="D33" s="585">
        <f>IF(A33="","",SUM(LU!W14,LU!W113))</f>
        <v>0</v>
      </c>
      <c r="E33" s="586">
        <f>IF(A33="","",SUM(LU!AC14,LU!AC113))</f>
        <v>10</v>
      </c>
      <c r="F33" s="587">
        <f>IF(A33="","",(SUM(C33:E33)-(SUMPRODUCT(--(Lineups!AC$4:AC$41=A33),--(Lineups!AA$4:AA$41="SP"))+SUMPRODUCT(--(Lineups!AG$4:AG$41=A33),--(Lineups!AA$4:AA$41="SP"))+SUMPRODUCT(--(Lineups!AC$46:AC$83=A33),--(Lineups!AA$46:AA$83="SP"))+SUMPRODUCT(--(Lineups!AG$46:AG$83=A33),--(Lineups!AA$46:AA$83="SP")))))</f>
        <v>10</v>
      </c>
      <c r="G33" s="588">
        <f>IF(OR(A33="",F33=0,LU!D$3+LU!D$102=0),"",F33/(LU!D$3+LU!D$102))</f>
        <v>0.2272727273</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76</v>
      </c>
      <c r="S33" s="585">
        <f>IF(OR(A33="",F33=0),"",SUM(LU!AJ83,LU!AJ182))</f>
        <v>15</v>
      </c>
      <c r="T33" s="589">
        <f>IF(OR(A33="",F33=0),"",SUM(LU!AJ37,LU!AJ136))</f>
        <v>61</v>
      </c>
      <c r="U33" s="585" t="str">
        <f>IF(OR(A33="",C33=0),"",SUM(LU!AH37,LU!AH136))</f>
        <v/>
      </c>
      <c r="V33" s="598" t="str">
        <f t="shared" si="18"/>
        <v/>
      </c>
      <c r="W33" s="599" t="str">
        <f>IF(OR(A33="",D33=0),"",SUM(LU!W37,LU!W136))</f>
        <v/>
      </c>
      <c r="X33" s="598" t="str">
        <f t="shared" si="19"/>
        <v/>
      </c>
      <c r="Y33" s="599">
        <f>IF(OR(A33="",E33=0),"",SUM(LU!AC37,LU!AC136))</f>
        <v>61</v>
      </c>
      <c r="Z33" s="598">
        <f t="shared" si="20"/>
        <v>6.1</v>
      </c>
      <c r="AA33" s="599">
        <f>IF(OR(A33="",AND(D33=0, E33=0)),"",SUM(LU!AE37,LU!AE136))</f>
        <v>61</v>
      </c>
      <c r="AB33" s="598">
        <f t="shared" si="21"/>
        <v>6.1</v>
      </c>
      <c r="AC33" s="596">
        <f t="shared" si="22"/>
        <v>6.1</v>
      </c>
      <c r="AD33" s="602">
        <f>IF(OR(A33="",F33=0,R$48="-",LU!$W$5=0),"",R33-R$48)</f>
        <v>-36.33333333</v>
      </c>
      <c r="AE33" s="603">
        <f>IF(OR(A33="",F33=0,S$48="-",LU!$W$5=0),"",S33-S$48)</f>
        <v>-25</v>
      </c>
      <c r="AF33" s="604">
        <f t="shared" si="23"/>
        <v>-11.33333333</v>
      </c>
      <c r="AG33" s="605" t="str">
        <f t="shared" si="24"/>
        <v/>
      </c>
      <c r="AH33" s="605" t="str">
        <f t="shared" si="25"/>
        <v/>
      </c>
      <c r="AI33" s="606">
        <f t="shared" si="26"/>
        <v>0.9786060094</v>
      </c>
      <c r="AJ33" s="605">
        <f t="shared" si="27"/>
        <v>1.350949352</v>
      </c>
      <c r="AK33" s="609">
        <f>IF(OR($A33="",AC33="",AC$48="-",LU!$W$5=0),"",AC33-AC$48)</f>
        <v>1.382848916</v>
      </c>
      <c r="AL33" s="608">
        <f>IF(OR(A33="",F33=0),"",SUM(PT!U66,PT!U67))</f>
        <v>1</v>
      </c>
      <c r="AM33" s="87"/>
    </row>
    <row r="34" ht="19.5" customHeight="1">
      <c r="A34" s="583" t="str">
        <f>IF(ISBLANK(IGRF!$I20),"",IGRF!$I20)</f>
        <v>16</v>
      </c>
      <c r="B34" s="584" t="str">
        <f>IF(ISBLANK(IGRF!$J20),"",IGRF!$J20)</f>
        <v>Jemerald</v>
      </c>
      <c r="C34" s="585">
        <f>IF(A34="","",SUM(LU!AH15,LU!AH114))</f>
        <v>14</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14</v>
      </c>
      <c r="G34" s="588">
        <f>IF(OR(A34="",F34=0,LU!D$3+LU!D$102=0),"",F34/(LU!D$3+LU!D$102))</f>
        <v>0.3181818182</v>
      </c>
      <c r="H34" s="589">
        <f>IF(OR(C34=0,A34=""),"",SK!T192)</f>
        <v>128</v>
      </c>
      <c r="I34" s="590">
        <f>IF(OR(A34="",SK!U192="",SK!U192=0),"",H34/SK!U192)</f>
        <v>9.142857143</v>
      </c>
      <c r="J34" s="591">
        <f>IF(OR(C34=0,A34=""),"",SK!W192)</f>
        <v>0</v>
      </c>
      <c r="K34" s="592">
        <f>IF(OR(C34=0,A34=""),"",SK!X192)</f>
        <v>13</v>
      </c>
      <c r="L34" s="593">
        <f>IF(OR(C34=0,A34=""),"",SK!Z192)</f>
        <v>12</v>
      </c>
      <c r="M34" s="593">
        <f>IF(OR(C34=0,A34=""),"",SK!AB192)</f>
        <v>0</v>
      </c>
      <c r="N34" s="593">
        <f>IF(OR(A34="",C34=0),"",SUMPRODUCT(--(Lineups!$AA$4:$AA$41="SP"),--(Lineups!$AC$4:$AC$41=A34))+SUMPRODUCT(--(Lineups!$AA$46:$AA$83="SP"),--(Lineups!$AC$46:$AC$83=A34)))</f>
        <v>0</v>
      </c>
      <c r="O34" s="594">
        <f t="shared" si="16"/>
        <v>0.9285714286</v>
      </c>
      <c r="P34" s="595">
        <f>IF(OR(A34="",C34=0),"",SK!Y192)</f>
        <v>104</v>
      </c>
      <c r="Q34" s="596">
        <f t="shared" si="17"/>
        <v>8</v>
      </c>
      <c r="R34" s="597">
        <f>IF(OR(A34="",F34=0),"",SUM(LU!AJ61,LU!AJ160))</f>
        <v>128</v>
      </c>
      <c r="S34" s="585">
        <f>IF(OR(A34="",F34=0),"",SUM(LU!AJ84,LU!AJ183))</f>
        <v>24</v>
      </c>
      <c r="T34" s="589">
        <f>IF(OR(A34="",F34=0),"",SUM(LU!AJ38,LU!AJ137))</f>
        <v>104</v>
      </c>
      <c r="U34" s="585">
        <f>IF(OR(A34="",C34=0),"",SUM(LU!AH38,LU!AH137))</f>
        <v>104</v>
      </c>
      <c r="V34" s="598">
        <f t="shared" si="18"/>
        <v>7.428571429</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f t="shared" si="22"/>
        <v>7.428571429</v>
      </c>
      <c r="AD34" s="602">
        <f>IF(OR(A34="",F34=0,R$48="-",LU!$W$5=0),"",R34-R$48)</f>
        <v>15.66666667</v>
      </c>
      <c r="AE34" s="603">
        <f>IF(OR(A34="",F34=0,S$48="-",LU!$W$5=0),"",S34-S$48)</f>
        <v>-16</v>
      </c>
      <c r="AF34" s="604">
        <f t="shared" si="23"/>
        <v>31.66666667</v>
      </c>
      <c r="AG34" s="605">
        <f t="shared" si="24"/>
        <v>3.248015873</v>
      </c>
      <c r="AH34" s="605" t="str">
        <f t="shared" si="25"/>
        <v/>
      </c>
      <c r="AI34" s="606" t="str">
        <f t="shared" si="26"/>
        <v/>
      </c>
      <c r="AJ34" s="605" t="str">
        <f t="shared" si="27"/>
        <v/>
      </c>
      <c r="AK34" s="609">
        <f>IF(OR($A34="",AC34="",AC$48="-",LU!$W$5=0),"",AC34-AC$48)</f>
        <v>2.711420344</v>
      </c>
      <c r="AL34" s="608">
        <f>IF(OR(A34="",F34=0),"",SUM(PT!U68,PT!U69))</f>
        <v>0</v>
      </c>
      <c r="AM34" s="87"/>
    </row>
    <row r="35" ht="19.5" customHeight="1">
      <c r="A35" s="583" t="str">
        <f>IF(ISBLANK(IGRF!$I21),"",IGRF!$I21)</f>
        <v>3110</v>
      </c>
      <c r="B35" s="584" t="str">
        <f>IF(ISBLANK(IGRF!$J21),"",IGRF!$J21)</f>
        <v>Grand DAM</v>
      </c>
      <c r="C35" s="585">
        <f>IF(A35="","",SUM(LU!AH16,LU!AH115))</f>
        <v>0</v>
      </c>
      <c r="D35" s="585">
        <f>IF(A35="","",SUM(LU!W16,LU!W115))</f>
        <v>0</v>
      </c>
      <c r="E35" s="586">
        <f>IF(A35="","",SUM(LU!AC16,LU!AC115))</f>
        <v>15</v>
      </c>
      <c r="F35" s="587">
        <f>IF(A35="","",(SUM(C35:E35)-(SUMPRODUCT(--(Lineups!AC$4:AC$41=A35),--(Lineups!AA$4:AA$41="SP"))+SUMPRODUCT(--(Lineups!AG$4:AG$41=A35),--(Lineups!AA$4:AA$41="SP"))+SUMPRODUCT(--(Lineups!AC$46:AC$83=A35),--(Lineups!AA$46:AA$83="SP"))+SUMPRODUCT(--(Lineups!AG$46:AG$83=A35),--(Lineups!AA$46:AA$83="SP")))))</f>
        <v>15</v>
      </c>
      <c r="G35" s="588">
        <f>IF(OR(A35="",F35=0,LU!D$3+LU!D$102=0),"",F35/(LU!D$3+LU!D$102))</f>
        <v>0.3409090909</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110</v>
      </c>
      <c r="S35" s="585">
        <f>IF(OR(A35="",F35=0),"",SUM(LU!AJ85,LU!AJ184))</f>
        <v>36</v>
      </c>
      <c r="T35" s="589">
        <f>IF(OR(A35="",F35=0),"",SUM(LU!AJ39,LU!AJ138))</f>
        <v>74</v>
      </c>
      <c r="U35" s="585" t="str">
        <f>IF(OR(A35="",C35=0),"",SUM(LU!AH39,LU!AH138))</f>
        <v/>
      </c>
      <c r="V35" s="598" t="str">
        <f t="shared" si="18"/>
        <v/>
      </c>
      <c r="W35" s="599" t="str">
        <f>IF(OR(A35="",D35=0),"",SUM(LU!W39,LU!W138))</f>
        <v/>
      </c>
      <c r="X35" s="598" t="str">
        <f t="shared" si="19"/>
        <v/>
      </c>
      <c r="Y35" s="599">
        <f>IF(OR(A35="",E35=0),"",SUM(LU!AC39,LU!AC138))</f>
        <v>74</v>
      </c>
      <c r="Z35" s="598">
        <f t="shared" si="20"/>
        <v>4.933333333</v>
      </c>
      <c r="AA35" s="599">
        <f>IF(OR(A35="",AND(D35=0, E35=0)),"",SUM(LU!AE39,LU!AE138))</f>
        <v>74</v>
      </c>
      <c r="AB35" s="598">
        <f t="shared" si="21"/>
        <v>4.933333333</v>
      </c>
      <c r="AC35" s="596">
        <f t="shared" si="22"/>
        <v>4.933333333</v>
      </c>
      <c r="AD35" s="602">
        <f>IF(OR(A35="",F35=0,R$48="-",LU!$W$5=0),"",R35-R$48)</f>
        <v>-2.333333333</v>
      </c>
      <c r="AE35" s="603">
        <f>IF(OR(A35="",F35=0,S$48="-",LU!$W$5=0),"",S35-S$48)</f>
        <v>-4</v>
      </c>
      <c r="AF35" s="604">
        <f t="shared" si="23"/>
        <v>1.666666667</v>
      </c>
      <c r="AG35" s="605" t="str">
        <f t="shared" si="24"/>
        <v/>
      </c>
      <c r="AH35" s="605" t="str">
        <f t="shared" si="25"/>
        <v/>
      </c>
      <c r="AI35" s="606">
        <f t="shared" si="26"/>
        <v>-0.1880606573</v>
      </c>
      <c r="AJ35" s="605">
        <f t="shared" si="27"/>
        <v>0.1842826856</v>
      </c>
      <c r="AK35" s="609">
        <f>IF(OR($A35="",AC35="",AC$48="-",LU!$W$5=0),"",AC35-AC$48)</f>
        <v>0.2161822491</v>
      </c>
      <c r="AL35" s="608">
        <f>IF(OR(A35="",F35=0),"",SUM(PT!U70,PT!U71))</f>
        <v>3</v>
      </c>
      <c r="AM35" s="87"/>
    </row>
    <row r="36" ht="19.5" customHeight="1">
      <c r="A36" s="583" t="str">
        <f>IF(ISBLANK(IGRF!$I22),"",IGRF!$I22)</f>
        <v>333</v>
      </c>
      <c r="B36" s="584" t="str">
        <f>IF(ISBLANK(IGRF!$J22),"",IGRF!$J22)</f>
        <v>Yonic Cyclonic</v>
      </c>
      <c r="C36" s="585">
        <f>IF(A36="","",SUM(LU!AH17,LU!AH116))</f>
        <v>0</v>
      </c>
      <c r="D36" s="585">
        <f>IF(A36="","",SUM(LU!W17,LU!W116))</f>
        <v>0</v>
      </c>
      <c r="E36" s="586">
        <f>IF(A36="","",SUM(LU!AC17,LU!AC116))</f>
        <v>0</v>
      </c>
      <c r="F36" s="587">
        <f>IF(A36="","",(SUM(C36:E36)-(SUMPRODUCT(--(Lineups!AC$4:AC$41=A36),--(Lineups!AA$4:AA$41="SP"))+SUMPRODUCT(--(Lineups!AG$4:AG$41=A36),--(Lineups!AA$4:AA$41="SP"))+SUMPRODUCT(--(Lineups!AC$46:AC$83=A36),--(Lineups!AA$46:AA$83="SP"))+SUMPRODUCT(--(Lineups!AG$46:AG$83=A36),--(Lineups!AA$46:AA$83="SP")))))</f>
        <v>0</v>
      </c>
      <c r="G36" s="588" t="str">
        <f>IF(OR(A36="",F36=0,LU!D$3+LU!D$102=0),"",F36/(LU!D$3+LU!D$102))</f>
        <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t="str">
        <f>IF(OR(A36="",F36=0),"",SUM(LU!AJ63,LU!AJ162))</f>
        <v/>
      </c>
      <c r="S36" s="585" t="str">
        <f>IF(OR(A36="",F36=0),"",SUM(LU!AJ86,LU!AJ185))</f>
        <v/>
      </c>
      <c r="T36" s="589" t="str">
        <f>IF(OR(A36="",F36=0),"",SUM(LU!AJ40,LU!AJ139))</f>
        <v/>
      </c>
      <c r="U36" s="585" t="str">
        <f>IF(OR(A36="",C36=0),"",SUM(LU!AH40,LU!AH139))</f>
        <v/>
      </c>
      <c r="V36" s="598" t="str">
        <f t="shared" si="18"/>
        <v/>
      </c>
      <c r="W36" s="599" t="str">
        <f>IF(OR(A36="",D36=0),"",SUM(LU!W40,LU!W139))</f>
        <v/>
      </c>
      <c r="X36" s="598" t="str">
        <f t="shared" si="19"/>
        <v/>
      </c>
      <c r="Y36" s="599" t="str">
        <f>IF(OR(A36="",E36=0),"",SUM(LU!AC40,LU!AC139))</f>
        <v/>
      </c>
      <c r="Z36" s="598" t="str">
        <f t="shared" si="20"/>
        <v/>
      </c>
      <c r="AA36" s="599" t="str">
        <f>IF(OR(A36="",AND(D36=0, E36=0)),"",SUM(LU!AE40,LU!AE139))</f>
        <v/>
      </c>
      <c r="AB36" s="598" t="str">
        <f t="shared" si="21"/>
        <v/>
      </c>
      <c r="AC36" s="596" t="str">
        <f t="shared" si="22"/>
        <v/>
      </c>
      <c r="AD36" s="602" t="str">
        <f>IF(OR(A36="",F36=0,R$48="-",LU!$W$5=0),"",R36-R$48)</f>
        <v/>
      </c>
      <c r="AE36" s="603" t="str">
        <f>IF(OR(A36="",F36=0,S$48="-",LU!$W$5=0),"",S36-S$48)</f>
        <v/>
      </c>
      <c r="AF36" s="604" t="str">
        <f t="shared" si="23"/>
        <v/>
      </c>
      <c r="AG36" s="605" t="str">
        <f t="shared" si="24"/>
        <v/>
      </c>
      <c r="AH36" s="605" t="str">
        <f t="shared" si="25"/>
        <v/>
      </c>
      <c r="AI36" s="606" t="str">
        <f t="shared" si="26"/>
        <v/>
      </c>
      <c r="AJ36" s="605" t="str">
        <f t="shared" si="27"/>
        <v/>
      </c>
      <c r="AK36" s="609" t="str">
        <f>IF(OR($A36="",AC36="",AC$48="-",LU!$W$5=0),"",AC36-AC$48)</f>
        <v/>
      </c>
      <c r="AL36" s="608" t="str">
        <f>IF(OR(A36="",F36=0),"",SUM(PT!U72,PT!U73))</f>
        <v/>
      </c>
      <c r="AM36" s="87"/>
    </row>
    <row r="37" ht="19.5" customHeight="1">
      <c r="A37" s="583" t="str">
        <f>IF(ISBLANK(IGRF!$I23),"",IGRF!$I23)</f>
        <v>4</v>
      </c>
      <c r="B37" s="584" t="str">
        <f>IF(ISBLANK(IGRF!$J23),"",IGRF!$J23)</f>
        <v>Stabba</v>
      </c>
      <c r="C37" s="585">
        <f>IF(A37="","",SUM(LU!AH18,LU!AH117))</f>
        <v>0</v>
      </c>
      <c r="D37" s="585">
        <f>IF(A37="","",SUM(LU!W18,LU!W117))</f>
        <v>0</v>
      </c>
      <c r="E37" s="586">
        <f>IF(A37="","",SUM(LU!AC18,LU!AC117))</f>
        <v>11</v>
      </c>
      <c r="F37" s="587">
        <f>IF(A37="","",(SUM(C37:E37)-(SUMPRODUCT(--(Lineups!AC$4:AC$41=A37),--(Lineups!AA$4:AA$41="SP"))+SUMPRODUCT(--(Lineups!AG$4:AG$41=A37),--(Lineups!AA$4:AA$41="SP"))+SUMPRODUCT(--(Lineups!AC$46:AC$83=A37),--(Lineups!AA$46:AA$83="SP"))+SUMPRODUCT(--(Lineups!AG$46:AG$83=A37),--(Lineups!AA$46:AA$83="SP")))))</f>
        <v>11</v>
      </c>
      <c r="G37" s="588">
        <f>IF(OR(A37="",F37=0,LU!D$3+LU!D$102=0),"",F37/(LU!D$3+LU!D$102))</f>
        <v>0.25</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75</v>
      </c>
      <c r="S37" s="585">
        <f>IF(OR(A37="",F37=0),"",SUM(LU!AJ87,LU!AJ186))</f>
        <v>19</v>
      </c>
      <c r="T37" s="589">
        <f>IF(OR(A37="",F37=0),"",SUM(LU!AJ41,LU!AJ140))</f>
        <v>56</v>
      </c>
      <c r="U37" s="585" t="str">
        <f>IF(OR(A37="",C37=0),"",SUM(LU!AH41,LU!AH140))</f>
        <v/>
      </c>
      <c r="V37" s="598" t="str">
        <f t="shared" si="18"/>
        <v/>
      </c>
      <c r="W37" s="599" t="str">
        <f>IF(OR(A37="",D37=0),"",SUM(LU!W41,LU!W140))</f>
        <v/>
      </c>
      <c r="X37" s="598" t="str">
        <f t="shared" si="19"/>
        <v/>
      </c>
      <c r="Y37" s="599">
        <f>IF(OR(A37="",E37=0),"",SUM(LU!AC41,LU!AC140))</f>
        <v>56</v>
      </c>
      <c r="Z37" s="598">
        <f t="shared" si="20"/>
        <v>5.090909091</v>
      </c>
      <c r="AA37" s="599">
        <f>IF(OR(A37="",AND(D37=0, E37=0)),"",SUM(LU!AE41,LU!AE140))</f>
        <v>56</v>
      </c>
      <c r="AB37" s="598">
        <f t="shared" si="21"/>
        <v>5.090909091</v>
      </c>
      <c r="AC37" s="596">
        <f t="shared" si="22"/>
        <v>5.090909091</v>
      </c>
      <c r="AD37" s="602">
        <f>IF(OR(A37="",F37=0,R$48="-",LU!$W$5=0),"",R37-R$48)</f>
        <v>-37.33333333</v>
      </c>
      <c r="AE37" s="603">
        <f>IF(OR(A37="",F37=0,S$48="-",LU!$W$5=0),"",S37-S$48)</f>
        <v>-21</v>
      </c>
      <c r="AF37" s="604">
        <f t="shared" si="23"/>
        <v>-16.33333333</v>
      </c>
      <c r="AG37" s="605" t="str">
        <f t="shared" si="24"/>
        <v/>
      </c>
      <c r="AH37" s="605" t="str">
        <f t="shared" si="25"/>
        <v/>
      </c>
      <c r="AI37" s="606">
        <f t="shared" si="26"/>
        <v>-0.03048489972</v>
      </c>
      <c r="AJ37" s="605">
        <f t="shared" si="27"/>
        <v>0.3418584432</v>
      </c>
      <c r="AK37" s="609">
        <f>IF(OR($A37="",AC37="",AC$48="-",LU!$W$5=0),"",AC37-AC$48)</f>
        <v>0.3737580067</v>
      </c>
      <c r="AL37" s="608">
        <f>IF(OR(A37="",F37=0),"",SUM(PT!U74,PT!U75))</f>
        <v>0</v>
      </c>
      <c r="AM37" s="87"/>
    </row>
    <row r="38" ht="19.5" customHeight="1">
      <c r="A38" s="583" t="str">
        <f>IF(ISBLANK(IGRF!$I24),"",IGRF!$I24)</f>
        <v>42</v>
      </c>
      <c r="B38" s="584" t="str">
        <f>IF(ISBLANK(IGRF!$J24),"",IGRF!$J24)</f>
        <v>Pretty Carless</v>
      </c>
      <c r="C38" s="585">
        <f>IF(A38="","",SUM(LU!AH19,LU!AH118))</f>
        <v>1</v>
      </c>
      <c r="D38" s="585">
        <f>IF(A38="","",SUM(LU!W19,LU!W118))</f>
        <v>15</v>
      </c>
      <c r="E38" s="586">
        <f>IF(A38="","",SUM(LU!AC19,LU!AC118))</f>
        <v>2</v>
      </c>
      <c r="F38" s="587">
        <f>IF(A38="","",(SUM(C38:E38)-(SUMPRODUCT(--(Lineups!AC$4:AC$41=A38),--(Lineups!AA$4:AA$41="SP"))+SUMPRODUCT(--(Lineups!AG$4:AG$41=A38),--(Lineups!AA$4:AA$41="SP"))+SUMPRODUCT(--(Lineups!AC$46:AC$83=A38),--(Lineups!AA$46:AA$83="SP"))+SUMPRODUCT(--(Lineups!AG$46:AG$83=A38),--(Lineups!AA$46:AA$83="SP")))))</f>
        <v>17</v>
      </c>
      <c r="G38" s="588">
        <f>IF(OR(A38="",F38=0,LU!D$3+LU!D$102=0),"",F38/(LU!D$3+LU!D$102))</f>
        <v>0.3863636364</v>
      </c>
      <c r="H38" s="589">
        <f>IF(OR(C38=0,A38=""),"",SK!T204)</f>
        <v>6</v>
      </c>
      <c r="I38" s="590">
        <f>IF(OR(A38="",SK!U204="",SK!U204=0),"",H38/SK!U204)</f>
        <v>6</v>
      </c>
      <c r="J38" s="591">
        <f>IF(OR(C38=0,A38=""),"",SK!W204)</f>
        <v>0</v>
      </c>
      <c r="K38" s="592">
        <f>IF(OR(C38=0,A38=""),"",SK!X204)</f>
        <v>0</v>
      </c>
      <c r="L38" s="593">
        <f>IF(OR(C38=0,A38=""),"",SK!Z204)</f>
        <v>0</v>
      </c>
      <c r="M38" s="593">
        <f>IF(OR(C38=0,A38=""),"",SK!AB204)</f>
        <v>0</v>
      </c>
      <c r="N38" s="593">
        <f>IF(OR(A38="",C38=0),"",SUMPRODUCT(--(Lineups!$AA$4:$AA$41="SP"),--(Lineups!$AC$4:$AC$41=A38))+SUMPRODUCT(--(Lineups!$AA$46:$AA$83="SP"),--(Lineups!$AC$46:$AC$83=A38)))</f>
        <v>1</v>
      </c>
      <c r="O38" s="594">
        <f t="shared" si="16"/>
        <v>0</v>
      </c>
      <c r="P38" s="595">
        <f>IF(OR(A38="",C38=0),"",SK!Y204)</f>
        <v>0</v>
      </c>
      <c r="Q38" s="596" t="str">
        <f t="shared" si="17"/>
        <v/>
      </c>
      <c r="R38" s="597">
        <f>IF(OR(A38="",F38=0),"",SUM(LU!AJ65,LU!AJ164))</f>
        <v>109</v>
      </c>
      <c r="S38" s="585">
        <f>IF(OR(A38="",F38=0),"",SUM(LU!AJ88,LU!AJ187))</f>
        <v>48</v>
      </c>
      <c r="T38" s="589">
        <f>IF(OR(A38="",F38=0),"",SUM(LU!AJ42,LU!AJ141))</f>
        <v>61</v>
      </c>
      <c r="U38" s="585">
        <f>IF(OR(A38="",C38=0),"",SUM(LU!AH42,LU!AH141))</f>
        <v>6</v>
      </c>
      <c r="V38" s="598">
        <f t="shared" si="18"/>
        <v>6</v>
      </c>
      <c r="W38" s="599">
        <f>IF(OR(A38="",D38=0),"",SUM(LU!W42,LU!W141))</f>
        <v>47</v>
      </c>
      <c r="X38" s="598">
        <f t="shared" si="19"/>
        <v>3.133333333</v>
      </c>
      <c r="Y38" s="599">
        <f>IF(OR(A38="",E38=0),"",SUM(LU!AC42,LU!AC141))</f>
        <v>8</v>
      </c>
      <c r="Z38" s="598">
        <f t="shared" si="20"/>
        <v>4</v>
      </c>
      <c r="AA38" s="599">
        <f>IF(OR(A38="",AND(D38=0, E38=0)),"",SUM(LU!AE42,LU!AE141))</f>
        <v>55</v>
      </c>
      <c r="AB38" s="598">
        <f t="shared" si="21"/>
        <v>3.235294118</v>
      </c>
      <c r="AC38" s="596">
        <f t="shared" si="22"/>
        <v>3.588235294</v>
      </c>
      <c r="AD38" s="602">
        <f>IF(OR(A38="",F38=0,R$48="-",LU!$W$5=0),"",R38-R$48)</f>
        <v>-3.333333333</v>
      </c>
      <c r="AE38" s="603">
        <f>IF(OR(A38="",F38=0,S$48="-",LU!$W$5=0),"",S38-S$48)</f>
        <v>8</v>
      </c>
      <c r="AF38" s="604">
        <f t="shared" si="23"/>
        <v>-11.33333333</v>
      </c>
      <c r="AG38" s="605">
        <f t="shared" si="24"/>
        <v>1.819444444</v>
      </c>
      <c r="AH38" s="605">
        <f t="shared" si="25"/>
        <v>-1.542857143</v>
      </c>
      <c r="AI38" s="606">
        <f t="shared" si="26"/>
        <v>-1.121393991</v>
      </c>
      <c r="AJ38" s="605">
        <f t="shared" si="27"/>
        <v>-1.51375653</v>
      </c>
      <c r="AK38" s="609">
        <f>IF(OR($A38="",AC38="",AC$48="-",LU!$W$5=0),"",AC38-AC$48)</f>
        <v>-1.12891579</v>
      </c>
      <c r="AL38" s="608">
        <f>IF(OR(A38="",F38=0),"",SUM(PT!U76,PT!U77))</f>
        <v>1</v>
      </c>
      <c r="AM38" s="87"/>
    </row>
    <row r="39" ht="19.5" customHeight="1">
      <c r="A39" s="583" t="str">
        <f>IF(ISBLANK(IGRF!$I25),"",IGRF!$I25)</f>
        <v>48</v>
      </c>
      <c r="B39" s="584" t="str">
        <f>IF(ISBLANK(IGRF!$J25),"",IGRF!$J25)</f>
        <v>Tini from the Bloc</v>
      </c>
      <c r="C39" s="585">
        <f>IF(A39="","",SUM(LU!AH20,LU!AH119))</f>
        <v>0</v>
      </c>
      <c r="D39" s="585">
        <f>IF(A39="","",SUM(LU!W20,LU!W119))</f>
        <v>0</v>
      </c>
      <c r="E39" s="586">
        <f>IF(A39="","",SUM(LU!AC20,LU!AC119))</f>
        <v>13</v>
      </c>
      <c r="F39" s="587">
        <f>IF(A39="","",(SUM(C39:E39)-(SUMPRODUCT(--(Lineups!AC$4:AC$41=A39),--(Lineups!AA$4:AA$41="SP"))+SUMPRODUCT(--(Lineups!AG$4:AG$41=A39),--(Lineups!AA$4:AA$41="SP"))+SUMPRODUCT(--(Lineups!AC$46:AC$83=A39),--(Lineups!AA$46:AA$83="SP"))+SUMPRODUCT(--(Lineups!AG$46:AG$83=A39),--(Lineups!AA$46:AA$83="SP")))))</f>
        <v>13</v>
      </c>
      <c r="G39" s="588">
        <f>IF(OR(A39="",F39=0,LU!D$3+LU!D$102=0),"",F39/(LU!D$3+LU!D$102))</f>
        <v>0.2954545455</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88</v>
      </c>
      <c r="S39" s="585">
        <f>IF(OR(A39="",F39=0),"",SUM(LU!AJ89,LU!AJ188))</f>
        <v>31</v>
      </c>
      <c r="T39" s="589">
        <f>IF(OR(A39="",F39=0),"",SUM(LU!AJ43,LU!AJ142))</f>
        <v>57</v>
      </c>
      <c r="U39" s="585" t="str">
        <f>IF(OR(A39="",C39=0),"",SUM(LU!AH43,LU!AH142))</f>
        <v/>
      </c>
      <c r="V39" s="598" t="str">
        <f t="shared" si="18"/>
        <v/>
      </c>
      <c r="W39" s="599" t="str">
        <f>IF(OR(A39="",D39=0),"",SUM(LU!W43,LU!W142))</f>
        <v/>
      </c>
      <c r="X39" s="598" t="str">
        <f t="shared" si="19"/>
        <v/>
      </c>
      <c r="Y39" s="599">
        <f>IF(OR(A39="",E39=0),"",SUM(LU!AC43,LU!AC142))</f>
        <v>57</v>
      </c>
      <c r="Z39" s="598">
        <f t="shared" si="20"/>
        <v>4.384615385</v>
      </c>
      <c r="AA39" s="599">
        <f>IF(OR(A39="",AND(D39=0, E39=0)),"",SUM(LU!AE43,LU!AE142))</f>
        <v>57</v>
      </c>
      <c r="AB39" s="598">
        <f t="shared" si="21"/>
        <v>4.384615385</v>
      </c>
      <c r="AC39" s="596">
        <f t="shared" si="22"/>
        <v>4.384615385</v>
      </c>
      <c r="AD39" s="602">
        <f>IF(OR(A39="",F39=0,R$48="-",LU!$W$5=0),"",R39-R$48)</f>
        <v>-24.33333333</v>
      </c>
      <c r="AE39" s="603">
        <f>IF(OR(A39="",F39=0,S$48="-",LU!$W$5=0),"",S39-S$48)</f>
        <v>-9</v>
      </c>
      <c r="AF39" s="604">
        <f t="shared" si="23"/>
        <v>-15.33333333</v>
      </c>
      <c r="AG39" s="605" t="str">
        <f t="shared" si="24"/>
        <v/>
      </c>
      <c r="AH39" s="605" t="str">
        <f t="shared" si="25"/>
        <v/>
      </c>
      <c r="AI39" s="606">
        <f t="shared" si="26"/>
        <v>-0.736778606</v>
      </c>
      <c r="AJ39" s="605">
        <f t="shared" si="27"/>
        <v>-0.3644352631</v>
      </c>
      <c r="AK39" s="609">
        <f>IF(OR($A39="",AC39="",AC$48="-",LU!$W$5=0),"",AC39-AC$48)</f>
        <v>-0.3325356996</v>
      </c>
      <c r="AL39" s="608">
        <f>IF(OR(A39="",F39=0),"",SUM(PT!U78,PT!U79))</f>
        <v>0</v>
      </c>
      <c r="AM39" s="87"/>
    </row>
    <row r="40" ht="19.5" customHeight="1">
      <c r="A40" s="583" t="str">
        <f>IF(ISBLANK(IGRF!$I26),"",IGRF!$I26)</f>
        <v>167</v>
      </c>
      <c r="B40" s="584" t="str">
        <f>IF(ISBLANK(IGRF!$J26),"",IGRF!$J26)</f>
        <v>Rile E Coyote</v>
      </c>
      <c r="C40" s="585">
        <f>IF(A40="","",SUM(LU!AH21,LU!AH120))</f>
        <v>0</v>
      </c>
      <c r="D40" s="585">
        <f>IF(A40="","",SUM(LU!W21,LU!W120))</f>
        <v>0</v>
      </c>
      <c r="E40" s="586">
        <f>IF(A40="","",SUM(LU!AC21,LU!AC120))</f>
        <v>14</v>
      </c>
      <c r="F40" s="587">
        <f>IF(A40="","",(SUM(C40:E40)-(SUMPRODUCT(--(Lineups!AC$4:AC$41=A40),--(Lineups!AA$4:AA$41="SP"))+SUMPRODUCT(--(Lineups!AG$4:AG$41=A40),--(Lineups!AA$4:AA$41="SP"))+SUMPRODUCT(--(Lineups!AC$46:AC$83=A40),--(Lineups!AA$46:AA$83="SP"))+SUMPRODUCT(--(Lineups!AG$46:AG$83=A40),--(Lineups!AA$46:AA$83="SP")))))</f>
        <v>14</v>
      </c>
      <c r="G40" s="588">
        <f>IF(OR(A40="",F40=0,LU!D$3+LU!D$102=0),"",F40/(LU!D$3+LU!D$102))</f>
        <v>0.3181818182</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111</v>
      </c>
      <c r="S40" s="585">
        <f>IF(OR(A40="",F40=0),"",SUM(LU!AJ90,LU!AJ189))</f>
        <v>57</v>
      </c>
      <c r="T40" s="589">
        <f>IF(OR(A40="",F40=0),"",SUM(LU!AJ44,LU!AJ143))</f>
        <v>54</v>
      </c>
      <c r="U40" s="585" t="str">
        <f>IF(OR(A40="",C40=0),"",SUM(LU!AH44,LU!AH143))</f>
        <v/>
      </c>
      <c r="V40" s="598" t="str">
        <f t="shared" si="18"/>
        <v/>
      </c>
      <c r="W40" s="599" t="str">
        <f>IF(OR(A40="",D40=0),"",SUM(LU!W44,LU!W143))</f>
        <v/>
      </c>
      <c r="X40" s="598" t="str">
        <f t="shared" si="19"/>
        <v/>
      </c>
      <c r="Y40" s="599">
        <f>IF(OR(A40="",E40=0),"",SUM(LU!AC44,LU!AC143))</f>
        <v>54</v>
      </c>
      <c r="Z40" s="598">
        <f t="shared" si="20"/>
        <v>3.857142857</v>
      </c>
      <c r="AA40" s="599">
        <f>IF(OR(A40="",AND(D40=0, E40=0)),"",SUM(LU!AE44,LU!AE143))</f>
        <v>54</v>
      </c>
      <c r="AB40" s="598">
        <f t="shared" si="21"/>
        <v>3.857142857</v>
      </c>
      <c r="AC40" s="596">
        <f t="shared" si="22"/>
        <v>3.857142857</v>
      </c>
      <c r="AD40" s="602">
        <f>IF(OR(A40="",F40=0,R$48="-",LU!$W$5=0),"",R40-R$48)</f>
        <v>-1.333333333</v>
      </c>
      <c r="AE40" s="603">
        <f>IF(OR(A40="",F40=0,S$48="-",LU!$W$5=0),"",S40-S$48)</f>
        <v>17</v>
      </c>
      <c r="AF40" s="604">
        <f t="shared" si="23"/>
        <v>-18.33333333</v>
      </c>
      <c r="AG40" s="605" t="str">
        <f t="shared" si="24"/>
        <v/>
      </c>
      <c r="AH40" s="605" t="str">
        <f t="shared" si="25"/>
        <v/>
      </c>
      <c r="AI40" s="606">
        <f t="shared" si="26"/>
        <v>-1.264251133</v>
      </c>
      <c r="AJ40" s="605">
        <f t="shared" si="27"/>
        <v>-0.8919077906</v>
      </c>
      <c r="AK40" s="609">
        <f>IF(OR($A40="",AC40="",AC$48="-",LU!$W$5=0),"",AC40-AC$48)</f>
        <v>-0.8600082271</v>
      </c>
      <c r="AL40" s="608">
        <f>IF(OR(A40="",F40=0),"",SUM(PT!U80,PT!U81))</f>
        <v>0</v>
      </c>
      <c r="AM40" s="87"/>
    </row>
    <row r="41" ht="19.5" customHeight="1">
      <c r="A41" s="583" t="str">
        <f>IF(ISBLANK(IGRF!$I27),"",IGRF!$I27)</f>
        <v>602</v>
      </c>
      <c r="B41" s="584" t="str">
        <f>IF(ISBLANK(IGRF!$J27),"",IGRF!$J27)</f>
        <v>Fearidum</v>
      </c>
      <c r="C41" s="585">
        <f>IF(A41="","",SUM(LU!AH22,LU!AH121))</f>
        <v>0</v>
      </c>
      <c r="D41" s="585">
        <f>IF(A41="","",SUM(LU!W22,LU!W121))</f>
        <v>1</v>
      </c>
      <c r="E41" s="586">
        <f>IF(A41="","",SUM(LU!AC22,LU!AC121))</f>
        <v>11</v>
      </c>
      <c r="F41" s="587">
        <f>IF(A41="","",(SUM(C41:E41)-(SUMPRODUCT(--(Lineups!AC$4:AC$41=A41),--(Lineups!AA$4:AA$41="SP"))+SUMPRODUCT(--(Lineups!AG$4:AG$41=A41),--(Lineups!AA$4:AA$41="SP"))+SUMPRODUCT(--(Lineups!AC$46:AC$83=A41),--(Lineups!AA$46:AA$83="SP"))+SUMPRODUCT(--(Lineups!AG$46:AG$83=A41),--(Lineups!AA$46:AA$83="SP")))))</f>
        <v>12</v>
      </c>
      <c r="G41" s="588">
        <f>IF(OR(A41="",F41=0,LU!D$3+LU!D$102=0),"",F41/(LU!D$3+LU!D$102))</f>
        <v>0.2727272727</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68</v>
      </c>
      <c r="S41" s="585">
        <f>IF(OR(A41="",F41=0),"",SUM(LU!AJ91,LU!AJ190))</f>
        <v>42</v>
      </c>
      <c r="T41" s="589">
        <f>IF(OR(A41="",F41=0),"",SUM(LU!AJ45,LU!AJ144))</f>
        <v>26</v>
      </c>
      <c r="U41" s="585" t="str">
        <f>IF(OR(A41="",C41=0),"",SUM(LU!AH45,LU!AH144))</f>
        <v/>
      </c>
      <c r="V41" s="598" t="str">
        <f t="shared" si="18"/>
        <v/>
      </c>
      <c r="W41" s="599">
        <f>IF(OR(A41="",D41=0),"",SUM(LU!W45,LU!W144))</f>
        <v>4</v>
      </c>
      <c r="X41" s="598">
        <f t="shared" si="19"/>
        <v>4</v>
      </c>
      <c r="Y41" s="599">
        <f>IF(OR(A41="",E41=0),"",SUM(LU!AC45,LU!AC144))</f>
        <v>22</v>
      </c>
      <c r="Z41" s="598">
        <f t="shared" si="20"/>
        <v>2</v>
      </c>
      <c r="AA41" s="599">
        <f>IF(OR(A41="",AND(D41=0, E41=0)),"",SUM(LU!AE45,LU!AE144))</f>
        <v>26</v>
      </c>
      <c r="AB41" s="598">
        <f t="shared" si="21"/>
        <v>2.166666667</v>
      </c>
      <c r="AC41" s="596">
        <f t="shared" si="22"/>
        <v>2.166666667</v>
      </c>
      <c r="AD41" s="602">
        <f>IF(OR(A41="",F41=0,R$48="-",LU!$W$5=0),"",R41-R$48)</f>
        <v>-44.33333333</v>
      </c>
      <c r="AE41" s="603">
        <f>IF(OR(A41="",F41=0,S$48="-",LU!$W$5=0),"",S41-S$48)</f>
        <v>2</v>
      </c>
      <c r="AF41" s="604">
        <f t="shared" si="23"/>
        <v>-46.33333333</v>
      </c>
      <c r="AG41" s="605" t="str">
        <f t="shared" si="24"/>
        <v/>
      </c>
      <c r="AH41" s="605">
        <f t="shared" si="25"/>
        <v>-0.6761904762</v>
      </c>
      <c r="AI41" s="606">
        <f t="shared" si="26"/>
        <v>-3.121393991</v>
      </c>
      <c r="AJ41" s="605">
        <f t="shared" si="27"/>
        <v>-2.582383981</v>
      </c>
      <c r="AK41" s="609">
        <f>IF(OR($A41="",AC41="",AC$48="-",LU!$W$5=0),"",AC41-AC$48)</f>
        <v>-2.550484418</v>
      </c>
      <c r="AL41" s="608">
        <f>IF(OR(A41="",F41=0),"",SUM(PT!U82,PT!U83))</f>
        <v>1</v>
      </c>
      <c r="AM41" s="87"/>
    </row>
    <row r="42" ht="19.5" customHeight="1">
      <c r="A42" s="583" t="str">
        <f>IF(ISBLANK(IGRF!$I28),"",IGRF!$I28)</f>
        <v>777</v>
      </c>
      <c r="B42" s="584" t="str">
        <f>IF(ISBLANK(IGRF!$J28),"",IGRF!$J28)</f>
        <v>Des</v>
      </c>
      <c r="C42" s="585">
        <f>IF(A42="","",SUM(LU!AH23,LU!AH122))</f>
        <v>0</v>
      </c>
      <c r="D42" s="585">
        <f>IF(A42="","",SUM(LU!W23,LU!W122))</f>
        <v>0</v>
      </c>
      <c r="E42" s="586">
        <f>IF(A42="","",SUM(LU!AC23,LU!AC122))</f>
        <v>22</v>
      </c>
      <c r="F42" s="587">
        <f>IF(A42="","",(SUM(C42:E42)-(SUMPRODUCT(--(Lineups!AC$4:AC$41=A42),--(Lineups!AA$4:AA$41="SP"))+SUMPRODUCT(--(Lineups!AG$4:AG$41=A42),--(Lineups!AA$4:AA$41="SP"))+SUMPRODUCT(--(Lineups!AC$46:AC$83=A42),--(Lineups!AA$46:AA$83="SP"))+SUMPRODUCT(--(Lineups!AG$46:AG$83=A42),--(Lineups!AA$46:AA$83="SP")))))</f>
        <v>22</v>
      </c>
      <c r="G42" s="588">
        <f>IF(OR(A42="",F42=0,LU!D$3+LU!D$102=0),"",F42/(LU!D$3+LU!D$102))</f>
        <v>0.5</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196</v>
      </c>
      <c r="S42" s="585">
        <f>IF(OR(A42="",F42=0),"",SUM(LU!AJ92,LU!AJ191))</f>
        <v>55</v>
      </c>
      <c r="T42" s="589">
        <f>IF(OR(A42="",F42=0),"",SUM(LU!AJ46,LU!AJ145))</f>
        <v>141</v>
      </c>
      <c r="U42" s="585" t="str">
        <f>IF(OR(A42="",C42=0),"",SUM(LU!AH46,LU!AH145))</f>
        <v/>
      </c>
      <c r="V42" s="598" t="str">
        <f t="shared" si="18"/>
        <v/>
      </c>
      <c r="W42" s="599" t="str">
        <f>IF(OR(A42="",D42=0),"",SUM(LU!W46,LU!W145))</f>
        <v/>
      </c>
      <c r="X42" s="598" t="str">
        <f t="shared" si="19"/>
        <v/>
      </c>
      <c r="Y42" s="599">
        <f>IF(OR(A42="",E42=0),"",SUM(LU!AC46,LU!AC145))</f>
        <v>141</v>
      </c>
      <c r="Z42" s="598">
        <f t="shared" si="20"/>
        <v>6.409090909</v>
      </c>
      <c r="AA42" s="599">
        <f>IF(OR(A42="",AND(D42=0, E42=0)),"",SUM(LU!AE46,LU!AE145))</f>
        <v>141</v>
      </c>
      <c r="AB42" s="598">
        <f t="shared" si="21"/>
        <v>6.409090909</v>
      </c>
      <c r="AC42" s="596">
        <f t="shared" si="22"/>
        <v>6.409090909</v>
      </c>
      <c r="AD42" s="602">
        <f>IF(OR(A42="",F42=0,R$48="-",LU!$W$5=0),"",R42-R$48)</f>
        <v>83.66666667</v>
      </c>
      <c r="AE42" s="603">
        <f>IF(OR(A42="",F42=0,S$48="-",LU!$W$5=0),"",S42-S$48)</f>
        <v>15</v>
      </c>
      <c r="AF42" s="604">
        <f t="shared" si="23"/>
        <v>68.66666667</v>
      </c>
      <c r="AG42" s="605" t="str">
        <f t="shared" si="24"/>
        <v/>
      </c>
      <c r="AH42" s="605" t="str">
        <f t="shared" si="25"/>
        <v/>
      </c>
      <c r="AI42" s="606">
        <f t="shared" si="26"/>
        <v>1.287696918</v>
      </c>
      <c r="AJ42" s="605">
        <f t="shared" si="27"/>
        <v>1.660040261</v>
      </c>
      <c r="AK42" s="609">
        <f>IF(OR($A42="",AC42="",AC$48="-",LU!$W$5=0),"",AC42-AC$48)</f>
        <v>1.691939825</v>
      </c>
      <c r="AL42" s="608">
        <f>IF(OR(A42="",F42=0),"",SUM(PT!U84,PT!U85))</f>
        <v>6</v>
      </c>
      <c r="AM42" s="87"/>
    </row>
    <row r="43" ht="19.5" customHeight="1">
      <c r="A43" s="583" t="str">
        <f>IF(ISBLANK(IGRF!$I29),"",IGRF!$I29)</f>
        <v>88</v>
      </c>
      <c r="B43" s="584" t="str">
        <f>IF(ISBLANK(IGRF!$J29),"",IGRF!$J29)</f>
        <v>diamond WEAPON</v>
      </c>
      <c r="C43" s="585">
        <f>IF(A43="","",SUM(LU!AH24,LU!AH123))</f>
        <v>3</v>
      </c>
      <c r="D43" s="585">
        <f>IF(A43="","",SUM(LU!W24,LU!W123))</f>
        <v>21</v>
      </c>
      <c r="E43" s="586">
        <f>IF(A43="","",SUM(LU!AC24,LU!AC123))</f>
        <v>1</v>
      </c>
      <c r="F43" s="587">
        <f>IF(A43="","",(SUM(C43:E43)-(SUMPRODUCT(--(Lineups!AC$4:AC$41=A43),--(Lineups!AA$4:AA$41="SP"))+SUMPRODUCT(--(Lineups!AG$4:AG$41=A43),--(Lineups!AA$4:AA$41="SP"))+SUMPRODUCT(--(Lineups!AC$46:AC$83=A43),--(Lineups!AA$46:AA$83="SP"))+SUMPRODUCT(--(Lineups!AG$46:AG$83=A43),--(Lineups!AA$46:AA$83="SP")))))</f>
        <v>22</v>
      </c>
      <c r="G43" s="588">
        <f>IF(OR(A43="",F43=0,LU!D$3+LU!D$102=0),"",F43/(LU!D$3+LU!D$102))</f>
        <v>0.5</v>
      </c>
      <c r="H43" s="589">
        <f>IF(OR(C43=0,A43=""),"",SK!T219)</f>
        <v>11</v>
      </c>
      <c r="I43" s="590">
        <f>IF(OR(A43="",SK!U219="",SK!U219=0),"",H43/SK!U219)</f>
        <v>3.666666667</v>
      </c>
      <c r="J43" s="591">
        <f>IF(OR(C43=0,A43=""),"",SK!W219)</f>
        <v>0</v>
      </c>
      <c r="K43" s="592">
        <f>IF(OR(C43=0,A43=""),"",SK!X219)</f>
        <v>0</v>
      </c>
      <c r="L43" s="593">
        <f>IF(OR(C43=0,A43=""),"",SK!Z219)</f>
        <v>0</v>
      </c>
      <c r="M43" s="593">
        <f>IF(OR(C43=0,A43=""),"",SK!AB219)</f>
        <v>0</v>
      </c>
      <c r="N43" s="593">
        <f>IF(OR(A43="",C43=0),"",SUMPRODUCT(--(Lineups!$AA$4:$AA$41="SP"),--(Lineups!$AC$4:$AC$41=A43))+SUMPRODUCT(--(Lineups!$AA$46:$AA$83="SP"),--(Lineups!$AC$46:$AC$83=A43)))</f>
        <v>3</v>
      </c>
      <c r="O43" s="594">
        <f t="shared" si="16"/>
        <v>0</v>
      </c>
      <c r="P43" s="595">
        <f>IF(OR(A43="",C43=0),"",SK!Y219)</f>
        <v>0</v>
      </c>
      <c r="Q43" s="596" t="str">
        <f t="shared" si="17"/>
        <v/>
      </c>
      <c r="R43" s="597">
        <f>IF(OR(A43="",F43=0),"",SUM(LU!AJ70,LU!AJ169))</f>
        <v>188</v>
      </c>
      <c r="S43" s="585">
        <f>IF(OR(A43="",F43=0),"",SUM(LU!AJ93,LU!AJ192))</f>
        <v>65</v>
      </c>
      <c r="T43" s="589">
        <f>IF(OR(A43="",F43=0),"",SUM(LU!AJ47,LU!AJ146))</f>
        <v>123</v>
      </c>
      <c r="U43" s="585">
        <f>IF(OR(A43="",C43=0),"",SUM(LU!AH47,LU!AH146))</f>
        <v>11</v>
      </c>
      <c r="V43" s="598">
        <f t="shared" si="18"/>
        <v>3.666666667</v>
      </c>
      <c r="W43" s="599">
        <f>IF(OR(A43="",D43=0),"",SUM(LU!W47,LU!W146))</f>
        <v>102</v>
      </c>
      <c r="X43" s="598">
        <f t="shared" si="19"/>
        <v>4.857142857</v>
      </c>
      <c r="Y43" s="599">
        <f>IF(OR(A43="",E43=0),"",SUM(LU!AC47,LU!AC146))</f>
        <v>10</v>
      </c>
      <c r="Z43" s="598">
        <f t="shared" si="20"/>
        <v>10</v>
      </c>
      <c r="AA43" s="599">
        <f>IF(OR(A43="",AND(D43=0, E43=0)),"",SUM(LU!AE47,LU!AE146))</f>
        <v>112</v>
      </c>
      <c r="AB43" s="598">
        <f t="shared" si="21"/>
        <v>5.090909091</v>
      </c>
      <c r="AC43" s="596">
        <f t="shared" si="22"/>
        <v>5.590909091</v>
      </c>
      <c r="AD43" s="602">
        <f>IF(OR(A43="",F43=0,R$48="-",LU!$W$5=0),"",R43-R$48)</f>
        <v>75.66666667</v>
      </c>
      <c r="AE43" s="603">
        <f>IF(OR(A43="",F43=0,S$48="-",LU!$W$5=0),"",S43-S$48)</f>
        <v>25</v>
      </c>
      <c r="AF43" s="604">
        <f t="shared" si="23"/>
        <v>50.66666667</v>
      </c>
      <c r="AG43" s="605">
        <f t="shared" si="24"/>
        <v>-0.5138888889</v>
      </c>
      <c r="AH43" s="605">
        <f t="shared" si="25"/>
        <v>0.180952381</v>
      </c>
      <c r="AI43" s="606">
        <f t="shared" si="26"/>
        <v>4.878606009</v>
      </c>
      <c r="AJ43" s="605">
        <f t="shared" si="27"/>
        <v>0.3418584432</v>
      </c>
      <c r="AK43" s="609">
        <f>IF(OR($A43="",AC43="",AC$48="-",LU!$W$5=0),"",AC43-AC$48)</f>
        <v>0.8737580067</v>
      </c>
      <c r="AL43" s="608">
        <f>IF(OR(A43="",F43=0),"",SUM(PT!U86,PT!U87))</f>
        <v>1</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343</v>
      </c>
      <c r="B48" s="432"/>
      <c r="C48" s="617">
        <f t="shared" ref="C48:F48" si="28">SUM(C28:C47)</f>
        <v>48</v>
      </c>
      <c r="D48" s="617">
        <f t="shared" si="28"/>
        <v>44</v>
      </c>
      <c r="E48" s="617">
        <f t="shared" si="28"/>
        <v>136</v>
      </c>
      <c r="F48" s="617">
        <f t="shared" si="28"/>
        <v>220</v>
      </c>
      <c r="G48" s="618">
        <f>IF(COUNT(G28:G47)=0,"-",AVERAGE(G28:G47))</f>
        <v>0.3333333333</v>
      </c>
      <c r="H48" s="617">
        <f>SUM(H28:H47)</f>
        <v>337</v>
      </c>
      <c r="I48" s="619">
        <f>IF(LU!W3+LU!W102=0,"-",H48/(LU!W3+LU!W102))</f>
        <v>7.659090909</v>
      </c>
      <c r="J48" s="620">
        <f t="shared" ref="J48:N48" si="29">SUM(J28:J47)</f>
        <v>4</v>
      </c>
      <c r="K48" s="617">
        <f t="shared" si="29"/>
        <v>35</v>
      </c>
      <c r="L48" s="617">
        <f t="shared" si="29"/>
        <v>28</v>
      </c>
      <c r="M48" s="617">
        <f t="shared" si="29"/>
        <v>3</v>
      </c>
      <c r="N48" s="617">
        <f t="shared" si="29"/>
        <v>4</v>
      </c>
      <c r="O48" s="621">
        <f>IF(C48=0,"-",K48/(C48-N48))</f>
        <v>0.7954545455</v>
      </c>
      <c r="P48" s="622">
        <f>SUM(P28:P47)</f>
        <v>247</v>
      </c>
      <c r="Q48" s="623">
        <f t="shared" ref="Q48:AC48" si="30">IF(COUNT(Q28:Q47)=0,"-",AVERAGE(Q28:Q47))</f>
        <v>6.208333333</v>
      </c>
      <c r="R48" s="624">
        <f t="shared" si="30"/>
        <v>112.3333333</v>
      </c>
      <c r="S48" s="625">
        <f t="shared" si="30"/>
        <v>40</v>
      </c>
      <c r="T48" s="622">
        <f t="shared" si="30"/>
        <v>72.33333333</v>
      </c>
      <c r="U48" s="622">
        <f t="shared" si="30"/>
        <v>36.16666667</v>
      </c>
      <c r="V48" s="622">
        <f t="shared" si="30"/>
        <v>4.180555556</v>
      </c>
      <c r="W48" s="622">
        <f t="shared" si="30"/>
        <v>50</v>
      </c>
      <c r="X48" s="622">
        <f t="shared" si="30"/>
        <v>4.676190476</v>
      </c>
      <c r="Y48" s="622">
        <f t="shared" si="30"/>
        <v>51.38461538</v>
      </c>
      <c r="Z48" s="622">
        <f t="shared" si="30"/>
        <v>5.121393991</v>
      </c>
      <c r="AA48" s="622">
        <f t="shared" si="30"/>
        <v>66.76923077</v>
      </c>
      <c r="AB48" s="622">
        <f t="shared" si="30"/>
        <v>4.749050648</v>
      </c>
      <c r="AC48" s="622">
        <f t="shared" si="30"/>
        <v>4.717151084</v>
      </c>
      <c r="AD48" s="626" t="s">
        <v>344</v>
      </c>
      <c r="AE48" s="627" t="s">
        <v>344</v>
      </c>
      <c r="AF48" s="627" t="s">
        <v>344</v>
      </c>
      <c r="AG48" s="626" t="s">
        <v>344</v>
      </c>
      <c r="AH48" s="627" t="s">
        <v>344</v>
      </c>
      <c r="AI48" s="627" t="s">
        <v>344</v>
      </c>
      <c r="AJ48" s="627" t="s">
        <v>344</v>
      </c>
      <c r="AK48" s="628" t="s">
        <v>344</v>
      </c>
      <c r="AL48" s="616">
        <f>SUM(AL28:AM47)</f>
        <v>22</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45220</v>
      </c>
      <c r="B1" s="45"/>
      <c r="C1" s="45"/>
      <c r="D1" s="634" t="s">
        <v>345</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Tiger Bay Brawlers / Challengers</v>
      </c>
      <c r="B2" s="45"/>
      <c r="C2" s="46"/>
      <c r="D2" s="637" t="s">
        <v>346</v>
      </c>
      <c r="E2" s="45"/>
      <c r="F2" s="45"/>
      <c r="G2" s="45"/>
      <c r="H2" s="45"/>
      <c r="I2" s="45"/>
      <c r="J2" s="45"/>
      <c r="K2" s="45"/>
      <c r="L2" s="45"/>
      <c r="M2" s="45"/>
      <c r="N2" s="45"/>
      <c r="O2" s="45"/>
      <c r="P2" s="45"/>
      <c r="Q2" s="45"/>
      <c r="R2" s="45"/>
      <c r="S2" s="45"/>
      <c r="T2" s="46"/>
      <c r="U2" s="638"/>
      <c r="V2" s="638"/>
      <c r="W2" s="639" t="s">
        <v>347</v>
      </c>
      <c r="X2" s="46"/>
      <c r="Y2" s="640"/>
      <c r="Z2" s="640"/>
      <c r="AA2" s="640"/>
      <c r="AB2" s="640"/>
    </row>
    <row r="3" ht="60.75" customHeight="1">
      <c r="A3" s="641" t="s">
        <v>228</v>
      </c>
      <c r="B3" s="642" t="s">
        <v>348</v>
      </c>
      <c r="C3" s="15"/>
      <c r="D3" s="643" t="s">
        <v>239</v>
      </c>
      <c r="E3" s="644" t="s">
        <v>244</v>
      </c>
      <c r="F3" s="645" t="s">
        <v>245</v>
      </c>
      <c r="G3" s="645" t="s">
        <v>246</v>
      </c>
      <c r="H3" s="645" t="s">
        <v>248</v>
      </c>
      <c r="I3" s="645" t="s">
        <v>250</v>
      </c>
      <c r="J3" s="645" t="s">
        <v>253</v>
      </c>
      <c r="K3" s="645" t="s">
        <v>254</v>
      </c>
      <c r="L3" s="645" t="s">
        <v>255</v>
      </c>
      <c r="M3" s="645" t="s">
        <v>258</v>
      </c>
      <c r="N3" s="645" t="s">
        <v>260</v>
      </c>
      <c r="O3" s="645" t="s">
        <v>266</v>
      </c>
      <c r="P3" s="645" t="s">
        <v>269</v>
      </c>
      <c r="Q3" s="646" t="s">
        <v>272</v>
      </c>
      <c r="R3" s="646"/>
      <c r="S3" s="646"/>
      <c r="T3" s="647" t="s">
        <v>349</v>
      </c>
      <c r="U3" s="648" t="s">
        <v>350</v>
      </c>
      <c r="V3" s="649" t="s">
        <v>351</v>
      </c>
      <c r="W3" s="650" t="s">
        <v>352</v>
      </c>
      <c r="X3" s="651" t="s">
        <v>353</v>
      </c>
      <c r="Y3" s="43"/>
      <c r="Z3" s="43"/>
      <c r="AA3" s="43"/>
      <c r="AB3" s="43"/>
    </row>
    <row r="4" ht="30.0" customHeight="1">
      <c r="A4" s="652" t="str">
        <f>IF(IGRF!B14="","",IGRF!B14)</f>
        <v>04</v>
      </c>
      <c r="B4" s="653" t="str">
        <f>IF(IGRF!C14="","",IGRF!C14)</f>
        <v>Nina</v>
      </c>
      <c r="C4" s="87"/>
      <c r="D4" s="654">
        <f>IF($A4="","",SUM(PT!E3,PT!E4))</f>
        <v>0</v>
      </c>
      <c r="E4" s="655">
        <f>IF($A4="","",SUM(PT!F3,PT!F4))</f>
        <v>0</v>
      </c>
      <c r="F4" s="655">
        <f>IF($A4="","",SUM(PT!G3,PT!G4))</f>
        <v>0</v>
      </c>
      <c r="G4" s="655">
        <f>IF($A4="","",SUM(PT!H3,PT!H4))</f>
        <v>1</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1</v>
      </c>
      <c r="U4" s="657">
        <f>IF($A4="","",SUM(PT!U3,PT!U4))</f>
        <v>1</v>
      </c>
      <c r="V4" s="658" t="str">
        <f>IF($A4="","",PT!AJ4)</f>
        <v/>
      </c>
      <c r="W4" s="659">
        <f>'Game Summary'!F6</f>
        <v>13</v>
      </c>
      <c r="X4" s="660">
        <f t="shared" ref="X4:X23" si="2">IF(OR(W4="",W4=0),"",U4/W4)</f>
        <v>0.07692307692</v>
      </c>
      <c r="Y4" s="43"/>
      <c r="Z4" s="43"/>
      <c r="AA4" s="43"/>
      <c r="AB4" s="43"/>
    </row>
    <row r="5" ht="30.0" customHeight="1">
      <c r="A5" s="661" t="str">
        <f>IF(IGRF!B15="","",IGRF!B15)</f>
        <v>16</v>
      </c>
      <c r="B5" s="662" t="str">
        <f>IF(IGRF!C15="","",IGRF!C15)</f>
        <v>Saabor</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1</v>
      </c>
      <c r="M5" s="664">
        <f>IF($A5="","",SUM(PT!N5,PT!N6))</f>
        <v>0</v>
      </c>
      <c r="N5" s="664">
        <f>IF($A5="","",SUM(PT!O5,PT!O6))</f>
        <v>0</v>
      </c>
      <c r="O5" s="664">
        <f>IF($A5="","",SUM(PT!P5,PT!P6))</f>
        <v>0</v>
      </c>
      <c r="P5" s="664">
        <f>IF($A5="","",SUM(PT!Q5,PT!Q6))</f>
        <v>0</v>
      </c>
      <c r="Q5" s="664">
        <f>IF($A5="","",SUM(PT!R5,PT!R6))</f>
        <v>0</v>
      </c>
      <c r="R5" s="664"/>
      <c r="S5" s="664"/>
      <c r="T5" s="665">
        <f t="shared" si="1"/>
        <v>1</v>
      </c>
      <c r="U5" s="666">
        <f>IF($A5="","",SUM(PT!U5,PT!U6))</f>
        <v>1</v>
      </c>
      <c r="V5" s="663" t="str">
        <f>IF($A5="","",PT!AJ6)</f>
        <v/>
      </c>
      <c r="W5" s="667">
        <f>'Game Summary'!F7</f>
        <v>11</v>
      </c>
      <c r="X5" s="668">
        <f t="shared" si="2"/>
        <v>0.09090909091</v>
      </c>
      <c r="Y5" s="43"/>
      <c r="Z5" s="43"/>
      <c r="AA5" s="43"/>
      <c r="AB5" s="43"/>
    </row>
    <row r="6" ht="30.0" customHeight="1">
      <c r="A6" s="652" t="str">
        <f>IF(IGRF!B16="","",IGRF!B16)</f>
        <v>177</v>
      </c>
      <c r="B6" s="653" t="str">
        <f>IF(IGRF!C16="","",IGRF!C16)</f>
        <v>Phoenix</v>
      </c>
      <c r="C6" s="87"/>
      <c r="D6" s="654">
        <f>IF($A6="","",SUM(PT!E7,PT!E8))</f>
        <v>0</v>
      </c>
      <c r="E6" s="655">
        <f>IF($A6="","",SUM(PT!F7,PT!F8))</f>
        <v>0</v>
      </c>
      <c r="F6" s="655">
        <f>IF($A6="","",SUM(PT!G7,PT!G8))</f>
        <v>1</v>
      </c>
      <c r="G6" s="655">
        <f>IF($A6="","",SUM(PT!H7,PT!H8))</f>
        <v>0</v>
      </c>
      <c r="H6" s="655">
        <f>IF($A6="","",SUM(PT!I7,PT!I8))</f>
        <v>0</v>
      </c>
      <c r="I6" s="655">
        <f>IF($A6="","",SUM(PT!J7,PT!J8))</f>
        <v>0</v>
      </c>
      <c r="J6" s="655">
        <f>IF($A6="","",SUM(PT!K7,PT!K8))</f>
        <v>0</v>
      </c>
      <c r="K6" s="655">
        <f>IF($A6="","",SUM(PT!L7,PT!L8))</f>
        <v>2</v>
      </c>
      <c r="L6" s="655">
        <f>IF($A6="","",SUM(PT!M7,PT!M8))</f>
        <v>1</v>
      </c>
      <c r="M6" s="655">
        <f>IF($A6="","",SUM(PT!N7,PT!N8))</f>
        <v>1</v>
      </c>
      <c r="N6" s="655">
        <f>IF($A6="","",SUM(PT!O7,PT!O8))</f>
        <v>0</v>
      </c>
      <c r="O6" s="655">
        <f>IF($A6="","",SUM(PT!P7,PT!P8))</f>
        <v>0</v>
      </c>
      <c r="P6" s="655">
        <f>IF($A6="","",SUM(PT!Q7,PT!Q8))</f>
        <v>0</v>
      </c>
      <c r="Q6" s="655">
        <f>IF($A6="","",SUM(PT!R7,PT!R8))</f>
        <v>0</v>
      </c>
      <c r="R6" s="655"/>
      <c r="S6" s="655"/>
      <c r="T6" s="656">
        <f t="shared" si="1"/>
        <v>5</v>
      </c>
      <c r="U6" s="657">
        <f>IF($A6="","",SUM(PT!U7,PT!U8))</f>
        <v>5</v>
      </c>
      <c r="V6" s="658" t="str">
        <f>IF($A6="","",PT!AJ8)</f>
        <v/>
      </c>
      <c r="W6" s="659">
        <f>'Game Summary'!F8</f>
        <v>18</v>
      </c>
      <c r="X6" s="660">
        <f t="shared" si="2"/>
        <v>0.2777777778</v>
      </c>
      <c r="Y6" s="43"/>
      <c r="Z6" s="43"/>
      <c r="AA6" s="43"/>
      <c r="AB6" s="43"/>
    </row>
    <row r="7" ht="30.0" customHeight="1">
      <c r="A7" s="661" t="str">
        <f>IF(IGRF!B17="","",IGRF!B17)</f>
        <v>215</v>
      </c>
      <c r="B7" s="662" t="str">
        <f>IF(IGRF!C17="","",IGRF!C17)</f>
        <v>Pollock</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0</v>
      </c>
      <c r="P7" s="664">
        <f>IF($A7="","",SUM(PT!Q9,PT!Q10))</f>
        <v>0</v>
      </c>
      <c r="Q7" s="664">
        <f>IF($A7="","",SUM(PT!R9,PT!R10))</f>
        <v>0</v>
      </c>
      <c r="R7" s="664"/>
      <c r="S7" s="664"/>
      <c r="T7" s="665">
        <f t="shared" si="1"/>
        <v>0</v>
      </c>
      <c r="U7" s="666">
        <f>IF($A7="","",SUM(PT!U9,PT!U10))</f>
        <v>0</v>
      </c>
      <c r="V7" s="663" t="str">
        <f>IF($A7="","",PT!AJ10)</f>
        <v/>
      </c>
      <c r="W7" s="667">
        <f>'Game Summary'!F9</f>
        <v>3</v>
      </c>
      <c r="X7" s="668">
        <f t="shared" si="2"/>
        <v>0</v>
      </c>
      <c r="Y7" s="43"/>
      <c r="Z7" s="43"/>
      <c r="AA7" s="43"/>
      <c r="AB7" s="43"/>
    </row>
    <row r="8" ht="30.0" customHeight="1">
      <c r="A8" s="652" t="str">
        <f>IF(IGRF!B18="","",IGRF!B18)</f>
        <v>27</v>
      </c>
      <c r="B8" s="653" t="str">
        <f>IF(IGRF!C18="","",IGRF!C18)</f>
        <v>MegaHurtz</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0</v>
      </c>
      <c r="X8" s="660" t="str">
        <f t="shared" si="2"/>
        <v/>
      </c>
      <c r="Y8" s="43"/>
      <c r="Z8" s="43"/>
      <c r="AA8" s="43"/>
      <c r="AB8" s="43"/>
    </row>
    <row r="9" ht="30.0" customHeight="1">
      <c r="A9" s="661" t="str">
        <f>IF(IGRF!B19="","",IGRF!B19)</f>
        <v>271</v>
      </c>
      <c r="B9" s="662" t="str">
        <f>IF(IGRF!C19="","",IGRF!C19)</f>
        <v>Peb Canary</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0</v>
      </c>
      <c r="N9" s="664">
        <f>IF($A9="","",SUM(PT!O13,PT!O14))</f>
        <v>0</v>
      </c>
      <c r="O9" s="664">
        <f>IF($A9="","",SUM(PT!P13,PT!P14))</f>
        <v>0</v>
      </c>
      <c r="P9" s="664">
        <f>IF($A9="","",SUM(PT!Q13,PT!Q14))</f>
        <v>0</v>
      </c>
      <c r="Q9" s="664">
        <f>IF($A9="","",SUM(PT!R13,PT!R14))</f>
        <v>0</v>
      </c>
      <c r="R9" s="664"/>
      <c r="S9" s="664"/>
      <c r="T9" s="665">
        <f t="shared" si="1"/>
        <v>0</v>
      </c>
      <c r="U9" s="666">
        <f>IF($A9="","",SUM(PT!U13,PT!U14))</f>
        <v>0</v>
      </c>
      <c r="V9" s="663" t="str">
        <f>IF($A9="","",PT!AJ14)</f>
        <v/>
      </c>
      <c r="W9" s="667">
        <f>'Game Summary'!F11</f>
        <v>10</v>
      </c>
      <c r="X9" s="668">
        <f t="shared" si="2"/>
        <v>0</v>
      </c>
      <c r="Y9" s="43"/>
      <c r="Z9" s="43"/>
      <c r="AA9" s="43"/>
      <c r="AB9" s="43"/>
    </row>
    <row r="10" ht="30.0" customHeight="1">
      <c r="A10" s="652" t="str">
        <f>IF(IGRF!B20="","",IGRF!B20)</f>
        <v>220</v>
      </c>
      <c r="B10" s="653" t="str">
        <f>IF(IGRF!C20="","",IGRF!C20)</f>
        <v>Cerosene</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1</v>
      </c>
      <c r="N10" s="655">
        <f>IF($A10="","",SUM(PT!O15,PT!O16))</f>
        <v>0</v>
      </c>
      <c r="O10" s="655">
        <f>IF($A10="","",SUM(PT!P15,PT!P16))</f>
        <v>2</v>
      </c>
      <c r="P10" s="655">
        <f>IF($A10="","",SUM(PT!Q15,PT!Q16))</f>
        <v>0</v>
      </c>
      <c r="Q10" s="655">
        <f>IF($A10="","",SUM(PT!R15,PT!R16))</f>
        <v>0</v>
      </c>
      <c r="R10" s="655"/>
      <c r="S10" s="655"/>
      <c r="T10" s="656">
        <f t="shared" si="1"/>
        <v>3</v>
      </c>
      <c r="U10" s="657">
        <f>IF($A10="","",SUM(PT!U15,PT!U16))</f>
        <v>3</v>
      </c>
      <c r="V10" s="658" t="str">
        <f>IF($A10="","",PT!AJ16)</f>
        <v/>
      </c>
      <c r="W10" s="659">
        <f>'Game Summary'!F12</f>
        <v>21</v>
      </c>
      <c r="X10" s="660">
        <f t="shared" si="2"/>
        <v>0.1428571429</v>
      </c>
      <c r="Y10" s="43"/>
      <c r="Z10" s="43"/>
      <c r="AA10" s="43"/>
      <c r="AB10" s="43"/>
    </row>
    <row r="11" ht="30.0" customHeight="1">
      <c r="A11" s="661" t="str">
        <f>IF(IGRF!B21="","",IGRF!B21)</f>
        <v>3556</v>
      </c>
      <c r="B11" s="662" t="str">
        <f>IF(IGRF!C21="","",IGRF!C21)</f>
        <v>Crystal Beth</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43"/>
      <c r="Z11" s="43"/>
      <c r="AA11" s="43"/>
      <c r="AB11" s="43"/>
    </row>
    <row r="12" ht="30.0" customHeight="1">
      <c r="A12" s="652" t="str">
        <f>IF(IGRF!B22="","",IGRF!B22)</f>
        <v>360</v>
      </c>
      <c r="B12" s="653" t="str">
        <f>IF(IGRF!C22="","",IGRF!C22)</f>
        <v>Baxter</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0</v>
      </c>
      <c r="X12" s="660" t="str">
        <f t="shared" si="2"/>
        <v/>
      </c>
      <c r="Y12" s="43"/>
      <c r="Z12" s="43"/>
      <c r="AA12" s="43"/>
      <c r="AB12" s="43"/>
    </row>
    <row r="13" ht="30.0" customHeight="1">
      <c r="A13" s="661" t="str">
        <f>IF(IGRF!B23="","",IGRF!B23)</f>
        <v>40</v>
      </c>
      <c r="B13" s="662" t="str">
        <f>IF(IGRF!C23="","",IGRF!C23)</f>
        <v>Kid</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0</v>
      </c>
      <c r="X13" s="668" t="str">
        <f t="shared" si="2"/>
        <v/>
      </c>
      <c r="Y13" s="43"/>
      <c r="Z13" s="43"/>
      <c r="AA13" s="43"/>
      <c r="AB13" s="43"/>
    </row>
    <row r="14" ht="30.0" customHeight="1">
      <c r="A14" s="652" t="str">
        <f>IF(IGRF!B24="","",IGRF!B24)</f>
        <v>42</v>
      </c>
      <c r="B14" s="653" t="str">
        <f>IF(IGRF!C24="","",IGRF!C24)</f>
        <v>Bosh</v>
      </c>
      <c r="C14" s="87"/>
      <c r="D14" s="654">
        <f>IF($A14="","",SUM(PT!E23,PT!E24))</f>
        <v>0</v>
      </c>
      <c r="E14" s="655">
        <f>IF($A14="","",SUM(PT!F23,PT!F24))</f>
        <v>0</v>
      </c>
      <c r="F14" s="655">
        <f>IF($A14="","",SUM(PT!G23,PT!G24))</f>
        <v>1</v>
      </c>
      <c r="G14" s="655">
        <f>IF($A14="","",SUM(PT!H23,PT!H24))</f>
        <v>0</v>
      </c>
      <c r="H14" s="655">
        <f>IF($A14="","",SUM(PT!I23,PT!I24))</f>
        <v>0</v>
      </c>
      <c r="I14" s="655">
        <f>IF($A14="","",SUM(PT!J23,PT!J24))</f>
        <v>1</v>
      </c>
      <c r="J14" s="655">
        <f>IF($A14="","",SUM(PT!K23,PT!K24))</f>
        <v>0</v>
      </c>
      <c r="K14" s="655">
        <f>IF($A14="","",SUM(PT!L23,PT!L24))</f>
        <v>0</v>
      </c>
      <c r="L14" s="655">
        <f>IF($A14="","",SUM(PT!M23,PT!M24))</f>
        <v>0</v>
      </c>
      <c r="M14" s="655">
        <f>IF($A14="","",SUM(PT!N23,PT!N24))</f>
        <v>2</v>
      </c>
      <c r="N14" s="655">
        <f>IF($A14="","",SUM(PT!O23,PT!O24))</f>
        <v>0</v>
      </c>
      <c r="O14" s="655">
        <f>IF($A14="","",SUM(PT!P23,PT!P24))</f>
        <v>0</v>
      </c>
      <c r="P14" s="655">
        <f>IF($A14="","",SUM(PT!Q23,PT!Q24))</f>
        <v>0</v>
      </c>
      <c r="Q14" s="655">
        <f>IF($A14="","",SUM(PT!R23,PT!R24))</f>
        <v>0</v>
      </c>
      <c r="R14" s="655"/>
      <c r="S14" s="655"/>
      <c r="T14" s="656">
        <f t="shared" si="1"/>
        <v>4</v>
      </c>
      <c r="U14" s="657">
        <f>IF($A14="","",SUM(PT!U23,PT!U24))</f>
        <v>4</v>
      </c>
      <c r="V14" s="658" t="str">
        <f>IF($A14="","",PT!AJ24)</f>
        <v/>
      </c>
      <c r="W14" s="659">
        <f>'Game Summary'!F16</f>
        <v>24</v>
      </c>
      <c r="X14" s="660">
        <f t="shared" si="2"/>
        <v>0.1666666667</v>
      </c>
      <c r="Y14" s="43"/>
      <c r="Z14" s="43"/>
      <c r="AA14" s="43"/>
      <c r="AB14" s="43"/>
    </row>
    <row r="15" ht="30.0" customHeight="1">
      <c r="A15" s="661" t="str">
        <f>IF(IGRF!B25="","",IGRF!B25)</f>
        <v>44</v>
      </c>
      <c r="B15" s="662" t="str">
        <f>IF(IGRF!C25="","",IGRF!C25)</f>
        <v>Esparcieux</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0</v>
      </c>
      <c r="X15" s="668" t="str">
        <f t="shared" si="2"/>
        <v/>
      </c>
      <c r="Y15" s="43"/>
      <c r="Z15" s="43"/>
      <c r="AA15" s="43"/>
      <c r="AB15" s="43"/>
    </row>
    <row r="16" ht="30.0" customHeight="1">
      <c r="A16" s="652" t="str">
        <f>IF(IGRF!B26="","",IGRF!B26)</f>
        <v>45</v>
      </c>
      <c r="B16" s="653" t="str">
        <f>IF(IGRF!C26="","",IGRF!C26)</f>
        <v>Hawk</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10</v>
      </c>
      <c r="X16" s="660">
        <f t="shared" si="2"/>
        <v>0</v>
      </c>
      <c r="Y16" s="43"/>
      <c r="Z16" s="43"/>
      <c r="AA16" s="43"/>
      <c r="AB16" s="43"/>
    </row>
    <row r="17" ht="30.0" customHeight="1">
      <c r="A17" s="661" t="str">
        <f>IF(IGRF!B27="","",IGRF!B27)</f>
        <v>48</v>
      </c>
      <c r="B17" s="662" t="str">
        <f>IF(IGRF!C27="","",IGRF!C27)</f>
        <v>Ward</v>
      </c>
      <c r="C17" s="87"/>
      <c r="D17" s="663">
        <f>IF($A17="","",SUM(PT!E29,PT!E30))</f>
        <v>0</v>
      </c>
      <c r="E17" s="664">
        <f>IF($A17="","",SUM(PT!F29,PT!F30))</f>
        <v>0</v>
      </c>
      <c r="F17" s="664">
        <f>IF($A17="","",SUM(PT!G29,PT!G30))</f>
        <v>1</v>
      </c>
      <c r="G17" s="664">
        <f>IF($A17="","",SUM(PT!H29,PT!H30))</f>
        <v>0</v>
      </c>
      <c r="H17" s="664">
        <f>IF($A17="","",SUM(PT!I29,PT!I30))</f>
        <v>0</v>
      </c>
      <c r="I17" s="664">
        <f>IF($A17="","",SUM(PT!J29,PT!J30))</f>
        <v>0</v>
      </c>
      <c r="J17" s="664">
        <f>IF($A17="","",SUM(PT!K29,PT!K30))</f>
        <v>0</v>
      </c>
      <c r="K17" s="664">
        <f>IF($A17="","",SUM(PT!L29,PT!L30))</f>
        <v>0</v>
      </c>
      <c r="L17" s="664">
        <f>IF($A17="","",SUM(PT!M29,PT!M30))</f>
        <v>0</v>
      </c>
      <c r="M17" s="664">
        <f>IF($A17="","",SUM(PT!N29,PT!N30))</f>
        <v>1</v>
      </c>
      <c r="N17" s="664">
        <f>IF($A17="","",SUM(PT!O29,PT!O30))</f>
        <v>0</v>
      </c>
      <c r="O17" s="664">
        <f>IF($A17="","",SUM(PT!P29,PT!P30))</f>
        <v>0</v>
      </c>
      <c r="P17" s="664">
        <f>IF($A17="","",SUM(PT!Q29,PT!Q30))</f>
        <v>0</v>
      </c>
      <c r="Q17" s="664">
        <f>IF($A17="","",SUM(PT!R29,PT!R30))</f>
        <v>0</v>
      </c>
      <c r="R17" s="664"/>
      <c r="S17" s="664"/>
      <c r="T17" s="665">
        <f t="shared" si="1"/>
        <v>2</v>
      </c>
      <c r="U17" s="666">
        <f>IF($A17="","",SUM(PT!U29,PT!U30))</f>
        <v>2</v>
      </c>
      <c r="V17" s="663" t="str">
        <f>IF($A17="","",PT!AJ30)</f>
        <v/>
      </c>
      <c r="W17" s="667">
        <f>'Game Summary'!F19</f>
        <v>13</v>
      </c>
      <c r="X17" s="668">
        <f t="shared" si="2"/>
        <v>0.1538461538</v>
      </c>
      <c r="Y17" s="43"/>
      <c r="Z17" s="43"/>
      <c r="AA17" s="43"/>
      <c r="AB17" s="43"/>
    </row>
    <row r="18" ht="30.0" customHeight="1">
      <c r="A18" s="652" t="str">
        <f>IF(IGRF!B28="","",IGRF!B28)</f>
        <v>565</v>
      </c>
      <c r="B18" s="653" t="str">
        <f>IF(IGRF!C28="","",IGRF!C28)</f>
        <v>Melyn</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13</v>
      </c>
      <c r="X18" s="660">
        <f t="shared" si="2"/>
        <v>0</v>
      </c>
      <c r="Y18" s="43"/>
      <c r="Z18" s="43"/>
      <c r="AA18" s="43"/>
      <c r="AB18" s="43"/>
    </row>
    <row r="19" ht="30.0" customHeight="1">
      <c r="A19" s="661" t="str">
        <f>IF(IGRF!B29="","",IGRF!B29)</f>
        <v>50</v>
      </c>
      <c r="B19" s="662" t="str">
        <f>IF(IGRF!C29="","",IGRF!C29)</f>
        <v>Gray</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1</v>
      </c>
      <c r="L19" s="664">
        <f>IF($A19="","",SUM(PT!M33,PT!M34))</f>
        <v>0</v>
      </c>
      <c r="M19" s="664">
        <f>IF($A19="","",SUM(PT!N33,PT!N34))</f>
        <v>2</v>
      </c>
      <c r="N19" s="664">
        <f>IF($A19="","",SUM(PT!O33,PT!O34))</f>
        <v>0</v>
      </c>
      <c r="O19" s="664">
        <f>IF($A19="","",SUM(PT!P33,PT!P34))</f>
        <v>0</v>
      </c>
      <c r="P19" s="664">
        <f>IF($A19="","",SUM(PT!Q33,PT!Q34))</f>
        <v>0</v>
      </c>
      <c r="Q19" s="664">
        <f>IF($A19="","",SUM(PT!R33,PT!R34))</f>
        <v>0</v>
      </c>
      <c r="R19" s="664"/>
      <c r="S19" s="664"/>
      <c r="T19" s="665">
        <f t="shared" si="1"/>
        <v>3</v>
      </c>
      <c r="U19" s="666">
        <f>IF($A19="","",SUM(PT!U33,PT!U34))</f>
        <v>3</v>
      </c>
      <c r="V19" s="663" t="str">
        <f>IF($A19="","",PT!AJ34)</f>
        <v/>
      </c>
      <c r="W19" s="667">
        <f>'Game Summary'!F21</f>
        <v>20</v>
      </c>
      <c r="X19" s="668">
        <f t="shared" si="2"/>
        <v>0.15</v>
      </c>
      <c r="Y19" s="43"/>
      <c r="Z19" s="43"/>
      <c r="AA19" s="43"/>
      <c r="AB19" s="43"/>
    </row>
    <row r="20" ht="30.0" customHeight="1">
      <c r="A20" s="652" t="str">
        <f>IF(IGRF!B30="","",IGRF!B30)</f>
        <v>808</v>
      </c>
      <c r="B20" s="653" t="str">
        <f>IF(IGRF!C30="","",IGRF!C30)</f>
        <v>Morganator</v>
      </c>
      <c r="C20" s="87"/>
      <c r="D20" s="654">
        <f>IF($A20="","",SUM(PT!E35,PT!E36))</f>
        <v>0</v>
      </c>
      <c r="E20" s="655">
        <f>IF($A20="","",SUM(PT!F35,PT!F36))</f>
        <v>0</v>
      </c>
      <c r="F20" s="655">
        <f>IF($A20="","",SUM(PT!G35,PT!G36))</f>
        <v>0</v>
      </c>
      <c r="G20" s="655">
        <f>IF($A20="","",SUM(PT!H35,PT!H36))</f>
        <v>0</v>
      </c>
      <c r="H20" s="655">
        <f>IF($A20="","",SUM(PT!I35,PT!I36))</f>
        <v>0</v>
      </c>
      <c r="I20" s="655">
        <f>IF($A20="","",SUM(PT!J35,PT!J36))</f>
        <v>1</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1</v>
      </c>
      <c r="U20" s="657">
        <f>IF($A20="","",SUM(PT!U35,PT!U36))</f>
        <v>1</v>
      </c>
      <c r="V20" s="658" t="str">
        <f>IF($A20="","",PT!AJ36)</f>
        <v/>
      </c>
      <c r="W20" s="659">
        <f>'Game Summary'!F22</f>
        <v>13</v>
      </c>
      <c r="X20" s="660">
        <f t="shared" si="2"/>
        <v>0.07692307692</v>
      </c>
      <c r="Y20" s="669"/>
      <c r="Z20" s="669"/>
      <c r="AA20" s="669"/>
      <c r="AB20" s="669"/>
    </row>
    <row r="21" ht="30.0" customHeight="1">
      <c r="A21" s="661" t="str">
        <f>IF(IGRF!B31="","",IGRF!B31)</f>
        <v>912</v>
      </c>
      <c r="B21" s="662" t="str">
        <f>IF(IGRF!C31="","",IGRF!C31)</f>
        <v>Battered Sausage</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1</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1</v>
      </c>
      <c r="U21" s="666">
        <f>IF($A21="","",SUM(PT!U37,PT!U38))</f>
        <v>1</v>
      </c>
      <c r="V21" s="663" t="str">
        <f>IF($A21="","",PT!AJ38)</f>
        <v/>
      </c>
      <c r="W21" s="667">
        <f>'Game Summary'!F23</f>
        <v>21</v>
      </c>
      <c r="X21" s="668">
        <f t="shared" si="2"/>
        <v>0.04761904762</v>
      </c>
      <c r="Y21" s="640"/>
      <c r="Z21" s="640"/>
      <c r="AA21" s="640"/>
      <c r="AB21" s="640"/>
    </row>
    <row r="22" ht="30.0" customHeight="1">
      <c r="A22" s="652" t="str">
        <f>IF(IGRF!B32="","",IGRF!B32)</f>
        <v>93</v>
      </c>
      <c r="B22" s="653" t="str">
        <f>IF(IGRF!C32="","",IGRF!C32)</f>
        <v>Sangria</v>
      </c>
      <c r="C22" s="87"/>
      <c r="D22" s="654">
        <f>IF($A22="","",SUM(PT!E39,PT!E40))</f>
        <v>0</v>
      </c>
      <c r="E22" s="655">
        <f>IF($A22="","",SUM(PT!F39,PT!F40))</f>
        <v>0</v>
      </c>
      <c r="F22" s="655">
        <f>IF($A22="","",SUM(PT!G39,PT!G40))</f>
        <v>0</v>
      </c>
      <c r="G22" s="655">
        <f>IF($A22="","",SUM(PT!H39,PT!H40))</f>
        <v>0</v>
      </c>
      <c r="H22" s="655">
        <f>IF($A22="","",SUM(PT!I39,PT!I40))</f>
        <v>0</v>
      </c>
      <c r="I22" s="655">
        <f>IF($A22="","",SUM(PT!J39,PT!J40))</f>
        <v>0</v>
      </c>
      <c r="J22" s="655">
        <f>IF($A22="","",SUM(PT!K39,PT!K40))</f>
        <v>0</v>
      </c>
      <c r="K22" s="655">
        <f>IF($A22="","",SUM(PT!L39,PT!L40))</f>
        <v>0</v>
      </c>
      <c r="L22" s="655">
        <f>IF($A22="","",SUM(PT!M39,PT!M40))</f>
        <v>0</v>
      </c>
      <c r="M22" s="655">
        <f>IF($A22="","",SUM(PT!N39,PT!N40))</f>
        <v>0</v>
      </c>
      <c r="N22" s="655">
        <f>IF($A22="","",SUM(PT!O39,PT!O40))</f>
        <v>0</v>
      </c>
      <c r="O22" s="655">
        <f>IF($A22="","",SUM(PT!P39,PT!P40))</f>
        <v>1</v>
      </c>
      <c r="P22" s="655">
        <f>IF($A22="","",SUM(PT!Q39,PT!Q40))</f>
        <v>0</v>
      </c>
      <c r="Q22" s="655">
        <f>IF($A22="","",SUM(PT!R39,PT!R40))</f>
        <v>0</v>
      </c>
      <c r="R22" s="655"/>
      <c r="S22" s="655"/>
      <c r="T22" s="656">
        <f t="shared" si="1"/>
        <v>1</v>
      </c>
      <c r="U22" s="657">
        <f>IF($A22="","",SUM(PT!U39,PT!U40))</f>
        <v>1</v>
      </c>
      <c r="V22" s="658" t="str">
        <f>IF($A22="","",PT!AJ40)</f>
        <v/>
      </c>
      <c r="W22" s="659">
        <f>'Game Summary'!F24</f>
        <v>10</v>
      </c>
      <c r="X22" s="660">
        <f t="shared" si="2"/>
        <v>0.1</v>
      </c>
      <c r="Y22" s="43"/>
      <c r="Z22" s="43"/>
      <c r="AA22" s="43"/>
      <c r="AB22" s="43"/>
    </row>
    <row r="23" ht="30.0" customHeight="1">
      <c r="A23" s="661" t="str">
        <f>IF(IGRF!B33="","",IGRF!B33)</f>
        <v>999</v>
      </c>
      <c r="B23" s="670" t="str">
        <f>IF(IGRF!C33="","",IGRF!C33)</f>
        <v>Angel</v>
      </c>
      <c r="C23" s="64"/>
      <c r="D23" s="663">
        <f>IF($A23="","",SUM(PT!E41,PT!E42))</f>
        <v>0</v>
      </c>
      <c r="E23" s="664">
        <f>IF($A23="","",SUM(PT!F41,PT!F42))</f>
        <v>0</v>
      </c>
      <c r="F23" s="664">
        <f>IF($A23="","",SUM(PT!G41,PT!G42))</f>
        <v>0</v>
      </c>
      <c r="G23" s="664">
        <f>IF($A23="","",SUM(PT!H41,PT!H42))</f>
        <v>0</v>
      </c>
      <c r="H23" s="664">
        <f>IF($A23="","",SUM(PT!I41,PT!I42))</f>
        <v>0</v>
      </c>
      <c r="I23" s="664">
        <f>IF($A23="","",SUM(PT!J41,PT!J42))</f>
        <v>0</v>
      </c>
      <c r="J23" s="664">
        <f>IF($A23="","",SUM(PT!K41,PT!K42))</f>
        <v>0</v>
      </c>
      <c r="K23" s="664">
        <f>IF($A23="","",SUM(PT!L41,PT!L42))</f>
        <v>0</v>
      </c>
      <c r="L23" s="664">
        <f>IF($A23="","",SUM(PT!M41,PT!M42))</f>
        <v>0</v>
      </c>
      <c r="M23" s="664">
        <f>IF($A23="","",SUM(PT!N41,PT!N42))</f>
        <v>2</v>
      </c>
      <c r="N23" s="664">
        <f>IF($A23="","",SUM(PT!O41,PT!O42))</f>
        <v>0</v>
      </c>
      <c r="O23" s="664">
        <f>IF($A23="","",SUM(PT!P41,PT!P42))</f>
        <v>0</v>
      </c>
      <c r="P23" s="664">
        <f>IF($A23="","",SUM(PT!Q41,PT!Q42))</f>
        <v>0</v>
      </c>
      <c r="Q23" s="664">
        <f>IF($A23="","",SUM(PT!R41,PT!R42))</f>
        <v>0</v>
      </c>
      <c r="R23" s="664"/>
      <c r="S23" s="664"/>
      <c r="T23" s="665">
        <f t="shared" si="1"/>
        <v>2</v>
      </c>
      <c r="U23" s="666">
        <f>IF($A23="","",SUM(PT!U41,PT!U42))</f>
        <v>2</v>
      </c>
      <c r="V23" s="663" t="str">
        <f>IF($A23="","",PT!AJ42)</f>
        <v/>
      </c>
      <c r="W23" s="667">
        <f>'Game Summary'!F25</f>
        <v>20</v>
      </c>
      <c r="X23" s="668">
        <f t="shared" si="2"/>
        <v>0.1</v>
      </c>
      <c r="Y23" s="43"/>
      <c r="Z23" s="43"/>
      <c r="AA23" s="43"/>
      <c r="AB23" s="43"/>
    </row>
    <row r="24" ht="21.75" customHeight="1">
      <c r="A24" s="671" t="s">
        <v>354</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349</v>
      </c>
      <c r="U24" s="675"/>
      <c r="V24" s="676">
        <f>SUM(PT!X49:AI49,C24,C25)</f>
        <v>0</v>
      </c>
      <c r="W24" s="677">
        <f t="shared" ref="W24:X24" si="4">IF(COUNT(W4:W23)=0,"-",SUM(W4:W23)/COUNT(W4:W23))</f>
        <v>11</v>
      </c>
      <c r="X24" s="678">
        <f t="shared" si="4"/>
        <v>0.09223480223</v>
      </c>
      <c r="Y24" s="43"/>
      <c r="Z24" s="43"/>
      <c r="AA24" s="43"/>
      <c r="AB24" s="43"/>
    </row>
    <row r="25" ht="20.25" customHeight="1">
      <c r="A25" s="679" t="s">
        <v>354</v>
      </c>
      <c r="B25" s="166"/>
      <c r="C25" s="680" t="str">
        <f>PT!AJ46</f>
        <v/>
      </c>
      <c r="D25" s="681"/>
      <c r="E25" s="681"/>
      <c r="F25" s="681"/>
      <c r="G25" s="681"/>
      <c r="H25" s="681"/>
      <c r="I25" s="681"/>
      <c r="J25" s="681"/>
      <c r="K25" s="681"/>
      <c r="L25" s="681"/>
      <c r="M25" s="681"/>
      <c r="N25" s="681"/>
      <c r="O25" s="681"/>
      <c r="P25" s="681"/>
      <c r="Q25" s="681"/>
      <c r="R25" s="681"/>
      <c r="S25" s="681"/>
      <c r="T25" s="682"/>
      <c r="U25" s="683"/>
      <c r="V25" s="684" t="s">
        <v>355</v>
      </c>
      <c r="W25" s="685"/>
      <c r="X25" s="686"/>
      <c r="Y25" s="43"/>
      <c r="Z25" s="43"/>
      <c r="AA25" s="43"/>
      <c r="AB25" s="43"/>
    </row>
    <row r="26" ht="19.5" customHeight="1">
      <c r="A26" s="616"/>
      <c r="B26" s="45"/>
      <c r="C26" s="138"/>
      <c r="D26" s="415"/>
      <c r="E26" s="415"/>
      <c r="F26" s="415"/>
      <c r="G26" s="415"/>
      <c r="H26" s="415"/>
      <c r="I26" s="415"/>
      <c r="J26" s="415"/>
      <c r="K26" s="415"/>
      <c r="L26" s="415"/>
      <c r="M26" s="415"/>
      <c r="N26" s="415"/>
      <c r="O26" s="415"/>
      <c r="P26" s="415"/>
      <c r="Q26" s="415"/>
      <c r="R26" s="415"/>
      <c r="S26" s="415"/>
      <c r="T26" s="418"/>
      <c r="U26" s="683"/>
      <c r="V26" s="349"/>
      <c r="W26" s="155"/>
      <c r="X26" s="21"/>
      <c r="Y26" s="43"/>
      <c r="Z26" s="43"/>
      <c r="AA26" s="43"/>
      <c r="AB26" s="43"/>
    </row>
    <row r="27" ht="12.75" customHeight="1">
      <c r="A27" s="687" t="s">
        <v>356</v>
      </c>
      <c r="B27" s="344"/>
      <c r="C27" s="688"/>
      <c r="D27" s="689">
        <f t="shared" ref="D27:Q27" si="5">SUM(D4:D23)</f>
        <v>0</v>
      </c>
      <c r="E27" s="689">
        <f t="shared" si="5"/>
        <v>0</v>
      </c>
      <c r="F27" s="689">
        <f t="shared" si="5"/>
        <v>3</v>
      </c>
      <c r="G27" s="689">
        <f t="shared" si="5"/>
        <v>1</v>
      </c>
      <c r="H27" s="689">
        <f t="shared" si="5"/>
        <v>0</v>
      </c>
      <c r="I27" s="689">
        <f t="shared" si="5"/>
        <v>2</v>
      </c>
      <c r="J27" s="689">
        <f t="shared" si="5"/>
        <v>0</v>
      </c>
      <c r="K27" s="689">
        <f t="shared" si="5"/>
        <v>4</v>
      </c>
      <c r="L27" s="689">
        <f t="shared" si="5"/>
        <v>2</v>
      </c>
      <c r="M27" s="689">
        <f t="shared" si="5"/>
        <v>9</v>
      </c>
      <c r="N27" s="689">
        <f t="shared" si="5"/>
        <v>0</v>
      </c>
      <c r="O27" s="689">
        <f t="shared" si="5"/>
        <v>3</v>
      </c>
      <c r="P27" s="689">
        <f t="shared" si="5"/>
        <v>0</v>
      </c>
      <c r="Q27" s="689">
        <f t="shared" si="5"/>
        <v>0</v>
      </c>
      <c r="R27" s="689"/>
      <c r="S27" s="689"/>
      <c r="T27" s="690">
        <f>SUM(T4:T23)</f>
        <v>24</v>
      </c>
      <c r="U27" s="683">
        <f>SUM(U4:U23,C24,C25)</f>
        <v>24</v>
      </c>
      <c r="V27" s="691" t="s">
        <v>357</v>
      </c>
      <c r="W27" s="45"/>
      <c r="X27" s="46"/>
      <c r="Y27" s="43"/>
      <c r="Z27" s="43"/>
      <c r="AA27" s="43"/>
      <c r="AB27" s="43"/>
    </row>
    <row r="28" ht="12.75" customHeight="1">
      <c r="A28" s="692"/>
      <c r="C28" s="693"/>
      <c r="D28" s="694" t="s">
        <v>358</v>
      </c>
      <c r="E28" s="14"/>
      <c r="F28" s="14"/>
      <c r="G28" s="14"/>
      <c r="H28" s="14"/>
      <c r="I28" s="42"/>
      <c r="J28" s="695">
        <f>IF(OR(LU!D3=0,LU!D102=0),"",T27/(LU!D3+LU!D102))</f>
        <v>0.5454545455</v>
      </c>
      <c r="K28" s="42"/>
      <c r="L28" s="696" t="s">
        <v>359</v>
      </c>
      <c r="M28" s="344"/>
      <c r="N28" s="344"/>
      <c r="O28" s="344"/>
      <c r="P28" s="688"/>
      <c r="Q28" s="697"/>
      <c r="R28" s="698">
        <f>IF(T27+T56=0,"",T27/(T27+T56))</f>
        <v>0.5217391304</v>
      </c>
      <c r="S28" s="688"/>
      <c r="T28" s="699">
        <f t="shared" ref="T28:U28" si="6">IF(T27+T56=0,"",T27/(T27+T56))</f>
        <v>0.5217391304</v>
      </c>
      <c r="U28" s="700">
        <f t="shared" si="6"/>
        <v>0.5217391304</v>
      </c>
      <c r="V28" s="701" t="s">
        <v>360</v>
      </c>
      <c r="W28" s="344"/>
      <c r="X28" s="345"/>
      <c r="Y28" s="43"/>
      <c r="Z28" s="43"/>
      <c r="AA28" s="43"/>
      <c r="AB28" s="43"/>
    </row>
    <row r="29" ht="12.75" customHeight="1">
      <c r="A29" s="155"/>
      <c r="B29" s="20"/>
      <c r="C29" s="156"/>
      <c r="D29" s="702" t="s">
        <v>361</v>
      </c>
      <c r="E29" s="39"/>
      <c r="F29" s="39"/>
      <c r="G29" s="39"/>
      <c r="H29" s="39"/>
      <c r="I29" s="40"/>
      <c r="J29" s="703">
        <f>IF(OR(J28="",J57=""),"",J28-J57)</f>
        <v>0.04545454545</v>
      </c>
      <c r="K29" s="40"/>
      <c r="L29" s="704"/>
      <c r="M29" s="20"/>
      <c r="N29" s="20"/>
      <c r="O29" s="20"/>
      <c r="P29" s="156"/>
      <c r="Q29" s="697"/>
      <c r="R29" s="213"/>
      <c r="S29" s="156"/>
      <c r="T29" s="418"/>
      <c r="U29" s="378"/>
      <c r="V29" s="213"/>
      <c r="W29" s="20"/>
      <c r="X29" s="21"/>
      <c r="Y29" s="43"/>
      <c r="Z29" s="43"/>
      <c r="AA29" s="43"/>
      <c r="AB29" s="43"/>
    </row>
    <row r="30" ht="20.25" customHeight="1">
      <c r="A30" s="633">
        <f>IF(IGRF!$B$7="","",IGRF!$B$7)</f>
        <v>45220</v>
      </c>
      <c r="B30" s="45"/>
      <c r="C30" s="45"/>
      <c r="D30" s="634" t="s">
        <v>345</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Dublin Roller Derby / The Be Grands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228</v>
      </c>
      <c r="B32" s="642" t="s">
        <v>348</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349</v>
      </c>
      <c r="U32" s="648" t="s">
        <v>350</v>
      </c>
      <c r="V32" s="649" t="s">
        <v>351</v>
      </c>
      <c r="W32" s="650" t="s">
        <v>352</v>
      </c>
      <c r="X32" s="651" t="s">
        <v>353</v>
      </c>
      <c r="Y32" s="43"/>
      <c r="Z32" s="43"/>
      <c r="AA32" s="43"/>
      <c r="AB32" s="43"/>
    </row>
    <row r="33" ht="30.0" customHeight="1">
      <c r="A33" s="652" t="str">
        <f>IF(IGRF!I14="","",IGRF!I14)</f>
        <v>040</v>
      </c>
      <c r="B33" s="653" t="str">
        <f>IF(IGRF!J14="","",IGRF!J14)</f>
        <v>Ruff Rackelhahn</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22</v>
      </c>
      <c r="X33" s="660">
        <f t="shared" ref="X33:X52" si="10">IF(OR(W33="",W33=0),"",U33/W33)</f>
        <v>0</v>
      </c>
      <c r="Y33" s="43"/>
      <c r="Z33" s="43"/>
      <c r="AA33" s="43"/>
      <c r="AB33" s="43"/>
    </row>
    <row r="34" ht="30.0" customHeight="1">
      <c r="A34" s="661" t="str">
        <f>IF(IGRF!I15="","",IGRF!I15)</f>
        <v>101</v>
      </c>
      <c r="B34" s="662" t="str">
        <f>IF(IGRF!J15="","",IGRF!J15)</f>
        <v>Powell</v>
      </c>
      <c r="C34" s="87"/>
      <c r="D34" s="663">
        <f>IF($A34="","",SUM(PT!E58,PT!E59))</f>
        <v>0</v>
      </c>
      <c r="E34" s="664">
        <f>IF($A34="","",SUM(PT!F58,PT!F59))</f>
        <v>0</v>
      </c>
      <c r="F34" s="664">
        <f>IF($A34="","",SUM(PT!G58,PT!G59))</f>
        <v>1</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1</v>
      </c>
      <c r="P34" s="664">
        <f>IF($A34="","",SUM(PT!Q58,PT!Q59))</f>
        <v>0</v>
      </c>
      <c r="Q34" s="664">
        <f>IF($A34="","",SUM(PT!R58,PT!R59))</f>
        <v>0</v>
      </c>
      <c r="R34" s="664"/>
      <c r="S34" s="664"/>
      <c r="T34" s="665">
        <f t="shared" si="9"/>
        <v>2</v>
      </c>
      <c r="U34" s="666">
        <f>IF($A34="","",SUM(PT!U58,PT!U59))</f>
        <v>2</v>
      </c>
      <c r="V34" s="663" t="str">
        <f>IF($A34="","",PT!AJ59)</f>
        <v/>
      </c>
      <c r="W34" s="667">
        <f>'Game Summary'!F29</f>
        <v>14</v>
      </c>
      <c r="X34" s="668">
        <f t="shared" si="10"/>
        <v>0.1428571429</v>
      </c>
      <c r="Y34" s="43"/>
      <c r="Z34" s="43"/>
      <c r="AA34" s="43"/>
      <c r="AB34" s="43"/>
    </row>
    <row r="35" ht="30.0" customHeight="1">
      <c r="A35" s="652" t="str">
        <f>IF(IGRF!I16="","",IGRF!I16)</f>
        <v>11</v>
      </c>
      <c r="B35" s="653" t="str">
        <f>IF(IGRF!J16="","",IGRF!J16)</f>
        <v>Bambi Deerdevil</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1</v>
      </c>
      <c r="M35" s="655">
        <f>IF($A35="","",SUM(PT!N60,PT!N61))</f>
        <v>0</v>
      </c>
      <c r="N35" s="655">
        <f>IF($A35="","",SUM(PT!O60,PT!O61))</f>
        <v>0</v>
      </c>
      <c r="O35" s="655">
        <f>IF($A35="","",SUM(PT!P60,PT!P61))</f>
        <v>2</v>
      </c>
      <c r="P35" s="655">
        <f>IF($A35="","",SUM(PT!Q60,PT!Q61))</f>
        <v>0</v>
      </c>
      <c r="Q35" s="655">
        <f>IF($A35="","",SUM(PT!R60,PT!R61))</f>
        <v>0</v>
      </c>
      <c r="R35" s="655"/>
      <c r="S35" s="655"/>
      <c r="T35" s="656">
        <f t="shared" si="9"/>
        <v>3</v>
      </c>
      <c r="U35" s="657">
        <f>IF($A35="","",SUM(PT!U60,PT!U61))</f>
        <v>3</v>
      </c>
      <c r="V35" s="658" t="str">
        <f>IF($A35="","",PT!AJ61)</f>
        <v/>
      </c>
      <c r="W35" s="659">
        <f>'Game Summary'!F30</f>
        <v>12</v>
      </c>
      <c r="X35" s="660">
        <f t="shared" si="10"/>
        <v>0.25</v>
      </c>
      <c r="Y35" s="43"/>
      <c r="Z35" s="43"/>
      <c r="AA35" s="43"/>
      <c r="AB35" s="43"/>
    </row>
    <row r="36" ht="30.0" customHeight="1">
      <c r="A36" s="661" t="str">
        <f>IF(IGRF!I17="","",IGRF!I17)</f>
        <v>33</v>
      </c>
      <c r="B36" s="662" t="str">
        <f>IF(IGRF!J17="","",IGRF!J17)</f>
        <v>Fox Mauler</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0</v>
      </c>
      <c r="U36" s="666">
        <f>IF($A36="","",SUM(PT!U62,PT!U63))</f>
        <v>0</v>
      </c>
      <c r="V36" s="663" t="str">
        <f>IF($A36="","",PT!AJ63)</f>
        <v/>
      </c>
      <c r="W36" s="667">
        <f>'Game Summary'!F31</f>
        <v>4</v>
      </c>
      <c r="X36" s="668">
        <f t="shared" si="10"/>
        <v>0</v>
      </c>
      <c r="Y36" s="43"/>
      <c r="Z36" s="43"/>
      <c r="AA36" s="43"/>
      <c r="AB36" s="43"/>
    </row>
    <row r="37" ht="30.0" customHeight="1">
      <c r="A37" s="652" t="str">
        <f>IF(IGRF!I18="","",IGRF!I18)</f>
        <v>1337</v>
      </c>
      <c r="B37" s="653" t="str">
        <f>IF(IGRF!J18="","",IGRF!J18)</f>
        <v>8Bit Betty</v>
      </c>
      <c r="C37" s="87"/>
      <c r="D37" s="654">
        <f>IF($A37="","",SUM(PT!E64,PT!E65))</f>
        <v>0</v>
      </c>
      <c r="E37" s="655">
        <f>IF($A37="","",SUM(PT!F64,PT!F65))</f>
        <v>0</v>
      </c>
      <c r="F37" s="655">
        <f>IF($A37="","",SUM(PT!G64,PT!G65))</f>
        <v>3</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1</v>
      </c>
      <c r="P37" s="655">
        <f>IF($A37="","",SUM(PT!Q64,PT!Q65))</f>
        <v>0</v>
      </c>
      <c r="Q37" s="655">
        <f>IF($A37="","",SUM(PT!R64,PT!R65))</f>
        <v>0</v>
      </c>
      <c r="R37" s="655"/>
      <c r="S37" s="655"/>
      <c r="T37" s="656">
        <f t="shared" si="9"/>
        <v>4</v>
      </c>
      <c r="U37" s="657">
        <f>IF($A37="","",SUM(PT!U64,PT!U65))</f>
        <v>4</v>
      </c>
      <c r="V37" s="658" t="str">
        <f>IF($A37="","",PT!AJ65)</f>
        <v/>
      </c>
      <c r="W37" s="659">
        <f>'Game Summary'!F32</f>
        <v>18</v>
      </c>
      <c r="X37" s="660">
        <f t="shared" si="10"/>
        <v>0.2222222222</v>
      </c>
      <c r="Y37" s="43"/>
      <c r="Z37" s="43"/>
      <c r="AA37" s="43"/>
      <c r="AB37" s="43"/>
    </row>
    <row r="38" ht="30.0" customHeight="1">
      <c r="A38" s="661" t="str">
        <f>IF(IGRF!I19="","",IGRF!I19)</f>
        <v>150</v>
      </c>
      <c r="B38" s="662" t="str">
        <f>IF(IGRF!J19="","",IGRF!J19)</f>
        <v>Cooney</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1</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1</v>
      </c>
      <c r="U38" s="666">
        <f>IF($A38="","",SUM(PT!U66,PT!U67))</f>
        <v>1</v>
      </c>
      <c r="V38" s="663" t="str">
        <f>IF($A38="","",PT!AJ67)</f>
        <v/>
      </c>
      <c r="W38" s="667">
        <f>'Game Summary'!F33</f>
        <v>10</v>
      </c>
      <c r="X38" s="668">
        <f t="shared" si="10"/>
        <v>0.1</v>
      </c>
      <c r="Y38" s="43"/>
      <c r="Z38" s="43"/>
      <c r="AA38" s="43"/>
      <c r="AB38" s="43"/>
    </row>
    <row r="39" ht="30.0" customHeight="1">
      <c r="A39" s="652" t="str">
        <f>IF(IGRF!I20="","",IGRF!I20)</f>
        <v>16</v>
      </c>
      <c r="B39" s="653" t="str">
        <f>IF(IGRF!J20="","",IGRF!J20)</f>
        <v>Jemerald</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14</v>
      </c>
      <c r="X39" s="660">
        <f t="shared" si="10"/>
        <v>0</v>
      </c>
      <c r="Y39" s="43"/>
      <c r="Z39" s="43"/>
      <c r="AA39" s="43"/>
      <c r="AB39" s="43"/>
    </row>
    <row r="40" ht="30.0" customHeight="1">
      <c r="A40" s="661" t="str">
        <f>IF(IGRF!I21="","",IGRF!I21)</f>
        <v>3110</v>
      </c>
      <c r="B40" s="662" t="str">
        <f>IF(IGRF!J21="","",IGRF!J21)</f>
        <v>Grand DAM</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2</v>
      </c>
      <c r="O40" s="664">
        <f>IF($A40="","",SUM(PT!P70,PT!P71))</f>
        <v>1</v>
      </c>
      <c r="P40" s="664">
        <f>IF($A40="","",SUM(PT!Q70,PT!Q71))</f>
        <v>0</v>
      </c>
      <c r="Q40" s="664">
        <f>IF($A40="","",SUM(PT!R70,PT!R71))</f>
        <v>0</v>
      </c>
      <c r="R40" s="664"/>
      <c r="S40" s="664"/>
      <c r="T40" s="665">
        <f t="shared" si="9"/>
        <v>3</v>
      </c>
      <c r="U40" s="666">
        <f>IF($A40="","",SUM(PT!U70,PT!U71))</f>
        <v>3</v>
      </c>
      <c r="V40" s="663" t="str">
        <f>IF($A40="","",PT!AJ71)</f>
        <v/>
      </c>
      <c r="W40" s="667">
        <f>'Game Summary'!F35</f>
        <v>15</v>
      </c>
      <c r="X40" s="668">
        <f t="shared" si="10"/>
        <v>0.2</v>
      </c>
      <c r="Y40" s="43"/>
      <c r="Z40" s="43"/>
      <c r="AA40" s="43"/>
      <c r="AB40" s="43"/>
    </row>
    <row r="41" ht="30.0" customHeight="1">
      <c r="A41" s="652" t="str">
        <f>IF(IGRF!I22="","",IGRF!I22)</f>
        <v>333</v>
      </c>
      <c r="B41" s="653" t="str">
        <f>IF(IGRF!J22="","",IGRF!J22)</f>
        <v>Yonic Cyclonic</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0</v>
      </c>
      <c r="U41" s="657">
        <f>IF($A41="","",SUM(PT!U72,PT!U73))</f>
        <v>0</v>
      </c>
      <c r="V41" s="658" t="str">
        <f>IF($A41="","",PT!AJ73)</f>
        <v/>
      </c>
      <c r="W41" s="659">
        <f>'Game Summary'!F36</f>
        <v>0</v>
      </c>
      <c r="X41" s="660" t="str">
        <f t="shared" si="10"/>
        <v/>
      </c>
      <c r="Y41" s="43"/>
      <c r="Z41" s="43"/>
      <c r="AA41" s="43"/>
      <c r="AB41" s="43"/>
    </row>
    <row r="42" ht="30.0" customHeight="1">
      <c r="A42" s="661" t="str">
        <f>IF(IGRF!I23="","",IGRF!I23)</f>
        <v>4</v>
      </c>
      <c r="B42" s="662" t="str">
        <f>IF(IGRF!J23="","",IGRF!J23)</f>
        <v>Stabba</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11</v>
      </c>
      <c r="X42" s="668">
        <f t="shared" si="10"/>
        <v>0</v>
      </c>
      <c r="Y42" s="43"/>
      <c r="Z42" s="43"/>
      <c r="AA42" s="43"/>
      <c r="AB42" s="43"/>
    </row>
    <row r="43" ht="30.0" customHeight="1">
      <c r="A43" s="652" t="str">
        <f>IF(IGRF!I24="","",IGRF!I24)</f>
        <v>42</v>
      </c>
      <c r="B43" s="653" t="str">
        <f>IF(IGRF!J24="","",IGRF!J24)</f>
        <v>Pretty Carless</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1</v>
      </c>
      <c r="N43" s="655">
        <f>IF($A43="","",SUM(PT!O76,PT!O77))</f>
        <v>0</v>
      </c>
      <c r="O43" s="655">
        <f>IF($A43="","",SUM(PT!P76,PT!P77))</f>
        <v>0</v>
      </c>
      <c r="P43" s="655">
        <f>IF($A43="","",SUM(PT!Q76,PT!Q77))</f>
        <v>0</v>
      </c>
      <c r="Q43" s="655">
        <f>IF($A43="","",SUM(PT!R76,PT!R77))</f>
        <v>0</v>
      </c>
      <c r="R43" s="655"/>
      <c r="S43" s="655"/>
      <c r="T43" s="656">
        <f t="shared" si="9"/>
        <v>1</v>
      </c>
      <c r="U43" s="657">
        <f>IF($A43="","",SUM(PT!U76,PT!U77))</f>
        <v>1</v>
      </c>
      <c r="V43" s="658" t="str">
        <f>IF($A43="","",PT!AJ77)</f>
        <v/>
      </c>
      <c r="W43" s="659">
        <f>'Game Summary'!F38</f>
        <v>17</v>
      </c>
      <c r="X43" s="660">
        <f t="shared" si="10"/>
        <v>0.05882352941</v>
      </c>
      <c r="Y43" s="43"/>
      <c r="Z43" s="43"/>
      <c r="AA43" s="43"/>
      <c r="AB43" s="43"/>
    </row>
    <row r="44" ht="30.0" customHeight="1">
      <c r="A44" s="661" t="str">
        <f>IF(IGRF!I25="","",IGRF!I25)</f>
        <v>48</v>
      </c>
      <c r="B44" s="662" t="str">
        <f>IF(IGRF!J25="","",IGRF!J25)</f>
        <v>Tini from the Bloc</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13</v>
      </c>
      <c r="X44" s="668">
        <f t="shared" si="10"/>
        <v>0</v>
      </c>
      <c r="Y44" s="43"/>
      <c r="Z44" s="43"/>
      <c r="AA44" s="43"/>
      <c r="AB44" s="43"/>
    </row>
    <row r="45" ht="30.0" customHeight="1">
      <c r="A45" s="652" t="str">
        <f>IF(IGRF!I26="","",IGRF!I26)</f>
        <v>167</v>
      </c>
      <c r="B45" s="653" t="str">
        <f>IF(IGRF!J26="","",IGRF!J26)</f>
        <v>Rile E Coyote</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0</v>
      </c>
      <c r="U45" s="657">
        <f>IF($A45="","",SUM(PT!U80,PT!U81))</f>
        <v>0</v>
      </c>
      <c r="V45" s="658" t="str">
        <f>IF($A45="","",PT!AJ81)</f>
        <v/>
      </c>
      <c r="W45" s="659">
        <f>'Game Summary'!F40</f>
        <v>14</v>
      </c>
      <c r="X45" s="660">
        <f t="shared" si="10"/>
        <v>0</v>
      </c>
      <c r="Y45" s="43"/>
      <c r="Z45" s="43"/>
      <c r="AA45" s="43"/>
      <c r="AB45" s="43"/>
    </row>
    <row r="46" ht="30.0" customHeight="1">
      <c r="A46" s="661" t="str">
        <f>IF(IGRF!I27="","",IGRF!I27)</f>
        <v>602</v>
      </c>
      <c r="B46" s="662" t="str">
        <f>IF(IGRF!J27="","",IGRF!J27)</f>
        <v>Fearidum</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0</v>
      </c>
      <c r="M46" s="664">
        <f>IF($A46="","",SUM(PT!N82,PT!N83))</f>
        <v>0</v>
      </c>
      <c r="N46" s="664">
        <f>IF($A46="","",SUM(PT!O82,PT!O83))</f>
        <v>1</v>
      </c>
      <c r="O46" s="664">
        <f>IF($A46="","",SUM(PT!P82,PT!P83))</f>
        <v>0</v>
      </c>
      <c r="P46" s="664">
        <f>IF($A46="","",SUM(PT!Q82,PT!Q83))</f>
        <v>0</v>
      </c>
      <c r="Q46" s="664">
        <f>IF($A46="","",SUM(PT!R82,PT!R83))</f>
        <v>0</v>
      </c>
      <c r="R46" s="664"/>
      <c r="S46" s="664"/>
      <c r="T46" s="665">
        <f t="shared" si="9"/>
        <v>1</v>
      </c>
      <c r="U46" s="666">
        <f>IF($A46="","",SUM(PT!U82,PT!U83))</f>
        <v>1</v>
      </c>
      <c r="V46" s="663" t="str">
        <f>IF($A46="","",PT!AJ83)</f>
        <v/>
      </c>
      <c r="W46" s="667">
        <f>'Game Summary'!F41</f>
        <v>12</v>
      </c>
      <c r="X46" s="668">
        <f t="shared" si="10"/>
        <v>0.08333333333</v>
      </c>
      <c r="Y46" s="43"/>
      <c r="Z46" s="43"/>
      <c r="AA46" s="43"/>
      <c r="AB46" s="43"/>
    </row>
    <row r="47" ht="30.0" customHeight="1">
      <c r="A47" s="652" t="str">
        <f>IF(IGRF!I28="","",IGRF!I28)</f>
        <v>777</v>
      </c>
      <c r="B47" s="653" t="str">
        <f>IF(IGRF!J28="","",IGRF!J28)</f>
        <v>Des</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2</v>
      </c>
      <c r="L47" s="655">
        <f>IF($A47="","",SUM(PT!M84,PT!M85))</f>
        <v>0</v>
      </c>
      <c r="M47" s="655">
        <f>IF($A47="","",SUM(PT!N84,PT!N85))</f>
        <v>3</v>
      </c>
      <c r="N47" s="655">
        <f>IF($A47="","",SUM(PT!O84,PT!O85))</f>
        <v>1</v>
      </c>
      <c r="O47" s="655">
        <f>IF($A47="","",SUM(PT!P84,PT!P85))</f>
        <v>0</v>
      </c>
      <c r="P47" s="655">
        <f>IF($A47="","",SUM(PT!Q84,PT!Q85))</f>
        <v>0</v>
      </c>
      <c r="Q47" s="655">
        <f>IF($A47="","",SUM(PT!R84,PT!R85))</f>
        <v>0</v>
      </c>
      <c r="R47" s="655"/>
      <c r="S47" s="655"/>
      <c r="T47" s="656">
        <f t="shared" si="9"/>
        <v>6</v>
      </c>
      <c r="U47" s="657">
        <f>IF($A47="","",SUM(PT!U84,PT!U85))</f>
        <v>6</v>
      </c>
      <c r="V47" s="658" t="str">
        <f>IF($A47="","",PT!AJ85)</f>
        <v/>
      </c>
      <c r="W47" s="659">
        <f>'Game Summary'!F42</f>
        <v>22</v>
      </c>
      <c r="X47" s="660">
        <f t="shared" si="10"/>
        <v>0.2727272727</v>
      </c>
      <c r="Y47" s="43"/>
      <c r="Z47" s="43"/>
      <c r="AA47" s="43"/>
      <c r="AB47" s="43"/>
    </row>
    <row r="48" ht="30.0" customHeight="1">
      <c r="A48" s="661" t="str">
        <f>IF(IGRF!I29="","",IGRF!I29)</f>
        <v>88</v>
      </c>
      <c r="B48" s="662" t="str">
        <f>IF(IGRF!J29="","",IGRF!J29)</f>
        <v>diamond WEAPON</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1</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1</v>
      </c>
      <c r="U48" s="666">
        <f>IF($A48="","",SUM(PT!U86,PT!U87))</f>
        <v>1</v>
      </c>
      <c r="V48" s="663" t="str">
        <f>IF($A48="","",PT!AJ87)</f>
        <v/>
      </c>
      <c r="W48" s="667">
        <f>'Game Summary'!F43</f>
        <v>22</v>
      </c>
      <c r="X48" s="668">
        <f t="shared" si="10"/>
        <v>0.04545454545</v>
      </c>
      <c r="Y48" s="43"/>
      <c r="Z48" s="43"/>
      <c r="AA48" s="43"/>
      <c r="AB48" s="43"/>
    </row>
    <row r="49" ht="30.0" customHeight="1">
      <c r="A49" s="705"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706"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705"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706"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1" t="s">
        <v>354</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349</v>
      </c>
      <c r="U53" s="675"/>
      <c r="V53" s="676">
        <f>SUM(PT!X102:AI102,C53,C54)</f>
        <v>0</v>
      </c>
      <c r="W53" s="677">
        <f t="shared" ref="W53:X53" si="12">IF(COUNT(W33:W52)=0,"-",SUM(W33:W52)/COUNT(W33:W52))</f>
        <v>13.75</v>
      </c>
      <c r="X53" s="678">
        <f t="shared" si="12"/>
        <v>0.0916945364</v>
      </c>
      <c r="Y53" s="43"/>
      <c r="Z53" s="43"/>
      <c r="AA53" s="43"/>
      <c r="AB53" s="43"/>
    </row>
    <row r="54" ht="20.25" customHeight="1">
      <c r="A54" s="679" t="s">
        <v>354</v>
      </c>
      <c r="B54" s="166"/>
      <c r="C54" s="680" t="str">
        <f>PT!AJ99</f>
        <v/>
      </c>
      <c r="D54" s="681"/>
      <c r="E54" s="681"/>
      <c r="F54" s="681"/>
      <c r="G54" s="681"/>
      <c r="H54" s="681"/>
      <c r="I54" s="681"/>
      <c r="J54" s="681"/>
      <c r="K54" s="681"/>
      <c r="L54" s="681"/>
      <c r="M54" s="681"/>
      <c r="N54" s="681"/>
      <c r="O54" s="681"/>
      <c r="P54" s="681"/>
      <c r="Q54" s="681"/>
      <c r="R54" s="681"/>
      <c r="S54" s="681"/>
      <c r="T54" s="682"/>
      <c r="U54" s="683"/>
      <c r="V54" s="684" t="s">
        <v>355</v>
      </c>
      <c r="W54" s="685"/>
      <c r="X54" s="686"/>
      <c r="Y54" s="43"/>
      <c r="Z54" s="43"/>
      <c r="AA54" s="43"/>
      <c r="AB54" s="43"/>
    </row>
    <row r="55" ht="19.5" customHeight="1">
      <c r="A55" s="616"/>
      <c r="B55" s="45"/>
      <c r="C55" s="138"/>
      <c r="D55" s="415"/>
      <c r="E55" s="415"/>
      <c r="F55" s="415"/>
      <c r="G55" s="415"/>
      <c r="H55" s="415"/>
      <c r="I55" s="415"/>
      <c r="J55" s="415"/>
      <c r="K55" s="415"/>
      <c r="L55" s="415"/>
      <c r="M55" s="415"/>
      <c r="N55" s="415"/>
      <c r="O55" s="415"/>
      <c r="P55" s="415"/>
      <c r="Q55" s="415"/>
      <c r="R55" s="415"/>
      <c r="S55" s="415"/>
      <c r="T55" s="418"/>
      <c r="U55" s="683"/>
      <c r="V55" s="349"/>
      <c r="W55" s="155"/>
      <c r="X55" s="21"/>
      <c r="Y55" s="43"/>
      <c r="Z55" s="43"/>
      <c r="AA55" s="43"/>
      <c r="AB55" s="43"/>
    </row>
    <row r="56" ht="12.75" customHeight="1">
      <c r="A56" s="687" t="s">
        <v>356</v>
      </c>
      <c r="B56" s="344"/>
      <c r="C56" s="688"/>
      <c r="D56" s="689">
        <f t="shared" ref="D56:Q56" si="13">SUM(D33:D52)</f>
        <v>0</v>
      </c>
      <c r="E56" s="689">
        <f t="shared" si="13"/>
        <v>0</v>
      </c>
      <c r="F56" s="689">
        <f t="shared" si="13"/>
        <v>4</v>
      </c>
      <c r="G56" s="689">
        <f t="shared" si="13"/>
        <v>0</v>
      </c>
      <c r="H56" s="689">
        <f t="shared" si="13"/>
        <v>0</v>
      </c>
      <c r="I56" s="689">
        <f t="shared" si="13"/>
        <v>0</v>
      </c>
      <c r="J56" s="689">
        <f t="shared" si="13"/>
        <v>0</v>
      </c>
      <c r="K56" s="689">
        <f t="shared" si="13"/>
        <v>4</v>
      </c>
      <c r="L56" s="689">
        <f t="shared" si="13"/>
        <v>1</v>
      </c>
      <c r="M56" s="689">
        <f t="shared" si="13"/>
        <v>4</v>
      </c>
      <c r="N56" s="689">
        <f t="shared" si="13"/>
        <v>4</v>
      </c>
      <c r="O56" s="689">
        <f t="shared" si="13"/>
        <v>5</v>
      </c>
      <c r="P56" s="689">
        <f t="shared" si="13"/>
        <v>0</v>
      </c>
      <c r="Q56" s="689">
        <f t="shared" si="13"/>
        <v>0</v>
      </c>
      <c r="R56" s="689"/>
      <c r="S56" s="689"/>
      <c r="T56" s="689">
        <f>SUM(T33:T52)</f>
        <v>22</v>
      </c>
      <c r="U56" s="683">
        <f>SUM(U33:U52,C53,C54)</f>
        <v>22</v>
      </c>
      <c r="V56" s="691" t="s">
        <v>357</v>
      </c>
      <c r="W56" s="45"/>
      <c r="X56" s="46"/>
      <c r="Y56" s="43"/>
      <c r="Z56" s="43"/>
      <c r="AA56" s="43"/>
      <c r="AB56" s="43"/>
    </row>
    <row r="57" ht="12.75" customHeight="1">
      <c r="A57" s="692"/>
      <c r="C57" s="693"/>
      <c r="D57" s="694" t="s">
        <v>358</v>
      </c>
      <c r="E57" s="14"/>
      <c r="F57" s="14"/>
      <c r="G57" s="14"/>
      <c r="H57" s="14"/>
      <c r="I57" s="42"/>
      <c r="J57" s="695">
        <f>IF(OR(LU!W3=0,LU!W102=0),"",T56/(LU!W3+LU!W102))</f>
        <v>0.5</v>
      </c>
      <c r="K57" s="42"/>
      <c r="L57" s="696" t="s">
        <v>359</v>
      </c>
      <c r="M57" s="344"/>
      <c r="N57" s="344"/>
      <c r="O57" s="344"/>
      <c r="P57" s="688"/>
      <c r="Q57" s="697"/>
      <c r="R57" s="698">
        <f>IF(T27+T56=0,"",T56/(T27+T56))</f>
        <v>0.4782608696</v>
      </c>
      <c r="S57" s="688"/>
      <c r="T57" s="699">
        <f t="shared" ref="T57:U57" si="14">IF(T27+T56=0,"",T56/(T27+T56))</f>
        <v>0.4782608696</v>
      </c>
      <c r="U57" s="700">
        <f t="shared" si="14"/>
        <v>0.4782608696</v>
      </c>
      <c r="V57" s="701" t="s">
        <v>360</v>
      </c>
      <c r="W57" s="344"/>
      <c r="X57" s="345"/>
      <c r="Y57" s="43"/>
      <c r="Z57" s="43"/>
      <c r="AA57" s="43"/>
      <c r="AB57" s="43"/>
    </row>
    <row r="58" ht="12.75" customHeight="1">
      <c r="A58" s="155"/>
      <c r="B58" s="20"/>
      <c r="C58" s="156"/>
      <c r="D58" s="702" t="s">
        <v>361</v>
      </c>
      <c r="E58" s="39"/>
      <c r="F58" s="39"/>
      <c r="G58" s="39"/>
      <c r="H58" s="39"/>
      <c r="I58" s="40"/>
      <c r="J58" s="703">
        <f>IF(OR(J28="",J57=""),"",J57-J28)</f>
        <v>-0.04545454545</v>
      </c>
      <c r="K58" s="40"/>
      <c r="L58" s="704"/>
      <c r="M58" s="20"/>
      <c r="N58" s="20"/>
      <c r="O58" s="20"/>
      <c r="P58" s="156"/>
      <c r="Q58" s="697"/>
      <c r="R58" s="213"/>
      <c r="S58" s="156"/>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Tiger Bay Brawlers / Challengers</v>
      </c>
      <c r="B1" s="688"/>
      <c r="C1" s="708">
        <f>IF(ISBLANK(IGRF!$B$7), "", IGRF!$B$7)</f>
        <v>45220</v>
      </c>
      <c r="D1" s="709">
        <v>1.0</v>
      </c>
      <c r="H1" s="707" t="str">
        <f>Score!$T$1</f>
        <v>Dublin Roller Derby / The Be Grands</v>
      </c>
      <c r="I1" s="688"/>
      <c r="J1" s="708">
        <f>IF(ISBLANK(IGRF!$B$7), "", IGRF!$B$7)</f>
        <v>45220</v>
      </c>
      <c r="K1" s="709">
        <v>1.0</v>
      </c>
    </row>
    <row r="2" ht="13.5" customHeight="1">
      <c r="A2" s="155"/>
      <c r="B2" s="156"/>
      <c r="C2" s="710" t="s">
        <v>201</v>
      </c>
      <c r="D2" s="418"/>
      <c r="H2" s="155"/>
      <c r="I2" s="156"/>
      <c r="J2" s="710" t="s">
        <v>201</v>
      </c>
      <c r="K2" s="418"/>
    </row>
    <row r="3" ht="13.5" customHeight="1">
      <c r="A3" s="711" t="s">
        <v>278</v>
      </c>
      <c r="B3" s="712" t="s">
        <v>362</v>
      </c>
      <c r="C3" s="713" t="s">
        <v>363</v>
      </c>
      <c r="D3" s="714" t="str">
        <f>IF(ISBLANK(IGRF!$L$3), "", "GAME " &amp; IGRF!$L$3)</f>
        <v>GAME 1</v>
      </c>
      <c r="H3" s="711" t="s">
        <v>278</v>
      </c>
      <c r="I3" s="712" t="s">
        <v>362</v>
      </c>
      <c r="J3" s="713" t="s">
        <v>363</v>
      </c>
      <c r="K3" s="714" t="str">
        <f>IF(ISBLANK(IGRF!$L$3), "", "GAME " &amp; IGRF!$L$3)</f>
        <v>GAME 1</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t="str">
        <f>IF(Score!A6="", "",Score!A6 )</f>
        <v>SP</v>
      </c>
      <c r="B6" s="715"/>
      <c r="C6" s="716"/>
      <c r="D6" s="87"/>
      <c r="H6" s="227" t="str">
        <f>IF(Score!T6="", "",Score!T6 )</f>
        <v>SP*</v>
      </c>
      <c r="I6" s="715"/>
      <c r="J6" s="716"/>
      <c r="K6" s="87"/>
    </row>
    <row r="7" ht="12.75" customHeight="1">
      <c r="A7" s="239">
        <f>IF(Score!A7="", "",Score!A7 )</f>
        <v>3</v>
      </c>
      <c r="B7" s="717"/>
      <c r="C7" s="718"/>
      <c r="D7" s="87"/>
      <c r="H7" s="239">
        <f>IF(Score!T7="", "",Score!T7 )</f>
        <v>3</v>
      </c>
      <c r="I7" s="717"/>
      <c r="J7" s="718"/>
      <c r="K7" s="87"/>
    </row>
    <row r="8" ht="12.75" customHeight="1">
      <c r="A8" s="227" t="str">
        <f>IF(Score!A8="", "",Score!A8 )</f>
        <v>SP</v>
      </c>
      <c r="B8" s="715"/>
      <c r="C8" s="716"/>
      <c r="D8" s="87"/>
      <c r="H8" s="227" t="str">
        <f>IF(Score!T8="", "",Score!T8 )</f>
        <v>SP*</v>
      </c>
      <c r="I8" s="715"/>
      <c r="J8" s="716"/>
      <c r="K8" s="87"/>
    </row>
    <row r="9" ht="12.75" customHeight="1">
      <c r="A9" s="239">
        <f>IF(Score!A9="", "",Score!A9 )</f>
        <v>4</v>
      </c>
      <c r="B9" s="717"/>
      <c r="C9" s="718"/>
      <c r="D9" s="87"/>
      <c r="H9" s="239">
        <f>IF(Score!T9="", "",Score!T9 )</f>
        <v>4</v>
      </c>
      <c r="I9" s="717"/>
      <c r="J9" s="718"/>
      <c r="K9" s="87"/>
    </row>
    <row r="10" ht="12.75" customHeight="1">
      <c r="A10" s="227">
        <f>IF(Score!A10="", "",Score!A10 )</f>
        <v>5</v>
      </c>
      <c r="B10" s="715"/>
      <c r="C10" s="716"/>
      <c r="D10" s="87"/>
      <c r="H10" s="227">
        <f>IF(Score!T10="", "",Score!T10 )</f>
        <v>5</v>
      </c>
      <c r="I10" s="715"/>
      <c r="J10" s="716"/>
      <c r="K10" s="87"/>
    </row>
    <row r="11" ht="12.75" customHeight="1">
      <c r="A11" s="239" t="str">
        <f>IF(Score!A11="", "",Score!A11 )</f>
        <v>SP</v>
      </c>
      <c r="B11" s="717"/>
      <c r="C11" s="718"/>
      <c r="D11" s="87"/>
      <c r="H11" s="239" t="str">
        <f>IF(Score!T11="", "",Score!T11 )</f>
        <v>SP*</v>
      </c>
      <c r="I11" s="717"/>
      <c r="J11" s="718"/>
      <c r="K11" s="87"/>
    </row>
    <row r="12" ht="12.75" customHeight="1">
      <c r="A12" s="227">
        <f>IF(Score!A12="", "",Score!A12 )</f>
        <v>6</v>
      </c>
      <c r="B12" s="715"/>
      <c r="C12" s="716"/>
      <c r="D12" s="87"/>
      <c r="H12" s="227">
        <f>IF(Score!T12="", "",Score!T12 )</f>
        <v>6</v>
      </c>
      <c r="I12" s="715"/>
      <c r="J12" s="716"/>
      <c r="K12" s="87"/>
    </row>
    <row r="13" ht="12.75" customHeight="1">
      <c r="A13" s="239">
        <f>IF(Score!A13="", "",Score!A13 )</f>
        <v>7</v>
      </c>
      <c r="B13" s="717"/>
      <c r="C13" s="718"/>
      <c r="D13" s="87"/>
      <c r="H13" s="239">
        <f>IF(Score!T13="", "",Score!T13 )</f>
        <v>7</v>
      </c>
      <c r="I13" s="717"/>
      <c r="J13" s="718"/>
      <c r="K13" s="87"/>
    </row>
    <row r="14" ht="12.75" customHeight="1">
      <c r="A14" s="227">
        <f>IF(Score!A14="", "",Score!A14 )</f>
        <v>8</v>
      </c>
      <c r="B14" s="715"/>
      <c r="C14" s="716"/>
      <c r="D14" s="87"/>
      <c r="H14" s="227">
        <f>IF(Score!T14="", "",Score!T14 )</f>
        <v>8</v>
      </c>
      <c r="I14" s="715"/>
      <c r="J14" s="716"/>
      <c r="K14" s="87"/>
    </row>
    <row r="15" ht="12.75" customHeight="1">
      <c r="A15" s="239">
        <f>IF(Score!A15="", "",Score!A15 )</f>
        <v>9</v>
      </c>
      <c r="B15" s="717"/>
      <c r="C15" s="718"/>
      <c r="D15" s="87"/>
      <c r="H15" s="239">
        <f>IF(Score!T15="", "",Score!T15 )</f>
        <v>9</v>
      </c>
      <c r="I15" s="717"/>
      <c r="J15" s="718"/>
      <c r="K15" s="87"/>
    </row>
    <row r="16" ht="12.75" customHeight="1">
      <c r="A16" s="227">
        <f>IF(Score!A16="", "",Score!A16 )</f>
        <v>10</v>
      </c>
      <c r="B16" s="715"/>
      <c r="C16" s="716"/>
      <c r="D16" s="87"/>
      <c r="H16" s="227">
        <f>IF(Score!T16="", "",Score!T16 )</f>
        <v>10</v>
      </c>
      <c r="I16" s="715"/>
      <c r="J16" s="716"/>
      <c r="K16" s="87"/>
    </row>
    <row r="17" ht="12.75" customHeight="1">
      <c r="A17" s="239">
        <f>IF(Score!A17="", "",Score!A17 )</f>
        <v>11</v>
      </c>
      <c r="B17" s="717"/>
      <c r="C17" s="718"/>
      <c r="D17" s="87"/>
      <c r="H17" s="239">
        <f>IF(Score!T17="", "",Score!T17 )</f>
        <v>11</v>
      </c>
      <c r="I17" s="717"/>
      <c r="J17" s="718"/>
      <c r="K17" s="87"/>
    </row>
    <row r="18" ht="12.75" customHeight="1">
      <c r="A18" s="227">
        <f>IF(Score!A18="", "",Score!A18 )</f>
        <v>12</v>
      </c>
      <c r="B18" s="715"/>
      <c r="C18" s="716"/>
      <c r="D18" s="87"/>
      <c r="H18" s="227">
        <f>IF(Score!T18="", "",Score!T18 )</f>
        <v>12</v>
      </c>
      <c r="I18" s="715"/>
      <c r="J18" s="716"/>
      <c r="K18" s="87"/>
    </row>
    <row r="19" ht="12.75" customHeight="1">
      <c r="A19" s="239">
        <f>IF(Score!A19="", "",Score!A19 )</f>
        <v>13</v>
      </c>
      <c r="B19" s="717"/>
      <c r="C19" s="718"/>
      <c r="D19" s="87"/>
      <c r="H19" s="239">
        <f>IF(Score!T19="", "",Score!T19 )</f>
        <v>13</v>
      </c>
      <c r="I19" s="717"/>
      <c r="J19" s="718"/>
      <c r="K19" s="87"/>
    </row>
    <row r="20" ht="12.75" customHeight="1">
      <c r="A20" s="227">
        <f>IF(Score!A20="", "",Score!A20 )</f>
        <v>14</v>
      </c>
      <c r="B20" s="715"/>
      <c r="C20" s="716"/>
      <c r="D20" s="87"/>
      <c r="H20" s="227">
        <f>IF(Score!T20="", "",Score!T20 )</f>
        <v>14</v>
      </c>
      <c r="I20" s="715"/>
      <c r="J20" s="716"/>
      <c r="K20" s="87"/>
    </row>
    <row r="21" ht="12.75" customHeight="1">
      <c r="A21" s="239">
        <f>IF(Score!A21="", "",Score!A21 )</f>
        <v>15</v>
      </c>
      <c r="B21" s="717"/>
      <c r="C21" s="718"/>
      <c r="D21" s="87"/>
      <c r="H21" s="239">
        <f>IF(Score!T21="", "",Score!T21 )</f>
        <v>15</v>
      </c>
      <c r="I21" s="717"/>
      <c r="J21" s="718"/>
      <c r="K21" s="87"/>
    </row>
    <row r="22" ht="12.75" customHeight="1">
      <c r="A22" s="227" t="str">
        <f>IF(Score!A22="", "",Score!A22 )</f>
        <v>SP</v>
      </c>
      <c r="B22" s="715"/>
      <c r="C22" s="716"/>
      <c r="D22" s="87"/>
      <c r="H22" s="227" t="str">
        <f>IF(Score!T22="", "",Score!T22 )</f>
        <v>SP</v>
      </c>
      <c r="I22" s="715"/>
      <c r="J22" s="716"/>
      <c r="K22" s="87"/>
    </row>
    <row r="23" ht="12.75" customHeight="1">
      <c r="A23" s="239">
        <f>IF(Score!A23="", "",Score!A23 )</f>
        <v>16</v>
      </c>
      <c r="B23" s="717"/>
      <c r="C23" s="718"/>
      <c r="D23" s="87"/>
      <c r="H23" s="239">
        <f>IF(Score!T23="", "",Score!T23 )</f>
        <v>16</v>
      </c>
      <c r="I23" s="717"/>
      <c r="J23" s="718"/>
      <c r="K23" s="87"/>
    </row>
    <row r="24" ht="12.75" customHeight="1">
      <c r="A24" s="227" t="str">
        <f>IF(Score!A24="", "",Score!A24 )</f>
        <v>SP</v>
      </c>
      <c r="B24" s="715"/>
      <c r="C24" s="716"/>
      <c r="D24" s="87"/>
      <c r="H24" s="227" t="str">
        <f>IF(Score!T24="", "",Score!T24 )</f>
        <v>SP</v>
      </c>
      <c r="I24" s="715"/>
      <c r="J24" s="716"/>
      <c r="K24" s="87"/>
    </row>
    <row r="25" ht="12.75" customHeight="1">
      <c r="A25" s="239">
        <f>IF(Score!A25="", "",Score!A25 )</f>
        <v>17</v>
      </c>
      <c r="B25" s="717"/>
      <c r="C25" s="718"/>
      <c r="D25" s="87"/>
      <c r="H25" s="239">
        <f>IF(Score!T25="", "",Score!T25 )</f>
        <v>17</v>
      </c>
      <c r="I25" s="717"/>
      <c r="J25" s="718"/>
      <c r="K25" s="87"/>
    </row>
    <row r="26" ht="12.75" customHeight="1">
      <c r="A26" s="227">
        <f>IF(Score!A26="", "",Score!A26 )</f>
        <v>18</v>
      </c>
      <c r="B26" s="715"/>
      <c r="C26" s="716"/>
      <c r="D26" s="87"/>
      <c r="H26" s="227">
        <f>IF(Score!T26="", "",Score!T26 )</f>
        <v>18</v>
      </c>
      <c r="I26" s="715"/>
      <c r="J26" s="716"/>
      <c r="K26" s="87"/>
    </row>
    <row r="27" ht="12.75" customHeight="1">
      <c r="A27" s="239">
        <f>IF(Score!A27="", "",Score!A27 )</f>
        <v>19</v>
      </c>
      <c r="B27" s="717"/>
      <c r="C27" s="718"/>
      <c r="D27" s="87"/>
      <c r="H27" s="239">
        <f>IF(Score!T27="", "",Score!T27 )</f>
        <v>19</v>
      </c>
      <c r="I27" s="717"/>
      <c r="J27" s="718"/>
      <c r="K27" s="87"/>
    </row>
    <row r="28" ht="12.75" customHeight="1">
      <c r="A28" s="227" t="str">
        <f>IF(Score!A28="", "",Score!A28 )</f>
        <v>SP</v>
      </c>
      <c r="B28" s="715"/>
      <c r="C28" s="716"/>
      <c r="D28" s="87"/>
      <c r="H28" s="227" t="str">
        <f>IF(Score!T28="", "",Score!T28 )</f>
        <v>SP*</v>
      </c>
      <c r="I28" s="715"/>
      <c r="J28" s="716"/>
      <c r="K28" s="87"/>
    </row>
    <row r="29" ht="12.75" customHeight="1">
      <c r="A29" s="239">
        <f>IF(Score!A29="", "",Score!A29 )</f>
        <v>20</v>
      </c>
      <c r="B29" s="717"/>
      <c r="C29" s="718"/>
      <c r="D29" s="87"/>
      <c r="H29" s="239">
        <f>IF(Score!T29="", "",Score!T29 )</f>
        <v>20</v>
      </c>
      <c r="I29" s="717"/>
      <c r="J29" s="718"/>
      <c r="K29" s="87"/>
    </row>
    <row r="30" ht="12.75" customHeight="1">
      <c r="A30" s="227">
        <f>IF(Score!A30="", "",Score!A30 )</f>
        <v>21</v>
      </c>
      <c r="B30" s="715"/>
      <c r="C30" s="716"/>
      <c r="D30" s="87"/>
      <c r="H30" s="227">
        <f>IF(Score!T30="", "",Score!T30 )</f>
        <v>21</v>
      </c>
      <c r="I30" s="715"/>
      <c r="J30" s="716"/>
      <c r="K30" s="87"/>
    </row>
    <row r="31" ht="12.75" customHeight="1">
      <c r="A31" s="239" t="str">
        <f>IF(Score!A31="", "",Score!A31 )</f>
        <v>SP</v>
      </c>
      <c r="B31" s="717"/>
      <c r="C31" s="718"/>
      <c r="D31" s="87"/>
      <c r="H31" s="239" t="str">
        <f>IF(Score!T31="", "",Score!T31 )</f>
        <v>SP*</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364</v>
      </c>
      <c r="B42" s="724">
        <f>SUM(B4:B41)</f>
        <v>0</v>
      </c>
      <c r="C42" s="725"/>
      <c r="D42" s="21"/>
      <c r="H42" s="723" t="str">
        <f>A42</f>
        <v>Period Offset</v>
      </c>
      <c r="I42" s="724">
        <f>SUM(I4:I41)</f>
        <v>0</v>
      </c>
      <c r="J42" s="725"/>
      <c r="K42" s="21"/>
    </row>
    <row r="43" ht="12.75" customHeight="1">
      <c r="A43" s="707" t="str">
        <f>A1</f>
        <v>Tiger Bay Brawlers / Challengers</v>
      </c>
      <c r="B43" s="688"/>
      <c r="C43" s="708">
        <f>IF(ISBLANK(IGRF!$B$7), "", IGRF!$B$7)</f>
        <v>45220</v>
      </c>
      <c r="D43" s="709">
        <v>2.0</v>
      </c>
      <c r="H43" s="707" t="str">
        <f>H1</f>
        <v>Dublin Roller Derby / The Be Grands</v>
      </c>
      <c r="I43" s="688"/>
      <c r="J43" s="708">
        <f>IF(ISBLANK(IGRF!$B$7), "", IGRF!$B$7)</f>
        <v>45220</v>
      </c>
      <c r="K43" s="709">
        <v>2.0</v>
      </c>
    </row>
    <row r="44" ht="13.5" customHeight="1">
      <c r="A44" s="155"/>
      <c r="B44" s="156"/>
      <c r="C44" s="710" t="s">
        <v>201</v>
      </c>
      <c r="D44" s="418"/>
      <c r="H44" s="155"/>
      <c r="I44" s="156"/>
      <c r="J44" s="710" t="s">
        <v>201</v>
      </c>
      <c r="K44" s="418"/>
    </row>
    <row r="45" ht="13.5" customHeight="1">
      <c r="A45" s="711" t="s">
        <v>278</v>
      </c>
      <c r="B45" s="712" t="s">
        <v>362</v>
      </c>
      <c r="C45" s="713" t="s">
        <v>363</v>
      </c>
      <c r="D45" s="714" t="str">
        <f>IF(ISBLANK(IGRF!$L$3), "", "GAME " &amp; IGRF!$L$3)</f>
        <v>GAME 1</v>
      </c>
      <c r="H45" s="711" t="s">
        <v>278</v>
      </c>
      <c r="I45" s="712" t="s">
        <v>362</v>
      </c>
      <c r="J45" s="713" t="s">
        <v>363</v>
      </c>
      <c r="K45" s="714" t="str">
        <f>IF(ISBLANK(IGRF!$L$3), "", "GAME " &amp; IGRF!$L$3)</f>
        <v>GAME 1</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f>IF(Score!A48="", "",Score!A48 )</f>
        <v>3</v>
      </c>
      <c r="B48" s="715"/>
      <c r="C48" s="716"/>
      <c r="D48" s="87"/>
      <c r="H48" s="300">
        <f>IF(Score!T48="", "",Score!T48 )</f>
        <v>3</v>
      </c>
      <c r="I48" s="715"/>
      <c r="J48" s="716"/>
      <c r="K48" s="87"/>
    </row>
    <row r="49" ht="12.75" customHeight="1">
      <c r="A49" s="239">
        <f>IF(Score!A49="", "",Score!A49 )</f>
        <v>4</v>
      </c>
      <c r="B49" s="717"/>
      <c r="C49" s="718"/>
      <c r="D49" s="87"/>
      <c r="H49" s="302">
        <f>IF(Score!T49="", "",Score!T49 )</f>
        <v>4</v>
      </c>
      <c r="I49" s="717"/>
      <c r="J49" s="718"/>
      <c r="K49" s="87"/>
    </row>
    <row r="50" ht="12.75" customHeight="1">
      <c r="A50" s="227">
        <f>IF(Score!A50="", "",Score!A50 )</f>
        <v>5</v>
      </c>
      <c r="B50" s="715"/>
      <c r="C50" s="716"/>
      <c r="D50" s="87"/>
      <c r="H50" s="300">
        <f>IF(Score!T50="", "",Score!T50 )</f>
        <v>5</v>
      </c>
      <c r="I50" s="715"/>
      <c r="J50" s="716"/>
      <c r="K50" s="87"/>
    </row>
    <row r="51" ht="12.75" customHeight="1">
      <c r="A51" s="239">
        <f>IF(Score!A51="", "",Score!A51 )</f>
        <v>6</v>
      </c>
      <c r="B51" s="717"/>
      <c r="C51" s="718"/>
      <c r="D51" s="87"/>
      <c r="H51" s="302">
        <f>IF(Score!T51="", "",Score!T51 )</f>
        <v>6</v>
      </c>
      <c r="I51" s="717"/>
      <c r="J51" s="718"/>
      <c r="K51" s="87"/>
    </row>
    <row r="52" ht="12.75" customHeight="1">
      <c r="A52" s="227">
        <f>IF(Score!A52="", "",Score!A52 )</f>
        <v>7</v>
      </c>
      <c r="B52" s="715"/>
      <c r="C52" s="716"/>
      <c r="D52" s="87"/>
      <c r="H52" s="300">
        <f>IF(Score!T52="", "",Score!T52 )</f>
        <v>7</v>
      </c>
      <c r="I52" s="715"/>
      <c r="J52" s="716"/>
      <c r="K52" s="87"/>
    </row>
    <row r="53" ht="12.75" customHeight="1">
      <c r="A53" s="239">
        <f>IF(Score!A53="", "",Score!A53 )</f>
        <v>8</v>
      </c>
      <c r="B53" s="717"/>
      <c r="C53" s="718"/>
      <c r="D53" s="87"/>
      <c r="H53" s="302">
        <f>IF(Score!T53="", "",Score!T53 )</f>
        <v>8</v>
      </c>
      <c r="I53" s="717"/>
      <c r="J53" s="718"/>
      <c r="K53" s="87"/>
    </row>
    <row r="54" ht="12.75" customHeight="1">
      <c r="A54" s="227">
        <f>IF(Score!A54="", "",Score!A54 )</f>
        <v>9</v>
      </c>
      <c r="B54" s="715"/>
      <c r="C54" s="716"/>
      <c r="D54" s="87"/>
      <c r="H54" s="300">
        <f>IF(Score!T54="", "",Score!T54 )</f>
        <v>9</v>
      </c>
      <c r="I54" s="715"/>
      <c r="J54" s="716"/>
      <c r="K54" s="87"/>
    </row>
    <row r="55" ht="12.75" customHeight="1">
      <c r="A55" s="239" t="str">
        <f>IF(Score!A55="", "",Score!A55 )</f>
        <v>SP*</v>
      </c>
      <c r="B55" s="717"/>
      <c r="C55" s="718"/>
      <c r="D55" s="87"/>
      <c r="H55" s="302" t="str">
        <f>IF(Score!T55="", "",Score!T55 )</f>
        <v>SP</v>
      </c>
      <c r="I55" s="717"/>
      <c r="J55" s="718"/>
      <c r="K55" s="87"/>
    </row>
    <row r="56" ht="12.75" customHeight="1">
      <c r="A56" s="227">
        <f>IF(Score!A56="", "",Score!A56 )</f>
        <v>10</v>
      </c>
      <c r="B56" s="715"/>
      <c r="C56" s="716"/>
      <c r="D56" s="87"/>
      <c r="H56" s="300">
        <f>IF(Score!T56="", "",Score!T56 )</f>
        <v>10</v>
      </c>
      <c r="I56" s="715"/>
      <c r="J56" s="716"/>
      <c r="K56" s="87"/>
    </row>
    <row r="57" ht="12.75" customHeight="1">
      <c r="A57" s="239">
        <f>IF(Score!A57="", "",Score!A57 )</f>
        <v>11</v>
      </c>
      <c r="B57" s="717"/>
      <c r="C57" s="718"/>
      <c r="D57" s="87"/>
      <c r="H57" s="302">
        <f>IF(Score!T57="", "",Score!T57 )</f>
        <v>11</v>
      </c>
      <c r="I57" s="717"/>
      <c r="J57" s="718"/>
      <c r="K57" s="87"/>
    </row>
    <row r="58" ht="12.75" customHeight="1">
      <c r="A58" s="227">
        <f>IF(Score!A58="", "",Score!A58 )</f>
        <v>12</v>
      </c>
      <c r="B58" s="715"/>
      <c r="C58" s="716"/>
      <c r="D58" s="87"/>
      <c r="H58" s="300">
        <f>IF(Score!T58="", "",Score!T58 )</f>
        <v>12</v>
      </c>
      <c r="I58" s="715"/>
      <c r="J58" s="716"/>
      <c r="K58" s="87"/>
    </row>
    <row r="59" ht="12.75" customHeight="1">
      <c r="A59" s="239">
        <f>IF(Score!A59="", "",Score!A59 )</f>
        <v>13</v>
      </c>
      <c r="B59" s="717"/>
      <c r="C59" s="718"/>
      <c r="D59" s="87"/>
      <c r="H59" s="302">
        <f>IF(Score!T59="", "",Score!T59 )</f>
        <v>13</v>
      </c>
      <c r="I59" s="717"/>
      <c r="J59" s="718"/>
      <c r="K59" s="87"/>
    </row>
    <row r="60" ht="12.75" customHeight="1">
      <c r="A60" s="227" t="str">
        <f>IF(Score!A60="", "",Score!A60 )</f>
        <v>SP</v>
      </c>
      <c r="B60" s="715"/>
      <c r="C60" s="716"/>
      <c r="D60" s="87"/>
      <c r="H60" s="300" t="str">
        <f>IF(Score!T60="", "",Score!T60 )</f>
        <v>SP*</v>
      </c>
      <c r="I60" s="715"/>
      <c r="J60" s="716"/>
      <c r="K60" s="87"/>
    </row>
    <row r="61" ht="12.75" customHeight="1">
      <c r="A61" s="239">
        <f>IF(Score!A61="", "",Score!A61 )</f>
        <v>14</v>
      </c>
      <c r="B61" s="717"/>
      <c r="C61" s="718"/>
      <c r="D61" s="87"/>
      <c r="H61" s="302">
        <f>IF(Score!T61="", "",Score!T61 )</f>
        <v>14</v>
      </c>
      <c r="I61" s="717"/>
      <c r="J61" s="718"/>
      <c r="K61" s="87"/>
    </row>
    <row r="62" ht="12.75" customHeight="1">
      <c r="A62" s="227" t="str">
        <f>IF(Score!A62="", "",Score!A62 )</f>
        <v>SP</v>
      </c>
      <c r="B62" s="715"/>
      <c r="C62" s="716"/>
      <c r="D62" s="87"/>
      <c r="H62" s="300" t="str">
        <f>IF(Score!T62="", "",Score!T62 )</f>
        <v>SP*</v>
      </c>
      <c r="I62" s="715"/>
      <c r="J62" s="716"/>
      <c r="K62" s="87"/>
    </row>
    <row r="63" ht="12.75" customHeight="1">
      <c r="A63" s="239">
        <f>IF(Score!A63="", "",Score!A63 )</f>
        <v>15</v>
      </c>
      <c r="B63" s="717"/>
      <c r="C63" s="718"/>
      <c r="D63" s="87"/>
      <c r="H63" s="302">
        <f>IF(Score!T63="", "",Score!T63 )</f>
        <v>15</v>
      </c>
      <c r="I63" s="717"/>
      <c r="J63" s="718"/>
      <c r="K63" s="87"/>
    </row>
    <row r="64" ht="12.75" customHeight="1">
      <c r="A64" s="227">
        <f>IF(Score!A64="", "",Score!A64 )</f>
        <v>16</v>
      </c>
      <c r="B64" s="715"/>
      <c r="C64" s="716"/>
      <c r="D64" s="87"/>
      <c r="H64" s="300">
        <f>IF(Score!T64="", "",Score!T64 )</f>
        <v>16</v>
      </c>
      <c r="I64" s="715"/>
      <c r="J64" s="716"/>
      <c r="K64" s="87"/>
    </row>
    <row r="65" ht="12.75" customHeight="1">
      <c r="A65" s="239">
        <f>IF(Score!A65="", "",Score!A65 )</f>
        <v>17</v>
      </c>
      <c r="B65" s="717"/>
      <c r="C65" s="718"/>
      <c r="D65" s="87"/>
      <c r="H65" s="302">
        <f>IF(Score!T65="", "",Score!T65 )</f>
        <v>17</v>
      </c>
      <c r="I65" s="717"/>
      <c r="J65" s="718"/>
      <c r="K65" s="87"/>
    </row>
    <row r="66" ht="12.75" customHeight="1">
      <c r="A66" s="227">
        <f>IF(Score!A66="", "",Score!A66 )</f>
        <v>18</v>
      </c>
      <c r="B66" s="715"/>
      <c r="C66" s="716"/>
      <c r="D66" s="87"/>
      <c r="H66" s="300">
        <f>IF(Score!T66="", "",Score!T66 )</f>
        <v>18</v>
      </c>
      <c r="I66" s="715"/>
      <c r="J66" s="716"/>
      <c r="K66" s="87"/>
    </row>
    <row r="67" ht="12.75" customHeight="1">
      <c r="A67" s="239">
        <f>IF(Score!A67="", "",Score!A67 )</f>
        <v>19</v>
      </c>
      <c r="B67" s="717"/>
      <c r="C67" s="718"/>
      <c r="D67" s="87"/>
      <c r="H67" s="302">
        <f>IF(Score!T67="", "",Score!T67 )</f>
        <v>19</v>
      </c>
      <c r="I67" s="717"/>
      <c r="J67" s="718"/>
      <c r="K67" s="87"/>
    </row>
    <row r="68" ht="12.75" customHeight="1">
      <c r="A68" s="227">
        <f>IF(Score!A68="", "",Score!A68 )</f>
        <v>20</v>
      </c>
      <c r="B68" s="715"/>
      <c r="C68" s="716"/>
      <c r="D68" s="87"/>
      <c r="H68" s="300">
        <f>IF(Score!T68="", "",Score!T68 )</f>
        <v>20</v>
      </c>
      <c r="I68" s="715"/>
      <c r="J68" s="716"/>
      <c r="K68" s="87"/>
    </row>
    <row r="69" ht="12.75" customHeight="1">
      <c r="A69" s="239">
        <f>IF(Score!A69="", "",Score!A69 )</f>
        <v>21</v>
      </c>
      <c r="B69" s="717"/>
      <c r="C69" s="718"/>
      <c r="D69" s="87"/>
      <c r="H69" s="302">
        <f>IF(Score!T69="", "",Score!T69 )</f>
        <v>21</v>
      </c>
      <c r="I69" s="717"/>
      <c r="J69" s="718"/>
      <c r="K69" s="87"/>
    </row>
    <row r="70" ht="12.75" customHeight="1">
      <c r="A70" s="227" t="str">
        <f>IF(Score!A70="", "",Score!A70 )</f>
        <v>SP*</v>
      </c>
      <c r="B70" s="715"/>
      <c r="C70" s="716"/>
      <c r="D70" s="87"/>
      <c r="H70" s="300" t="str">
        <f>IF(Score!T70="", "",Score!T70 )</f>
        <v>SP</v>
      </c>
      <c r="I70" s="715"/>
      <c r="J70" s="716"/>
      <c r="K70" s="87"/>
    </row>
    <row r="71" ht="12.75" customHeight="1">
      <c r="A71" s="239">
        <f>IF(Score!A71="", "",Score!A71 )</f>
        <v>22</v>
      </c>
      <c r="B71" s="717"/>
      <c r="C71" s="718"/>
      <c r="D71" s="87"/>
      <c r="H71" s="302">
        <f>IF(Score!T71="", "",Score!T71 )</f>
        <v>22</v>
      </c>
      <c r="I71" s="717"/>
      <c r="J71" s="718"/>
      <c r="K71" s="87"/>
    </row>
    <row r="72" ht="12.75" customHeight="1">
      <c r="A72" s="227">
        <f>IF(Score!A72="", "",Score!A72 )</f>
        <v>23</v>
      </c>
      <c r="B72" s="715"/>
      <c r="C72" s="716"/>
      <c r="D72" s="87"/>
      <c r="H72" s="300">
        <f>IF(Score!T72="", "",Score!T72 )</f>
        <v>23</v>
      </c>
      <c r="I72" s="715"/>
      <c r="J72" s="716"/>
      <c r="K72" s="87"/>
    </row>
    <row r="73" ht="12.75" customHeight="1">
      <c r="A73" s="239" t="str">
        <f>IF(Score!A73="", "",Score!A73 )</f>
        <v/>
      </c>
      <c r="B73" s="717"/>
      <c r="C73" s="718"/>
      <c r="D73" s="87"/>
      <c r="H73" s="239" t="str">
        <f>IF(Score!T73="", "",Score!T73 )</f>
        <v/>
      </c>
      <c r="I73" s="717"/>
      <c r="J73" s="718"/>
      <c r="K73" s="87"/>
    </row>
    <row r="74" ht="12.75" customHeight="1">
      <c r="A74" s="227" t="str">
        <f>IF(Score!A74="", "",Score!A74 )</f>
        <v/>
      </c>
      <c r="B74" s="715"/>
      <c r="C74" s="716"/>
      <c r="D74" s="87"/>
      <c r="H74" s="227" t="str">
        <f>IF(Score!T74="", "",Score!T74 )</f>
        <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Tiger Bay Brawlers / Challengers</v>
      </c>
      <c r="B1" s="204"/>
      <c r="C1" s="204"/>
      <c r="D1" s="204"/>
      <c r="E1" s="204"/>
      <c r="F1" s="204"/>
      <c r="G1" s="205"/>
      <c r="H1" s="206" t="str">
        <f>IF(ISBLANK(IGRF!$B$12), "", IGRF!$B$12)</f>
        <v>Orange</v>
      </c>
      <c r="I1" s="151"/>
      <c r="J1" s="313">
        <f>IF(ISBLANK(IGRF!$B$7), "", IGRF!$B$7)</f>
        <v>45220</v>
      </c>
      <c r="K1" s="210"/>
      <c r="L1" s="208"/>
      <c r="M1" s="151"/>
      <c r="N1" s="151"/>
      <c r="O1" s="151"/>
      <c r="P1" s="151"/>
      <c r="Q1" s="151"/>
      <c r="R1" s="312" t="str">
        <f>Score!$T$1</f>
        <v>Dublin Roller Derby / The Be Grands</v>
      </c>
      <c r="S1" s="204"/>
      <c r="T1" s="204"/>
      <c r="U1" s="204"/>
      <c r="V1" s="204"/>
      <c r="W1" s="204"/>
      <c r="X1" s="205"/>
      <c r="Y1" s="206" t="str">
        <f>IF(ISBLANK(IGRF!$I$12), "", IGRF!$I$12)</f>
        <v>Blue</v>
      </c>
      <c r="Z1" s="151"/>
      <c r="AA1" s="313">
        <f>IF(ISBLANK(IGRF!$B$7), "", IGRF!$B$7)</f>
        <v>45220</v>
      </c>
      <c r="AB1" s="210"/>
      <c r="AC1" s="208"/>
      <c r="AD1" s="151"/>
      <c r="AE1" s="151"/>
      <c r="AF1" s="151"/>
      <c r="AG1" s="151"/>
      <c r="AH1" s="151"/>
    </row>
    <row r="2" ht="11.25" customHeight="1">
      <c r="A2" s="213"/>
      <c r="B2" s="20"/>
      <c r="C2" s="20"/>
      <c r="D2" s="20"/>
      <c r="E2" s="20"/>
      <c r="F2" s="20"/>
      <c r="G2" s="156"/>
      <c r="H2" s="727" t="s">
        <v>200</v>
      </c>
      <c r="I2" s="71"/>
      <c r="J2" s="728" t="s">
        <v>201</v>
      </c>
      <c r="K2" s="72"/>
      <c r="L2" s="729" t="s">
        <v>175</v>
      </c>
      <c r="M2" s="147"/>
      <c r="N2" s="147"/>
      <c r="O2" s="147"/>
      <c r="P2" s="147"/>
      <c r="Q2" s="730" t="str">
        <f>IF(ISBLANK(IGRF!$L$3), "", "GAME " &amp; IGRF!$L$3)</f>
        <v>GAME 1</v>
      </c>
      <c r="R2" s="213"/>
      <c r="S2" s="20"/>
      <c r="T2" s="20"/>
      <c r="U2" s="20"/>
      <c r="V2" s="20"/>
      <c r="W2" s="20"/>
      <c r="X2" s="156"/>
      <c r="Y2" s="727" t="s">
        <v>200</v>
      </c>
      <c r="Z2" s="71"/>
      <c r="AA2" s="728" t="s">
        <v>201</v>
      </c>
      <c r="AB2" s="72"/>
      <c r="AC2" s="729" t="s">
        <v>175</v>
      </c>
      <c r="AD2" s="147"/>
      <c r="AE2" s="147"/>
      <c r="AF2" s="147"/>
      <c r="AG2" s="147"/>
      <c r="AH2" s="730" t="str">
        <f t="shared" ref="AH2:AH3" si="1">Q2</f>
        <v>GAME 1</v>
      </c>
    </row>
    <row r="3" ht="25.5" customHeight="1">
      <c r="A3" s="731" t="s">
        <v>365</v>
      </c>
      <c r="B3" s="732" t="s">
        <v>366</v>
      </c>
      <c r="C3" s="733" t="s">
        <v>367</v>
      </c>
      <c r="D3" s="732" t="s">
        <v>368</v>
      </c>
      <c r="E3" s="732" t="s">
        <v>369</v>
      </c>
      <c r="F3" s="732" t="s">
        <v>370</v>
      </c>
      <c r="G3" s="732" t="s">
        <v>371</v>
      </c>
      <c r="H3" s="732" t="s">
        <v>372</v>
      </c>
      <c r="I3" s="732" t="s">
        <v>373</v>
      </c>
      <c r="J3" s="734" t="s">
        <v>374</v>
      </c>
      <c r="K3" s="45"/>
      <c r="L3" s="46"/>
      <c r="M3" s="419"/>
      <c r="N3" s="735" t="s">
        <v>366</v>
      </c>
      <c r="O3" s="55"/>
      <c r="P3" s="419"/>
      <c r="Q3" s="736" t="s">
        <v>357</v>
      </c>
      <c r="R3" s="731" t="s">
        <v>365</v>
      </c>
      <c r="S3" s="732" t="s">
        <v>366</v>
      </c>
      <c r="T3" s="733" t="s">
        <v>367</v>
      </c>
      <c r="U3" s="732" t="s">
        <v>368</v>
      </c>
      <c r="V3" s="732" t="s">
        <v>369</v>
      </c>
      <c r="W3" s="732" t="s">
        <v>370</v>
      </c>
      <c r="X3" s="732" t="s">
        <v>371</v>
      </c>
      <c r="Y3" s="732" t="s">
        <v>372</v>
      </c>
      <c r="Z3" s="732" t="s">
        <v>373</v>
      </c>
      <c r="AA3" s="734" t="s">
        <v>374</v>
      </c>
      <c r="AB3" s="45"/>
      <c r="AC3" s="46"/>
      <c r="AD3" s="419"/>
      <c r="AE3" s="735" t="s">
        <v>366</v>
      </c>
      <c r="AF3" s="55"/>
      <c r="AG3" s="419"/>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04</v>
      </c>
      <c r="R4" s="737"/>
      <c r="S4" s="738"/>
      <c r="T4" s="738"/>
      <c r="U4" s="739"/>
      <c r="V4" s="740"/>
      <c r="W4" s="739"/>
      <c r="X4" s="738"/>
      <c r="Y4" s="738"/>
      <c r="Z4" s="738"/>
      <c r="AA4" s="739"/>
      <c r="AB4" s="739"/>
      <c r="AC4" s="741"/>
      <c r="AD4" s="43"/>
      <c r="AE4" s="655">
        <v>1.0</v>
      </c>
      <c r="AF4" s="655">
        <f t="shared" ref="AF4:AF28" si="3">AE4</f>
        <v>1</v>
      </c>
      <c r="AG4" s="43"/>
      <c r="AH4" s="742" t="str">
        <f>IF(IGRF!I14="","",IGRF!I14)</f>
        <v>040</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16</v>
      </c>
      <c r="R6" s="737"/>
      <c r="S6" s="738"/>
      <c r="T6" s="738"/>
      <c r="U6" s="739"/>
      <c r="V6" s="740"/>
      <c r="W6" s="739"/>
      <c r="X6" s="738"/>
      <c r="Y6" s="738"/>
      <c r="Z6" s="738"/>
      <c r="AA6" s="739"/>
      <c r="AB6" s="739"/>
      <c r="AC6" s="741"/>
      <c r="AD6" s="43"/>
      <c r="AE6" s="655">
        <f t="shared" si="5"/>
        <v>3</v>
      </c>
      <c r="AF6" s="655">
        <f t="shared" si="3"/>
        <v>3</v>
      </c>
      <c r="AG6" s="43"/>
      <c r="AH6" s="742" t="str">
        <f>IF(IGRF!I15="","",IGRF!I15)</f>
        <v>101</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177</v>
      </c>
      <c r="R8" s="737"/>
      <c r="S8" s="738"/>
      <c r="T8" s="738"/>
      <c r="U8" s="739"/>
      <c r="V8" s="740"/>
      <c r="W8" s="739"/>
      <c r="X8" s="738"/>
      <c r="Y8" s="738"/>
      <c r="Z8" s="738"/>
      <c r="AA8" s="739"/>
      <c r="AB8" s="739"/>
      <c r="AC8" s="741"/>
      <c r="AD8" s="43"/>
      <c r="AE8" s="655">
        <f t="shared" si="5"/>
        <v>5</v>
      </c>
      <c r="AF8" s="655">
        <f t="shared" si="3"/>
        <v>5</v>
      </c>
      <c r="AG8" s="43"/>
      <c r="AH8" s="742" t="str">
        <f>IF(IGRF!I16="","",IGRF!I16)</f>
        <v>11</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215</v>
      </c>
      <c r="R10" s="737"/>
      <c r="S10" s="738"/>
      <c r="T10" s="738"/>
      <c r="U10" s="739"/>
      <c r="V10" s="740"/>
      <c r="W10" s="739"/>
      <c r="X10" s="738"/>
      <c r="Y10" s="738"/>
      <c r="Z10" s="738"/>
      <c r="AA10" s="739"/>
      <c r="AB10" s="739"/>
      <c r="AC10" s="741"/>
      <c r="AD10" s="43"/>
      <c r="AE10" s="655">
        <f t="shared" si="5"/>
        <v>7</v>
      </c>
      <c r="AF10" s="655">
        <f t="shared" si="3"/>
        <v>7</v>
      </c>
      <c r="AG10" s="43"/>
      <c r="AH10" s="742" t="str">
        <f>IF(IGRF!I17="","",IGRF!I17)</f>
        <v>33</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27</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1337</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271</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150</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220</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16</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3556</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3110</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360</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333</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40</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4</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42</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42</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44</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48</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45</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167</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48</v>
      </c>
      <c r="R30" s="737"/>
      <c r="S30" s="738"/>
      <c r="T30" s="738"/>
      <c r="U30" s="739"/>
      <c r="V30" s="740"/>
      <c r="W30" s="739"/>
      <c r="X30" s="738"/>
      <c r="Y30" s="738"/>
      <c r="Z30" s="738"/>
      <c r="AA30" s="739"/>
      <c r="AB30" s="739"/>
      <c r="AC30" s="741"/>
      <c r="AD30" s="43"/>
      <c r="AE30" s="655">
        <v>27.0</v>
      </c>
      <c r="AF30" s="655">
        <v>27.0</v>
      </c>
      <c r="AG30" s="43"/>
      <c r="AH30" s="742" t="str">
        <f>IF(IGRF!I27="","",IGRF!I27)</f>
        <v>602</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565</v>
      </c>
      <c r="R32" s="737"/>
      <c r="S32" s="738"/>
      <c r="T32" s="738"/>
      <c r="U32" s="739"/>
      <c r="V32" s="740"/>
      <c r="W32" s="739"/>
      <c r="X32" s="738"/>
      <c r="Y32" s="738"/>
      <c r="Z32" s="738"/>
      <c r="AA32" s="739"/>
      <c r="AB32" s="739"/>
      <c r="AC32" s="741"/>
      <c r="AD32" s="43"/>
      <c r="AE32" s="655">
        <v>29.0</v>
      </c>
      <c r="AF32" s="655">
        <v>29.0</v>
      </c>
      <c r="AG32" s="43"/>
      <c r="AH32" s="742" t="str">
        <f>IF(IGRF!I28="","",IGRF!I28)</f>
        <v>777</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50</v>
      </c>
      <c r="R34" s="737"/>
      <c r="S34" s="738"/>
      <c r="T34" s="738"/>
      <c r="U34" s="739"/>
      <c r="V34" s="740"/>
      <c r="W34" s="739"/>
      <c r="X34" s="738"/>
      <c r="Y34" s="738"/>
      <c r="Z34" s="738"/>
      <c r="AA34" s="739"/>
      <c r="AB34" s="739"/>
      <c r="AC34" s="741"/>
      <c r="AD34" s="43"/>
      <c r="AE34" s="655">
        <v>31.0</v>
      </c>
      <c r="AF34" s="655">
        <v>31.0</v>
      </c>
      <c r="AG34" s="43"/>
      <c r="AH34" s="742" t="str">
        <f>IF(IGRF!I29="","",IGRF!I29)</f>
        <v>88</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2" t="str">
        <f>IF(IGRF!B30="","",IGRF!B30)</f>
        <v>808</v>
      </c>
      <c r="R36" s="737"/>
      <c r="S36" s="738"/>
      <c r="T36" s="738"/>
      <c r="U36" s="739"/>
      <c r="V36" s="740"/>
      <c r="W36" s="739"/>
      <c r="X36" s="738"/>
      <c r="Y36" s="738"/>
      <c r="Z36" s="738"/>
      <c r="AA36" s="739"/>
      <c r="AB36" s="739"/>
      <c r="AC36" s="741"/>
      <c r="AD36" s="43"/>
      <c r="AE36" s="655">
        <v>33.0</v>
      </c>
      <c r="AF36" s="655">
        <v>33.0</v>
      </c>
      <c r="AG36" s="43"/>
      <c r="AH36" s="747" t="str">
        <f>IF(IGRF!I30="","",IGRF!I30)</f>
        <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2" t="str">
        <f>IF(IGRF!B31="","",IGRF!B31)</f>
        <v>912</v>
      </c>
      <c r="R38" s="737"/>
      <c r="S38" s="738"/>
      <c r="T38" s="738"/>
      <c r="U38" s="739"/>
      <c r="V38" s="740"/>
      <c r="W38" s="739"/>
      <c r="X38" s="738"/>
      <c r="Y38" s="738"/>
      <c r="Z38" s="738"/>
      <c r="AA38" s="739"/>
      <c r="AB38" s="739"/>
      <c r="AC38" s="741"/>
      <c r="AD38" s="43"/>
      <c r="AE38" s="655">
        <v>35.0</v>
      </c>
      <c r="AF38" s="655">
        <v>35.0</v>
      </c>
      <c r="AG38" s="43"/>
      <c r="AH38" s="747" t="str">
        <f>IF(IGRF!I31="","",IGRF!I31)</f>
        <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2" t="str">
        <f>IF(IGRF!B32="","",IGRF!B32)</f>
        <v>93</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9"/>
      <c r="O42" s="419"/>
      <c r="P42" s="43"/>
      <c r="Q42" s="742" t="str">
        <f>IF(IGRF!B33="","",IGRF!B33)</f>
        <v>999</v>
      </c>
      <c r="R42" s="737"/>
      <c r="S42" s="738"/>
      <c r="T42" s="738"/>
      <c r="U42" s="739"/>
      <c r="V42" s="740"/>
      <c r="W42" s="739"/>
      <c r="X42" s="738"/>
      <c r="Y42" s="738"/>
      <c r="Z42" s="738"/>
      <c r="AA42" s="739"/>
      <c r="AB42" s="739"/>
      <c r="AC42" s="741"/>
      <c r="AD42" s="43"/>
      <c r="AE42" s="419"/>
      <c r="AF42" s="419"/>
      <c r="AG42" s="43"/>
      <c r="AH42" s="747" t="str">
        <f>IF(IGRF!I33="","",IGRF!I33)</f>
        <v/>
      </c>
    </row>
    <row r="43" ht="24.75" customHeight="1">
      <c r="A43" s="748"/>
      <c r="B43" s="749"/>
      <c r="C43" s="749"/>
      <c r="D43" s="371"/>
      <c r="E43" s="750"/>
      <c r="F43" s="371"/>
      <c r="G43" s="749"/>
      <c r="H43" s="749"/>
      <c r="I43" s="749"/>
      <c r="J43" s="371"/>
      <c r="K43" s="371"/>
      <c r="L43" s="375"/>
      <c r="M43" s="751"/>
      <c r="N43" s="419"/>
      <c r="O43" s="419"/>
      <c r="P43" s="43"/>
      <c r="Q43" s="752"/>
      <c r="R43" s="748"/>
      <c r="S43" s="749"/>
      <c r="T43" s="749"/>
      <c r="U43" s="371"/>
      <c r="V43" s="750"/>
      <c r="W43" s="371"/>
      <c r="X43" s="749"/>
      <c r="Y43" s="749"/>
      <c r="Z43" s="749"/>
      <c r="AA43" s="371"/>
      <c r="AB43" s="371"/>
      <c r="AC43" s="375"/>
      <c r="AD43" s="43"/>
      <c r="AE43" s="419"/>
      <c r="AF43" s="419"/>
      <c r="AG43" s="43"/>
      <c r="AH43" s="753"/>
    </row>
    <row r="44" ht="30.0" customHeight="1">
      <c r="A44" s="312" t="str">
        <f>A1</f>
        <v>Tiger Bay Brawlers / Challengers</v>
      </c>
      <c r="B44" s="204"/>
      <c r="C44" s="204"/>
      <c r="D44" s="204"/>
      <c r="E44" s="204"/>
      <c r="F44" s="204"/>
      <c r="G44" s="205"/>
      <c r="H44" s="206" t="str">
        <f>H1</f>
        <v>Orange</v>
      </c>
      <c r="I44" s="151"/>
      <c r="J44" s="313">
        <f>IF(ISBLANK(IGRF!$B$7), "", IGRF!$B$7)</f>
        <v>45220</v>
      </c>
      <c r="K44" s="210"/>
      <c r="L44" s="208"/>
      <c r="M44" s="151"/>
      <c r="N44" s="151"/>
      <c r="O44" s="151"/>
      <c r="P44" s="151"/>
      <c r="Q44" s="151"/>
      <c r="R44" s="312" t="str">
        <f>R1</f>
        <v>Dublin Roller Derby / The Be Grands</v>
      </c>
      <c r="S44" s="204"/>
      <c r="T44" s="204"/>
      <c r="U44" s="204"/>
      <c r="V44" s="204"/>
      <c r="W44" s="204"/>
      <c r="X44" s="205"/>
      <c r="Y44" s="206" t="str">
        <f>Y1</f>
        <v>Blue</v>
      </c>
      <c r="Z44" s="151"/>
      <c r="AA44" s="313">
        <f>IF(ISBLANK(IGRF!$B$7), "", IGRF!$B$7)</f>
        <v>45220</v>
      </c>
      <c r="AB44" s="210"/>
      <c r="AC44" s="208"/>
      <c r="AD44" s="151"/>
      <c r="AE44" s="151"/>
      <c r="AF44" s="151"/>
      <c r="AG44" s="151"/>
      <c r="AH44" s="151"/>
    </row>
    <row r="45" ht="11.25" customHeight="1">
      <c r="A45" s="213"/>
      <c r="B45" s="20"/>
      <c r="C45" s="20"/>
      <c r="D45" s="20"/>
      <c r="E45" s="20"/>
      <c r="F45" s="20"/>
      <c r="G45" s="156"/>
      <c r="H45" s="754" t="s">
        <v>200</v>
      </c>
      <c r="I45" s="20"/>
      <c r="J45" s="755" t="s">
        <v>201</v>
      </c>
      <c r="K45" s="40"/>
      <c r="L45" s="729" t="s">
        <v>175</v>
      </c>
      <c r="M45" s="147"/>
      <c r="N45" s="147"/>
      <c r="O45" s="147"/>
      <c r="P45" s="147"/>
      <c r="Q45" s="730" t="str">
        <f t="shared" ref="Q45:Q47" si="6">Q2</f>
        <v>GAME 1</v>
      </c>
      <c r="R45" s="213"/>
      <c r="S45" s="20"/>
      <c r="T45" s="20"/>
      <c r="U45" s="20"/>
      <c r="V45" s="20"/>
      <c r="W45" s="20"/>
      <c r="X45" s="156"/>
      <c r="Y45" s="754" t="s">
        <v>200</v>
      </c>
      <c r="Z45" s="20"/>
      <c r="AA45" s="728" t="s">
        <v>201</v>
      </c>
      <c r="AB45" s="72"/>
      <c r="AC45" s="729" t="s">
        <v>175</v>
      </c>
      <c r="AD45" s="147"/>
      <c r="AE45" s="147"/>
      <c r="AF45" s="147"/>
      <c r="AG45" s="147"/>
      <c r="AH45" s="730" t="str">
        <f>Q2</f>
        <v>GAME 1</v>
      </c>
    </row>
    <row r="46" ht="25.5" customHeight="1">
      <c r="A46" s="731" t="s">
        <v>365</v>
      </c>
      <c r="B46" s="732" t="s">
        <v>366</v>
      </c>
      <c r="C46" s="733" t="s">
        <v>367</v>
      </c>
      <c r="D46" s="732" t="s">
        <v>368</v>
      </c>
      <c r="E46" s="732" t="s">
        <v>369</v>
      </c>
      <c r="F46" s="732" t="s">
        <v>370</v>
      </c>
      <c r="G46" s="732" t="s">
        <v>371</v>
      </c>
      <c r="H46" s="732" t="s">
        <v>372</v>
      </c>
      <c r="I46" s="732" t="s">
        <v>373</v>
      </c>
      <c r="J46" s="734" t="s">
        <v>374</v>
      </c>
      <c r="K46" s="45"/>
      <c r="L46" s="46"/>
      <c r="M46" s="419"/>
      <c r="N46" s="735" t="s">
        <v>366</v>
      </c>
      <c r="O46" s="55"/>
      <c r="P46" s="419"/>
      <c r="Q46" s="736" t="str">
        <f t="shared" si="6"/>
        <v>Total Penalties</v>
      </c>
      <c r="R46" s="731" t="s">
        <v>365</v>
      </c>
      <c r="S46" s="732" t="s">
        <v>366</v>
      </c>
      <c r="T46" s="733" t="s">
        <v>367</v>
      </c>
      <c r="U46" s="732" t="s">
        <v>368</v>
      </c>
      <c r="V46" s="732" t="s">
        <v>369</v>
      </c>
      <c r="W46" s="732" t="s">
        <v>370</v>
      </c>
      <c r="X46" s="732" t="s">
        <v>371</v>
      </c>
      <c r="Y46" s="732" t="s">
        <v>372</v>
      </c>
      <c r="Z46" s="732" t="s">
        <v>373</v>
      </c>
      <c r="AA46" s="734" t="s">
        <v>374</v>
      </c>
      <c r="AB46" s="45"/>
      <c r="AC46" s="46"/>
      <c r="AD46" s="419"/>
      <c r="AE46" s="735" t="s">
        <v>366</v>
      </c>
      <c r="AF46" s="55"/>
      <c r="AG46" s="419"/>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04</v>
      </c>
      <c r="R47" s="737"/>
      <c r="S47" s="738"/>
      <c r="T47" s="738"/>
      <c r="U47" s="739"/>
      <c r="V47" s="740"/>
      <c r="W47" s="739"/>
      <c r="X47" s="738"/>
      <c r="Y47" s="738"/>
      <c r="Z47" s="738"/>
      <c r="AA47" s="739"/>
      <c r="AB47" s="739"/>
      <c r="AC47" s="741"/>
      <c r="AD47" s="43"/>
      <c r="AE47" s="655">
        <v>1.0</v>
      </c>
      <c r="AF47" s="655">
        <f t="shared" ref="AF47:AF71" si="9">AE47</f>
        <v>1</v>
      </c>
      <c r="AG47" s="43"/>
      <c r="AH47" s="742" t="str">
        <f t="shared" si="7"/>
        <v>040</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16</v>
      </c>
      <c r="R49" s="737"/>
      <c r="S49" s="738"/>
      <c r="T49" s="738"/>
      <c r="U49" s="739"/>
      <c r="V49" s="740"/>
      <c r="W49" s="739"/>
      <c r="X49" s="738"/>
      <c r="Y49" s="738"/>
      <c r="Z49" s="738"/>
      <c r="AA49" s="739"/>
      <c r="AB49" s="739"/>
      <c r="AC49" s="741"/>
      <c r="AD49" s="43"/>
      <c r="AE49" s="655">
        <f t="shared" si="11"/>
        <v>3</v>
      </c>
      <c r="AF49" s="655">
        <f t="shared" si="9"/>
        <v>3</v>
      </c>
      <c r="AG49" s="43"/>
      <c r="AH49" s="742" t="str">
        <f>AH6</f>
        <v>101</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177</v>
      </c>
      <c r="R51" s="737"/>
      <c r="S51" s="738"/>
      <c r="T51" s="738"/>
      <c r="U51" s="739"/>
      <c r="V51" s="740"/>
      <c r="W51" s="739"/>
      <c r="X51" s="738"/>
      <c r="Y51" s="738"/>
      <c r="Z51" s="738"/>
      <c r="AA51" s="739"/>
      <c r="AB51" s="739"/>
      <c r="AC51" s="741"/>
      <c r="AD51" s="43"/>
      <c r="AE51" s="655">
        <f t="shared" si="11"/>
        <v>5</v>
      </c>
      <c r="AF51" s="655">
        <f t="shared" si="9"/>
        <v>5</v>
      </c>
      <c r="AG51" s="43"/>
      <c r="AH51" s="742" t="str">
        <f>AH8</f>
        <v>11</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215</v>
      </c>
      <c r="R53" s="737"/>
      <c r="S53" s="738"/>
      <c r="T53" s="738"/>
      <c r="U53" s="739"/>
      <c r="V53" s="740"/>
      <c r="W53" s="739"/>
      <c r="X53" s="738"/>
      <c r="Y53" s="738"/>
      <c r="Z53" s="738"/>
      <c r="AA53" s="739"/>
      <c r="AB53" s="739"/>
      <c r="AC53" s="741"/>
      <c r="AD53" s="43"/>
      <c r="AE53" s="655">
        <f t="shared" si="11"/>
        <v>7</v>
      </c>
      <c r="AF53" s="655">
        <f t="shared" si="9"/>
        <v>7</v>
      </c>
      <c r="AG53" s="43"/>
      <c r="AH53" s="742" t="str">
        <f>AH10</f>
        <v>33</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27</v>
      </c>
      <c r="R55" s="737"/>
      <c r="S55" s="738"/>
      <c r="T55" s="738"/>
      <c r="U55" s="739"/>
      <c r="V55" s="740"/>
      <c r="W55" s="739"/>
      <c r="X55" s="738"/>
      <c r="Y55" s="738"/>
      <c r="Z55" s="738"/>
      <c r="AA55" s="739"/>
      <c r="AB55" s="739"/>
      <c r="AC55" s="741"/>
      <c r="AD55" s="43"/>
      <c r="AE55" s="655">
        <f t="shared" si="11"/>
        <v>9</v>
      </c>
      <c r="AF55" s="655">
        <f t="shared" si="9"/>
        <v>9</v>
      </c>
      <c r="AG55" s="43"/>
      <c r="AH55" s="742" t="str">
        <f>AH12</f>
        <v>1337</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271</v>
      </c>
      <c r="R57" s="737"/>
      <c r="S57" s="738"/>
      <c r="T57" s="738"/>
      <c r="U57" s="739"/>
      <c r="V57" s="740"/>
      <c r="W57" s="739"/>
      <c r="X57" s="738"/>
      <c r="Y57" s="738"/>
      <c r="Z57" s="738"/>
      <c r="AA57" s="739"/>
      <c r="AB57" s="739"/>
      <c r="AC57" s="741"/>
      <c r="AD57" s="43"/>
      <c r="AE57" s="655">
        <f t="shared" si="11"/>
        <v>11</v>
      </c>
      <c r="AF57" s="655">
        <f t="shared" si="9"/>
        <v>11</v>
      </c>
      <c r="AG57" s="43"/>
      <c r="AH57" s="742" t="str">
        <f>AH14</f>
        <v>150</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220</v>
      </c>
      <c r="R59" s="737"/>
      <c r="S59" s="738"/>
      <c r="T59" s="738"/>
      <c r="U59" s="739"/>
      <c r="V59" s="740"/>
      <c r="W59" s="739"/>
      <c r="X59" s="738"/>
      <c r="Y59" s="738"/>
      <c r="Z59" s="738"/>
      <c r="AA59" s="739"/>
      <c r="AB59" s="739"/>
      <c r="AC59" s="741"/>
      <c r="AD59" s="43"/>
      <c r="AE59" s="655">
        <f t="shared" si="11"/>
        <v>13</v>
      </c>
      <c r="AF59" s="655">
        <f t="shared" si="9"/>
        <v>13</v>
      </c>
      <c r="AG59" s="43"/>
      <c r="AH59" s="742" t="str">
        <f>AH16</f>
        <v>16</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3556</v>
      </c>
      <c r="R61" s="737"/>
      <c r="S61" s="738"/>
      <c r="T61" s="738"/>
      <c r="U61" s="739"/>
      <c r="V61" s="740"/>
      <c r="W61" s="739"/>
      <c r="X61" s="738"/>
      <c r="Y61" s="738"/>
      <c r="Z61" s="738"/>
      <c r="AA61" s="739"/>
      <c r="AB61" s="739"/>
      <c r="AC61" s="741"/>
      <c r="AD61" s="43"/>
      <c r="AE61" s="655">
        <f t="shared" si="11"/>
        <v>15</v>
      </c>
      <c r="AF61" s="655">
        <f t="shared" si="9"/>
        <v>15</v>
      </c>
      <c r="AG61" s="43"/>
      <c r="AH61" s="742" t="str">
        <f>AH18</f>
        <v>3110</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360</v>
      </c>
      <c r="R63" s="737"/>
      <c r="S63" s="738"/>
      <c r="T63" s="738"/>
      <c r="U63" s="739"/>
      <c r="V63" s="740"/>
      <c r="W63" s="739"/>
      <c r="X63" s="738"/>
      <c r="Y63" s="738"/>
      <c r="Z63" s="738"/>
      <c r="AA63" s="739"/>
      <c r="AB63" s="739"/>
      <c r="AC63" s="741"/>
      <c r="AD63" s="43"/>
      <c r="AE63" s="655">
        <f t="shared" si="11"/>
        <v>17</v>
      </c>
      <c r="AF63" s="655">
        <f t="shared" si="9"/>
        <v>17</v>
      </c>
      <c r="AG63" s="43"/>
      <c r="AH63" s="742" t="str">
        <f>AH20</f>
        <v>333</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40</v>
      </c>
      <c r="R65" s="737"/>
      <c r="S65" s="738"/>
      <c r="T65" s="738"/>
      <c r="U65" s="739"/>
      <c r="V65" s="740"/>
      <c r="W65" s="739"/>
      <c r="X65" s="738"/>
      <c r="Y65" s="738"/>
      <c r="Z65" s="738"/>
      <c r="AA65" s="739"/>
      <c r="AB65" s="739"/>
      <c r="AC65" s="741"/>
      <c r="AD65" s="43"/>
      <c r="AE65" s="655">
        <f t="shared" si="11"/>
        <v>19</v>
      </c>
      <c r="AF65" s="655">
        <f t="shared" si="9"/>
        <v>19</v>
      </c>
      <c r="AG65" s="43"/>
      <c r="AH65" s="742" t="str">
        <f>AH22</f>
        <v>4</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42</v>
      </c>
      <c r="R67" s="737"/>
      <c r="S67" s="738"/>
      <c r="T67" s="738"/>
      <c r="U67" s="739"/>
      <c r="V67" s="740"/>
      <c r="W67" s="739"/>
      <c r="X67" s="738"/>
      <c r="Y67" s="738"/>
      <c r="Z67" s="738"/>
      <c r="AA67" s="739"/>
      <c r="AB67" s="739"/>
      <c r="AC67" s="741"/>
      <c r="AD67" s="43"/>
      <c r="AE67" s="655">
        <f t="shared" si="11"/>
        <v>21</v>
      </c>
      <c r="AF67" s="655">
        <f t="shared" si="9"/>
        <v>21</v>
      </c>
      <c r="AG67" s="43"/>
      <c r="AH67" s="742" t="str">
        <f>AH24</f>
        <v>42</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44</v>
      </c>
      <c r="R69" s="737"/>
      <c r="S69" s="738"/>
      <c r="T69" s="738"/>
      <c r="U69" s="739"/>
      <c r="V69" s="740"/>
      <c r="W69" s="739"/>
      <c r="X69" s="738"/>
      <c r="Y69" s="738"/>
      <c r="Z69" s="738"/>
      <c r="AA69" s="739"/>
      <c r="AB69" s="739"/>
      <c r="AC69" s="741"/>
      <c r="AD69" s="43"/>
      <c r="AE69" s="655">
        <f t="shared" si="11"/>
        <v>23</v>
      </c>
      <c r="AF69" s="655">
        <f t="shared" si="9"/>
        <v>23</v>
      </c>
      <c r="AG69" s="43"/>
      <c r="AH69" s="742" t="str">
        <f>AH26</f>
        <v>48</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45</v>
      </c>
      <c r="R71" s="737"/>
      <c r="S71" s="738"/>
      <c r="T71" s="738"/>
      <c r="U71" s="739"/>
      <c r="V71" s="740"/>
      <c r="W71" s="739"/>
      <c r="X71" s="738"/>
      <c r="Y71" s="738"/>
      <c r="Z71" s="738"/>
      <c r="AA71" s="739"/>
      <c r="AB71" s="739"/>
      <c r="AC71" s="741"/>
      <c r="AD71" s="43"/>
      <c r="AE71" s="655">
        <f t="shared" si="11"/>
        <v>25</v>
      </c>
      <c r="AF71" s="655">
        <f t="shared" si="9"/>
        <v>25</v>
      </c>
      <c r="AG71" s="43"/>
      <c r="AH71" s="742" t="str">
        <f>AH28</f>
        <v>167</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48</v>
      </c>
      <c r="R73" s="737"/>
      <c r="S73" s="738"/>
      <c r="T73" s="738"/>
      <c r="U73" s="739"/>
      <c r="V73" s="740"/>
      <c r="W73" s="739"/>
      <c r="X73" s="738"/>
      <c r="Y73" s="738"/>
      <c r="Z73" s="738"/>
      <c r="AA73" s="739"/>
      <c r="AB73" s="739"/>
      <c r="AC73" s="741"/>
      <c r="AD73" s="43"/>
      <c r="AE73" s="655">
        <v>27.0</v>
      </c>
      <c r="AF73" s="655">
        <v>27.0</v>
      </c>
      <c r="AG73" s="43"/>
      <c r="AH73" s="742" t="str">
        <f>AH30</f>
        <v>602</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565</v>
      </c>
      <c r="R75" s="737"/>
      <c r="S75" s="738"/>
      <c r="T75" s="738"/>
      <c r="U75" s="739"/>
      <c r="V75" s="740"/>
      <c r="W75" s="739"/>
      <c r="X75" s="738"/>
      <c r="Y75" s="738"/>
      <c r="Z75" s="738"/>
      <c r="AA75" s="739"/>
      <c r="AB75" s="739"/>
      <c r="AC75" s="741"/>
      <c r="AD75" s="43"/>
      <c r="AE75" s="655">
        <v>29.0</v>
      </c>
      <c r="AF75" s="655">
        <v>29.0</v>
      </c>
      <c r="AG75" s="43"/>
      <c r="AH75" s="742" t="str">
        <f>AH32</f>
        <v>777</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50</v>
      </c>
      <c r="R77" s="737"/>
      <c r="S77" s="738"/>
      <c r="T77" s="738"/>
      <c r="U77" s="739"/>
      <c r="V77" s="740"/>
      <c r="W77" s="739"/>
      <c r="X77" s="738"/>
      <c r="Y77" s="738"/>
      <c r="Z77" s="738"/>
      <c r="AA77" s="739"/>
      <c r="AB77" s="739"/>
      <c r="AC77" s="741"/>
      <c r="AD77" s="43"/>
      <c r="AE77" s="655">
        <v>31.0</v>
      </c>
      <c r="AF77" s="655">
        <v>31.0</v>
      </c>
      <c r="AG77" s="43"/>
      <c r="AH77" s="742" t="str">
        <f>AH34</f>
        <v>88</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2" t="str">
        <f>Q36</f>
        <v>808</v>
      </c>
      <c r="R79" s="737"/>
      <c r="S79" s="738"/>
      <c r="T79" s="738"/>
      <c r="U79" s="739"/>
      <c r="V79" s="740"/>
      <c r="W79" s="739"/>
      <c r="X79" s="738"/>
      <c r="Y79" s="738"/>
      <c r="Z79" s="738"/>
      <c r="AA79" s="739"/>
      <c r="AB79" s="739"/>
      <c r="AC79" s="741"/>
      <c r="AD79" s="43"/>
      <c r="AE79" s="655">
        <v>33.0</v>
      </c>
      <c r="AF79" s="655">
        <v>33.0</v>
      </c>
      <c r="AG79" s="43"/>
      <c r="AH79" s="747" t="str">
        <f>AH36</f>
        <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2" t="str">
        <f>Q38</f>
        <v>912</v>
      </c>
      <c r="R81" s="737"/>
      <c r="S81" s="738"/>
      <c r="T81" s="738"/>
      <c r="U81" s="739"/>
      <c r="V81" s="740"/>
      <c r="W81" s="739"/>
      <c r="X81" s="738"/>
      <c r="Y81" s="738"/>
      <c r="Z81" s="738"/>
      <c r="AA81" s="739"/>
      <c r="AB81" s="739"/>
      <c r="AC81" s="741"/>
      <c r="AD81" s="43"/>
      <c r="AE81" s="655">
        <v>35.0</v>
      </c>
      <c r="AF81" s="655">
        <v>35.0</v>
      </c>
      <c r="AG81" s="43"/>
      <c r="AH81" s="747" t="str">
        <f>AH38</f>
        <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2" t="str">
        <f>Q40</f>
        <v>93</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9"/>
      <c r="O85" s="419"/>
      <c r="P85" s="43"/>
      <c r="Q85" s="742" t="str">
        <f>Q42</f>
        <v>999</v>
      </c>
      <c r="R85" s="737"/>
      <c r="S85" s="738"/>
      <c r="T85" s="738"/>
      <c r="U85" s="739"/>
      <c r="V85" s="740"/>
      <c r="W85" s="739"/>
      <c r="X85" s="738"/>
      <c r="Y85" s="738"/>
      <c r="Z85" s="738"/>
      <c r="AA85" s="739"/>
      <c r="AB85" s="739"/>
      <c r="AC85" s="741"/>
      <c r="AD85" s="43"/>
      <c r="AE85" s="419"/>
      <c r="AF85" s="419"/>
      <c r="AG85" s="43"/>
      <c r="AH85" s="747" t="str">
        <f>AH42</f>
        <v/>
      </c>
    </row>
    <row r="86" ht="24.75" customHeight="1">
      <c r="A86" s="748"/>
      <c r="B86" s="749"/>
      <c r="C86" s="749"/>
      <c r="D86" s="371"/>
      <c r="E86" s="750"/>
      <c r="F86" s="371"/>
      <c r="G86" s="749"/>
      <c r="H86" s="749"/>
      <c r="I86" s="749"/>
      <c r="J86" s="371"/>
      <c r="K86" s="371"/>
      <c r="L86" s="375"/>
      <c r="M86" s="43"/>
      <c r="N86" s="419"/>
      <c r="O86" s="419"/>
      <c r="P86" s="43"/>
      <c r="Q86" s="753"/>
      <c r="R86" s="748"/>
      <c r="S86" s="749"/>
      <c r="T86" s="749"/>
      <c r="U86" s="371"/>
      <c r="V86" s="750"/>
      <c r="W86" s="371"/>
      <c r="X86" s="749"/>
      <c r="Y86" s="749"/>
      <c r="Z86" s="749"/>
      <c r="AA86" s="371"/>
      <c r="AB86" s="371"/>
      <c r="AC86" s="375"/>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Orange</v>
      </c>
      <c r="C1" s="344"/>
      <c r="D1" s="759"/>
      <c r="E1" s="757"/>
      <c r="F1" s="758" t="str">
        <f>IF(ISBLANK(IGRF!$I$12), "", IGRF!$I$12)</f>
        <v>Blue</v>
      </c>
      <c r="G1" s="344"/>
      <c r="H1" s="759"/>
      <c r="I1" s="760"/>
      <c r="J1" s="761" t="str">
        <f>IF(IGRF!L3="","","Game "&amp;IGRF!L3&amp;"  "&amp;TEXT(IGRF!B7,"dddd")&amp;" @ "&amp;TEXT(IGRF!I7,"hh:mm AM/PM"))</f>
        <v>Game 1  Saturday @ 10:25 AM</v>
      </c>
      <c r="L1" s="760"/>
      <c r="M1" s="760"/>
      <c r="N1" s="760"/>
      <c r="O1" s="760"/>
      <c r="P1" s="760"/>
      <c r="Q1" s="760"/>
      <c r="R1" s="760"/>
      <c r="S1" s="760"/>
      <c r="T1" s="760"/>
      <c r="U1" s="760"/>
      <c r="V1" s="760"/>
      <c r="W1" s="760"/>
      <c r="X1" s="760"/>
      <c r="Y1" s="760"/>
      <c r="Z1" s="760"/>
    </row>
    <row r="2" ht="21.0" customHeight="1">
      <c r="A2" s="762"/>
      <c r="B2" s="763" t="str">
        <f>Score!$A$1</f>
        <v>Tiger Bay Brawlers / Challengers</v>
      </c>
      <c r="D2" s="764"/>
      <c r="E2" s="762"/>
      <c r="F2" s="763" t="str">
        <f>Score!$T$1</f>
        <v>Dublin Roller Derby / The Be Grands</v>
      </c>
      <c r="H2" s="764"/>
      <c r="I2" s="760"/>
      <c r="J2" s="765" t="str">
        <f>IF(IGRF!B5="","",IGRF!B5)</f>
        <v>Celtic Cup</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375</v>
      </c>
      <c r="L3" s="760"/>
      <c r="M3" s="760"/>
      <c r="N3" s="760"/>
      <c r="O3" s="760"/>
      <c r="P3" s="760"/>
      <c r="Q3" s="760"/>
      <c r="R3" s="760"/>
      <c r="S3" s="760"/>
      <c r="T3" s="760"/>
      <c r="U3" s="760"/>
      <c r="V3" s="760"/>
      <c r="W3" s="760"/>
      <c r="X3" s="760"/>
      <c r="Y3" s="760"/>
      <c r="Z3" s="760"/>
    </row>
    <row r="4" ht="22.5" customHeight="1">
      <c r="A4" s="762"/>
      <c r="B4" s="766" t="str">
        <f>IF(ISBLANK(IGRF!B14),"",IGRF!B14)</f>
        <v>04</v>
      </c>
      <c r="C4" s="767" t="str">
        <f>IF(ISBLANK(IGRF!C14),"",IGRF!C14)</f>
        <v>Nina</v>
      </c>
      <c r="D4" s="764"/>
      <c r="E4" s="762"/>
      <c r="F4" s="766" t="str">
        <f>IF(ISBLANK(IGRF!I14),"",IGRF!I14)</f>
        <v>040</v>
      </c>
      <c r="G4" s="767" t="str">
        <f>IF(ISBLANK(IGRF!J14),"",IGRF!J14)</f>
        <v>Ruff Rackelhahn</v>
      </c>
      <c r="H4" s="764"/>
      <c r="I4" s="760"/>
      <c r="J4" s="767" t="str">
        <f>IF(ISBLANK(IGRF!C60), "", IGRF!C60)</f>
        <v>Lula</v>
      </c>
      <c r="K4" s="767" t="str">
        <f>IF(ISBLANK(IGRF!C80), "", IGRF!C80)</f>
        <v>Macfarlane</v>
      </c>
      <c r="L4" s="760"/>
      <c r="M4" s="760"/>
      <c r="N4" s="760"/>
      <c r="O4" s="760"/>
      <c r="P4" s="760"/>
      <c r="Q4" s="760"/>
      <c r="R4" s="760"/>
      <c r="S4" s="760"/>
      <c r="T4" s="760"/>
      <c r="U4" s="760"/>
      <c r="V4" s="760"/>
      <c r="W4" s="760"/>
      <c r="X4" s="760"/>
      <c r="Y4" s="760"/>
      <c r="Z4" s="760"/>
    </row>
    <row r="5" ht="22.5" customHeight="1">
      <c r="A5" s="762"/>
      <c r="B5" s="766" t="str">
        <f>IF(ISBLANK(IGRF!B15),"",IGRF!B15)</f>
        <v>16</v>
      </c>
      <c r="C5" s="767" t="str">
        <f>IF(ISBLANK(IGRF!C15),"",IGRF!C15)</f>
        <v>Saabor</v>
      </c>
      <c r="D5" s="764"/>
      <c r="E5" s="762"/>
      <c r="F5" s="766" t="str">
        <f>IF(ISBLANK(IGRF!I15),"",IGRF!I15)</f>
        <v>101</v>
      </c>
      <c r="G5" s="767" t="str">
        <f>IF(ISBLANK(IGRF!J15),"",IGRF!J15)</f>
        <v>Powell</v>
      </c>
      <c r="H5" s="764"/>
      <c r="I5" s="760"/>
      <c r="J5" s="767" t="str">
        <f>IF(ISBLANK(IGRF!C61), "", IGRF!C61)</f>
        <v/>
      </c>
      <c r="K5" s="767" t="str">
        <f>IF(ISBLANK(IGRF!C81), "", IGRF!C81)</f>
        <v>Razor</v>
      </c>
      <c r="L5" s="760"/>
      <c r="M5" s="760"/>
      <c r="N5" s="760"/>
      <c r="O5" s="760"/>
      <c r="P5" s="760"/>
      <c r="Q5" s="760"/>
      <c r="R5" s="760"/>
      <c r="S5" s="760"/>
      <c r="T5" s="760"/>
      <c r="U5" s="760"/>
      <c r="V5" s="760"/>
      <c r="W5" s="760"/>
      <c r="X5" s="760"/>
      <c r="Y5" s="760"/>
      <c r="Z5" s="760"/>
    </row>
    <row r="6" ht="22.5" customHeight="1">
      <c r="A6" s="762"/>
      <c r="B6" s="766" t="str">
        <f>IF(ISBLANK(IGRF!B16),"",IGRF!B16)</f>
        <v>177</v>
      </c>
      <c r="C6" s="767" t="str">
        <f>IF(ISBLANK(IGRF!C16),"",IGRF!C16)</f>
        <v>Phoenix</v>
      </c>
      <c r="D6" s="764"/>
      <c r="E6" s="762"/>
      <c r="F6" s="766" t="str">
        <f>IF(ISBLANK(IGRF!I16),"",IGRF!I16)</f>
        <v>11</v>
      </c>
      <c r="G6" s="767" t="str">
        <f>IF(ISBLANK(IGRF!J16),"",IGRF!J16)</f>
        <v>Bambi Deerdevil</v>
      </c>
      <c r="H6" s="764"/>
      <c r="I6" s="760"/>
      <c r="J6" s="767" t="str">
        <f>IF(ISBLANK(IGRF!C62), "", IGRF!C62)</f>
        <v>Gaston</v>
      </c>
      <c r="K6" s="767" t="str">
        <f>IF(ISBLANK(IGRF!C82), "", IGRF!C82)</f>
        <v>Julius Seesya</v>
      </c>
      <c r="L6" s="760"/>
      <c r="M6" s="760"/>
      <c r="N6" s="760"/>
      <c r="O6" s="760"/>
      <c r="P6" s="760"/>
      <c r="Q6" s="760"/>
      <c r="R6" s="760"/>
      <c r="S6" s="760"/>
      <c r="T6" s="760"/>
      <c r="U6" s="760"/>
      <c r="V6" s="760"/>
      <c r="W6" s="760"/>
      <c r="X6" s="760"/>
      <c r="Y6" s="760"/>
      <c r="Z6" s="760"/>
    </row>
    <row r="7" ht="22.5" customHeight="1">
      <c r="A7" s="762"/>
      <c r="B7" s="766" t="str">
        <f>IF(ISBLANK(IGRF!B17),"",IGRF!B17)</f>
        <v>215</v>
      </c>
      <c r="C7" s="767" t="str">
        <f>IF(ISBLANK(IGRF!C17),"",IGRF!C17)</f>
        <v>Pollock</v>
      </c>
      <c r="D7" s="764"/>
      <c r="E7" s="762"/>
      <c r="F7" s="766" t="str">
        <f>IF(ISBLANK(IGRF!I17),"",IGRF!I17)</f>
        <v>33</v>
      </c>
      <c r="G7" s="767" t="str">
        <f>IF(ISBLANK(IGRF!J17),"",IGRF!J17)</f>
        <v>Fox Mauler</v>
      </c>
      <c r="H7" s="764"/>
      <c r="I7" s="760"/>
      <c r="J7" s="767" t="str">
        <f>IF(ISBLANK(IGRF!C63), "", IGRF!C63)</f>
        <v/>
      </c>
      <c r="K7" s="767" t="str">
        <f>IF(ISBLANK(IGRF!C83), "", IGRF!C83)</f>
        <v>Thembo Party Killer</v>
      </c>
      <c r="L7" s="760"/>
      <c r="M7" s="760"/>
      <c r="N7" s="760"/>
      <c r="O7" s="760"/>
      <c r="P7" s="760"/>
      <c r="Q7" s="760"/>
      <c r="R7" s="760"/>
      <c r="S7" s="760"/>
      <c r="T7" s="760"/>
      <c r="U7" s="760"/>
      <c r="V7" s="760"/>
      <c r="W7" s="760"/>
      <c r="X7" s="760"/>
      <c r="Y7" s="760"/>
      <c r="Z7" s="760"/>
    </row>
    <row r="8" ht="22.5" customHeight="1">
      <c r="A8" s="762"/>
      <c r="B8" s="766" t="str">
        <f>IF(ISBLANK(IGRF!B18),"",IGRF!B18)</f>
        <v>27</v>
      </c>
      <c r="C8" s="767" t="str">
        <f>IF(ISBLANK(IGRF!C18),"",IGRF!C18)</f>
        <v>MegaHurtz</v>
      </c>
      <c r="D8" s="764"/>
      <c r="E8" s="762"/>
      <c r="F8" s="766" t="str">
        <f>IF(ISBLANK(IGRF!I18),"",IGRF!I18)</f>
        <v>1337</v>
      </c>
      <c r="G8" s="767" t="str">
        <f>IF(ISBLANK(IGRF!J18),"",IGRF!J18)</f>
        <v>8Bit Betty</v>
      </c>
      <c r="H8" s="764"/>
      <c r="I8" s="760"/>
      <c r="J8" s="767" t="str">
        <f>IF(ISBLANK(IGRF!C64), "", IGRF!C64)</f>
        <v>CassieCruel</v>
      </c>
      <c r="K8" s="767" t="str">
        <f>IF(ISBLANK(IGRF!C84), "", IGRF!C84)</f>
        <v>Carysmatic</v>
      </c>
      <c r="L8" s="760"/>
      <c r="M8" s="760"/>
      <c r="N8" s="760"/>
      <c r="O8" s="760"/>
      <c r="P8" s="760"/>
      <c r="Q8" s="760"/>
      <c r="R8" s="760"/>
      <c r="S8" s="760"/>
      <c r="T8" s="760"/>
      <c r="U8" s="760"/>
      <c r="V8" s="760"/>
      <c r="W8" s="760"/>
      <c r="X8" s="760"/>
      <c r="Y8" s="760"/>
      <c r="Z8" s="760"/>
    </row>
    <row r="9" ht="22.5" customHeight="1">
      <c r="A9" s="762"/>
      <c r="B9" s="766" t="str">
        <f>IF(ISBLANK(IGRF!B19),"",IGRF!B19)</f>
        <v>271</v>
      </c>
      <c r="C9" s="767" t="str">
        <f>IF(ISBLANK(IGRF!C19),"",IGRF!C19)</f>
        <v>Peb Canary</v>
      </c>
      <c r="D9" s="764"/>
      <c r="E9" s="762"/>
      <c r="F9" s="766" t="str">
        <f>IF(ISBLANK(IGRF!I19),"",IGRF!I19)</f>
        <v>150</v>
      </c>
      <c r="G9" s="767" t="str">
        <f>IF(ISBLANK(IGRF!J19),"",IGRF!J19)</f>
        <v>Cooney</v>
      </c>
      <c r="H9" s="764"/>
      <c r="I9" s="760"/>
      <c r="J9" s="767" t="str">
        <f>IF(ISBLANK(IGRF!C65), "", IGRF!C65)</f>
        <v>Jugger Naught</v>
      </c>
      <c r="K9" s="767" t="str">
        <f>IF(ISBLANK(IGRF!C85), "", IGRF!C85)</f>
        <v>Max Pain</v>
      </c>
      <c r="L9" s="760"/>
      <c r="M9" s="760"/>
      <c r="N9" s="760"/>
      <c r="O9" s="760"/>
      <c r="P9" s="760"/>
      <c r="Q9" s="760"/>
      <c r="R9" s="760"/>
      <c r="S9" s="760"/>
      <c r="T9" s="760"/>
      <c r="U9" s="760"/>
      <c r="V9" s="760"/>
      <c r="W9" s="760"/>
      <c r="X9" s="760"/>
      <c r="Y9" s="760"/>
      <c r="Z9" s="760"/>
    </row>
    <row r="10" ht="22.5" customHeight="1">
      <c r="A10" s="762"/>
      <c r="B10" s="766" t="str">
        <f>IF(ISBLANK(IGRF!B20),"",IGRF!B20)</f>
        <v>220</v>
      </c>
      <c r="C10" s="767" t="str">
        <f>IF(ISBLANK(IGRF!C20),"",IGRF!C20)</f>
        <v>Cerosene</v>
      </c>
      <c r="D10" s="764"/>
      <c r="E10" s="762"/>
      <c r="F10" s="766" t="str">
        <f>IF(ISBLANK(IGRF!I20),"",IGRF!I20)</f>
        <v>16</v>
      </c>
      <c r="G10" s="767" t="str">
        <f>IF(ISBLANK(IGRF!J20),"",IGRF!J20)</f>
        <v>Jemerald</v>
      </c>
      <c r="H10" s="764"/>
      <c r="I10" s="760"/>
      <c r="J10" s="767" t="str">
        <f>IF(ISBLANK(IGRF!C66), "", IGRF!C66)</f>
        <v>Anna Bomination</v>
      </c>
      <c r="K10" s="767" t="str">
        <f>IF(ISBLANK(IGRF!C86), "", IGRF!C86)</f>
        <v>Wonder Zebra</v>
      </c>
      <c r="L10" s="760"/>
      <c r="M10" s="760"/>
      <c r="N10" s="760"/>
      <c r="O10" s="760"/>
      <c r="P10" s="760"/>
      <c r="Q10" s="760"/>
      <c r="R10" s="760"/>
      <c r="S10" s="760"/>
      <c r="T10" s="760"/>
      <c r="U10" s="760"/>
      <c r="V10" s="760"/>
      <c r="W10" s="760"/>
      <c r="X10" s="760"/>
      <c r="Y10" s="760"/>
      <c r="Z10" s="760"/>
    </row>
    <row r="11" ht="22.5" customHeight="1">
      <c r="A11" s="762"/>
      <c r="B11" s="766" t="str">
        <f>IF(ISBLANK(IGRF!B21),"",IGRF!B21)</f>
        <v>3556</v>
      </c>
      <c r="C11" s="767" t="str">
        <f>IF(ISBLANK(IGRF!C21),"",IGRF!C21)</f>
        <v>Crystal Beth</v>
      </c>
      <c r="D11" s="764"/>
      <c r="E11" s="762"/>
      <c r="F11" s="766" t="str">
        <f>IF(ISBLANK(IGRF!I21),"",IGRF!I21)</f>
        <v>3110</v>
      </c>
      <c r="G11" s="767" t="str">
        <f>IF(ISBLANK(IGRF!J21),"",IGRF!J21)</f>
        <v>Grand DAM</v>
      </c>
      <c r="H11" s="764"/>
      <c r="I11" s="760"/>
      <c r="J11" s="767" t="str">
        <f>IF(ISBLANK(IGRF!C67), "", IGRF!C67)</f>
        <v>Mr Trick</v>
      </c>
      <c r="K11" s="767" t="str">
        <f>IF(ISBLANK(IGRF!C87), "", IGRF!C87)</f>
        <v>Grand Reffed Auto</v>
      </c>
      <c r="L11" s="760"/>
      <c r="M11" s="760"/>
      <c r="N11" s="760"/>
      <c r="O11" s="760"/>
      <c r="P11" s="760"/>
      <c r="Q11" s="760"/>
      <c r="R11" s="760"/>
      <c r="S11" s="760"/>
      <c r="T11" s="760"/>
      <c r="U11" s="760"/>
      <c r="V11" s="760"/>
      <c r="W11" s="760"/>
      <c r="X11" s="760"/>
      <c r="Y11" s="760"/>
      <c r="Z11" s="760"/>
    </row>
    <row r="12" ht="22.5" customHeight="1">
      <c r="A12" s="762"/>
      <c r="B12" s="766" t="str">
        <f>IF(ISBLANK(IGRF!B22),"",IGRF!B22)</f>
        <v>360</v>
      </c>
      <c r="C12" s="767" t="str">
        <f>IF(ISBLANK(IGRF!C22),"",IGRF!C22)</f>
        <v>Baxter</v>
      </c>
      <c r="D12" s="764"/>
      <c r="E12" s="762"/>
      <c r="F12" s="766" t="str">
        <f>IF(ISBLANK(IGRF!I22),"",IGRF!I22)</f>
        <v>333</v>
      </c>
      <c r="G12" s="767" t="str">
        <f>IF(ISBLANK(IGRF!J22),"",IGRF!J22)</f>
        <v>Yonic Cyclonic</v>
      </c>
      <c r="H12" s="764"/>
      <c r="I12" s="760"/>
      <c r="J12" s="767" t="str">
        <f>IF(ISBLANK(IGRF!C68), "", IGRF!C68)</f>
        <v>Ginger Witch</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40</v>
      </c>
      <c r="C13" s="767" t="str">
        <f>IF(ISBLANK(IGRF!C23),"",IGRF!C23)</f>
        <v>Kid</v>
      </c>
      <c r="D13" s="764"/>
      <c r="E13" s="762"/>
      <c r="F13" s="766" t="str">
        <f>IF(ISBLANK(IGRF!I23),"",IGRF!I23)</f>
        <v>4</v>
      </c>
      <c r="G13" s="767" t="str">
        <f>IF(ISBLANK(IGRF!J23),"",IGRF!J23)</f>
        <v>Stabba</v>
      </c>
      <c r="H13" s="764"/>
      <c r="I13" s="760"/>
      <c r="J13" s="767" t="str">
        <f>IF(ISBLANK(IGRF!C69), "", IGRF!C69)</f>
        <v>Jelly Tots</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42</v>
      </c>
      <c r="C14" s="767" t="str">
        <f>IF(ISBLANK(IGRF!C24),"",IGRF!C24)</f>
        <v>Bosh</v>
      </c>
      <c r="D14" s="764"/>
      <c r="E14" s="762"/>
      <c r="F14" s="766" t="str">
        <f>IF(ISBLANK(IGRF!I24),"",IGRF!I24)</f>
        <v>42</v>
      </c>
      <c r="G14" s="767" t="str">
        <f>IF(ISBLANK(IGRF!J24),"",IGRF!J24)</f>
        <v>Pretty Carless</v>
      </c>
      <c r="H14" s="764"/>
      <c r="I14" s="760"/>
      <c r="J14" s="767" t="str">
        <f>IF(ISBLANK(IGRF!C70), "", IGRF!C70)</f>
        <v>Badger</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44</v>
      </c>
      <c r="C15" s="767" t="str">
        <f>IF(ISBLANK(IGRF!C25),"",IGRF!C25)</f>
        <v>Esparcieux</v>
      </c>
      <c r="D15" s="764"/>
      <c r="E15" s="762"/>
      <c r="F15" s="766" t="str">
        <f>IF(ISBLANK(IGRF!I25),"",IGRF!I25)</f>
        <v>48</v>
      </c>
      <c r="G15" s="767" t="str">
        <f>IF(ISBLANK(IGRF!J25),"",IGRF!J25)</f>
        <v>Tini from the Bloc</v>
      </c>
      <c r="H15" s="764"/>
      <c r="I15" s="760"/>
      <c r="J15" s="767" t="str">
        <f>IF(ISBLANK(IGRF!C71), "", IGRF!C71)</f>
        <v>Siany</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45</v>
      </c>
      <c r="C16" s="767" t="str">
        <f>IF(ISBLANK(IGRF!C26),"",IGRF!C26)</f>
        <v>Hawk</v>
      </c>
      <c r="D16" s="764"/>
      <c r="E16" s="762"/>
      <c r="F16" s="766" t="str">
        <f>IF(ISBLANK(IGRF!I26),"",IGRF!I26)</f>
        <v>167</v>
      </c>
      <c r="G16" s="767" t="str">
        <f>IF(ISBLANK(IGRF!J26),"",IGRF!J26)</f>
        <v>Rile E Coyote</v>
      </c>
      <c r="H16" s="764"/>
      <c r="I16" s="760"/>
      <c r="J16" s="767" t="str">
        <f>IF(ISBLANK(IGRF!C72), "", IGRF!C72)</f>
        <v>Lily La Vida Loca</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48</v>
      </c>
      <c r="C17" s="767" t="str">
        <f>IF(ISBLANK(IGRF!C27),"",IGRF!C27)</f>
        <v>Ward</v>
      </c>
      <c r="D17" s="764"/>
      <c r="E17" s="762"/>
      <c r="F17" s="766" t="str">
        <f>IF(ISBLANK(IGRF!I27),"",IGRF!I27)</f>
        <v>602</v>
      </c>
      <c r="G17" s="767" t="str">
        <f>IF(ISBLANK(IGRF!J27),"",IGRF!J27)</f>
        <v>Fearidum</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565</v>
      </c>
      <c r="C18" s="767" t="str">
        <f>IF(ISBLANK(IGRF!C28),"",IGRF!C28)</f>
        <v>Melyn</v>
      </c>
      <c r="D18" s="764"/>
      <c r="E18" s="762"/>
      <c r="F18" s="766" t="str">
        <f>IF(ISBLANK(IGRF!I28),"",IGRF!I28)</f>
        <v>777</v>
      </c>
      <c r="G18" s="767" t="str">
        <f>IF(ISBLANK(IGRF!J28),"",IGRF!J28)</f>
        <v>Des</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50</v>
      </c>
      <c r="C19" s="767" t="str">
        <f>IF(ISBLANK(IGRF!C29),"",IGRF!C29)</f>
        <v>Gray</v>
      </c>
      <c r="D19" s="764"/>
      <c r="E19" s="762"/>
      <c r="F19" s="766" t="str">
        <f>IF(ISBLANK(IGRF!I29),"",IGRF!I29)</f>
        <v>88</v>
      </c>
      <c r="G19" s="767" t="str">
        <f>IF(ISBLANK(IGRF!J29),"",IGRF!J29)</f>
        <v>diamond WEAPON</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808</v>
      </c>
      <c r="C20" s="767" t="str">
        <f>IF(ISBLANK(IGRF!C30),"",IGRF!C30)</f>
        <v>Morganator</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912</v>
      </c>
      <c r="C21" s="767" t="str">
        <f>IF(ISBLANK(IGRF!C31),"",IGRF!C31)</f>
        <v>Battered Sausage</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93</v>
      </c>
      <c r="C22" s="767" t="str">
        <f>IF(ISBLANK(IGRF!C32),"",IGRF!C32)</f>
        <v>Sangria</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999</v>
      </c>
      <c r="C23" s="771" t="str">
        <f>IF(ISBLANK(IGRF!C33),"",IGRF!C33)</f>
        <v>Angel</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376</v>
      </c>
      <c r="B1" s="774" t="str">
        <f>Score!$A$1</f>
        <v>Tiger Bay Brawlers / Challengers</v>
      </c>
      <c r="C1" s="8"/>
      <c r="D1" s="9"/>
      <c r="E1" s="775" t="str">
        <f>IF(ISBLANK(IGRF!$B$12), "", IGRF!$B$12)</f>
        <v>Orange</v>
      </c>
      <c r="F1" s="776"/>
      <c r="I1" s="777">
        <f>IF(ISBLANK(IGRF!$B$7), "", IGRF!$B$7)</f>
        <v>45220</v>
      </c>
      <c r="J1" s="778">
        <v>1.0</v>
      </c>
      <c r="K1" s="212"/>
      <c r="L1" s="212"/>
      <c r="M1" s="212"/>
      <c r="N1" s="212"/>
      <c r="O1" s="212"/>
      <c r="P1" s="212"/>
      <c r="Q1" s="212"/>
      <c r="R1" s="212"/>
      <c r="S1" s="212"/>
      <c r="T1" s="212"/>
      <c r="U1" s="212"/>
      <c r="V1" s="212"/>
      <c r="W1" s="212"/>
      <c r="X1" s="212"/>
      <c r="Y1" s="212"/>
      <c r="Z1" s="212"/>
    </row>
    <row r="2" ht="15.0" customHeight="1">
      <c r="A2" s="773" t="s">
        <v>377</v>
      </c>
      <c r="B2" s="779" t="str">
        <f>Score!$T$1</f>
        <v>Dublin Roller Derby / The Be Grands</v>
      </c>
      <c r="C2" s="204"/>
      <c r="D2" s="205"/>
      <c r="E2" s="780" t="str">
        <f>IF(ISBLANK(IGRF!$I$12),"",IGRF!$I$12)</f>
        <v>Blue</v>
      </c>
      <c r="F2" s="151"/>
      <c r="G2" s="151"/>
      <c r="H2" s="151"/>
      <c r="I2" s="781"/>
      <c r="J2" s="782"/>
      <c r="K2" s="212"/>
      <c r="L2" s="212"/>
      <c r="M2" s="212"/>
      <c r="N2" s="212"/>
      <c r="O2" s="212"/>
      <c r="P2" s="212"/>
      <c r="Q2" s="212"/>
      <c r="R2" s="212"/>
      <c r="S2" s="212"/>
      <c r="T2" s="212"/>
      <c r="U2" s="212"/>
      <c r="V2" s="212"/>
      <c r="W2" s="212"/>
      <c r="X2" s="212"/>
      <c r="Y2" s="212"/>
      <c r="Z2" s="212"/>
    </row>
    <row r="3" ht="15.0" customHeight="1">
      <c r="B3" s="315"/>
      <c r="C3" s="316"/>
      <c r="D3" s="317"/>
      <c r="E3" s="781"/>
      <c r="F3" s="783" t="s">
        <v>182</v>
      </c>
      <c r="G3" s="86"/>
      <c r="H3" s="86"/>
      <c r="I3" s="784" t="s">
        <v>201</v>
      </c>
      <c r="J3" s="785" t="str">
        <f>IF(ISBLANK(IGRF!$L$3), "", "GAME " &amp; IGRF!$L$3)</f>
        <v>GAME 1</v>
      </c>
      <c r="K3" s="212"/>
      <c r="L3" s="212"/>
      <c r="M3" s="212"/>
      <c r="N3" s="212"/>
      <c r="O3" s="212"/>
      <c r="P3" s="212"/>
      <c r="Q3" s="212"/>
      <c r="R3" s="212"/>
      <c r="S3" s="212"/>
      <c r="T3" s="212"/>
      <c r="U3" s="212"/>
      <c r="V3" s="212"/>
      <c r="W3" s="212"/>
      <c r="X3" s="212"/>
      <c r="Y3" s="212"/>
      <c r="Z3" s="212"/>
    </row>
    <row r="4" ht="15.0" customHeight="1">
      <c r="A4" s="786"/>
      <c r="B4" s="787" t="s">
        <v>378</v>
      </c>
      <c r="C4" s="9"/>
      <c r="D4" s="787" t="s">
        <v>379</v>
      </c>
      <c r="E4" s="8"/>
      <c r="F4" s="9"/>
      <c r="G4" s="788" t="s">
        <v>380</v>
      </c>
      <c r="H4" s="320"/>
      <c r="I4" s="787" t="s">
        <v>47</v>
      </c>
      <c r="J4" s="160"/>
      <c r="K4" s="669"/>
      <c r="L4" s="669"/>
      <c r="M4" s="669"/>
      <c r="N4" s="669"/>
      <c r="O4" s="669"/>
      <c r="P4" s="669"/>
      <c r="Q4" s="669"/>
      <c r="R4" s="669"/>
      <c r="S4" s="669"/>
      <c r="T4" s="669"/>
      <c r="U4" s="669"/>
      <c r="V4" s="669"/>
      <c r="W4" s="669"/>
      <c r="X4" s="669"/>
      <c r="Y4" s="669"/>
      <c r="Z4" s="669"/>
    </row>
    <row r="5" ht="24.75" customHeight="1">
      <c r="A5" s="789" t="s">
        <v>237</v>
      </c>
      <c r="B5" s="790"/>
      <c r="C5" s="49"/>
      <c r="D5" s="791"/>
      <c r="E5" s="792"/>
      <c r="F5" s="793"/>
      <c r="G5" s="791"/>
      <c r="H5" s="794"/>
      <c r="I5" s="795" t="str">
        <f>B1</f>
        <v>Tiger Bay Brawlers / Challengers</v>
      </c>
      <c r="J5" s="345"/>
      <c r="K5" s="669"/>
      <c r="L5" s="669"/>
      <c r="M5" s="669"/>
      <c r="N5" s="669"/>
      <c r="O5" s="669"/>
      <c r="P5" s="669"/>
      <c r="Q5" s="669"/>
      <c r="R5" s="669"/>
      <c r="S5" s="669"/>
      <c r="T5" s="669"/>
      <c r="U5" s="669"/>
      <c r="V5" s="669"/>
      <c r="W5" s="669"/>
      <c r="X5" s="669"/>
      <c r="Y5" s="669"/>
      <c r="Z5" s="669"/>
    </row>
    <row r="6" ht="24.75" customHeight="1">
      <c r="A6" s="796" t="s">
        <v>243</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4.75" customHeight="1">
      <c r="A7" s="789" t="s">
        <v>237</v>
      </c>
      <c r="B7" s="790"/>
      <c r="C7" s="49"/>
      <c r="D7" s="791"/>
      <c r="E7" s="792"/>
      <c r="F7" s="793"/>
      <c r="G7" s="791"/>
      <c r="H7" s="794"/>
      <c r="I7" s="801" t="str">
        <f>B2</f>
        <v>Dublin Roller Derby / The Be Grands</v>
      </c>
      <c r="J7" s="345"/>
      <c r="K7" s="669"/>
      <c r="L7" s="669"/>
      <c r="M7" s="669"/>
      <c r="N7" s="669"/>
      <c r="O7" s="669"/>
      <c r="P7" s="669"/>
      <c r="Q7" s="669"/>
      <c r="R7" s="669"/>
      <c r="S7" s="669"/>
      <c r="T7" s="669"/>
      <c r="U7" s="669"/>
      <c r="V7" s="669"/>
      <c r="W7" s="669"/>
      <c r="X7" s="669"/>
      <c r="Y7" s="669"/>
      <c r="Z7" s="669"/>
    </row>
    <row r="8" ht="24.75" customHeight="1">
      <c r="A8" s="796" t="s">
        <v>243</v>
      </c>
      <c r="B8" s="797"/>
      <c r="C8" s="71"/>
      <c r="D8" s="798"/>
      <c r="E8" s="799"/>
      <c r="F8" s="800"/>
      <c r="G8" s="798"/>
      <c r="H8" s="800"/>
      <c r="I8" s="155"/>
      <c r="J8" s="21"/>
      <c r="K8" s="669"/>
      <c r="L8" s="669"/>
      <c r="M8" s="669"/>
      <c r="N8" s="669"/>
      <c r="O8" s="669"/>
      <c r="P8" s="669"/>
      <c r="Q8" s="669"/>
      <c r="R8" s="669"/>
      <c r="S8" s="669"/>
      <c r="T8" s="669"/>
      <c r="U8" s="669"/>
      <c r="V8" s="669"/>
      <c r="W8" s="669"/>
      <c r="X8" s="669"/>
      <c r="Y8" s="669"/>
      <c r="Z8" s="669"/>
    </row>
    <row r="9" ht="12.75" customHeight="1">
      <c r="A9" s="802" t="s">
        <v>381</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3" t="s">
        <v>203</v>
      </c>
      <c r="B10" s="804" t="s">
        <v>382</v>
      </c>
      <c r="C10" s="804" t="s">
        <v>383</v>
      </c>
      <c r="D10" s="804" t="s">
        <v>384</v>
      </c>
      <c r="E10" s="805" t="s">
        <v>385</v>
      </c>
      <c r="F10" s="8"/>
      <c r="G10" s="806"/>
      <c r="H10" s="804"/>
      <c r="I10" s="804" t="s">
        <v>386</v>
      </c>
      <c r="J10" s="807" t="s">
        <v>387</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1"/>
      <c r="G11" s="151"/>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6"/>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388</v>
      </c>
      <c r="B49" s="823"/>
      <c r="C49" s="823" t="s">
        <v>389</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390</v>
      </c>
      <c r="B50" s="43"/>
      <c r="C50" s="43" t="s">
        <v>391</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392</v>
      </c>
      <c r="B51" s="827"/>
      <c r="C51" s="827" t="s">
        <v>393</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376</v>
      </c>
      <c r="B52" s="774" t="str">
        <f>Score!$A$1</f>
        <v>Tiger Bay Brawlers / Challengers</v>
      </c>
      <c r="C52" s="8"/>
      <c r="D52" s="9"/>
      <c r="E52" s="775" t="str">
        <f t="shared" ref="E52:E53" si="2">E1</f>
        <v>Orange</v>
      </c>
      <c r="F52" s="776"/>
      <c r="I52" s="777">
        <f>IF(ISBLANK(IGRF!$B$7), "", IGRF!$B$7)</f>
        <v>45220</v>
      </c>
      <c r="J52" s="778">
        <v>2.0</v>
      </c>
      <c r="K52" s="212"/>
      <c r="L52" s="212"/>
      <c r="M52" s="212"/>
      <c r="N52" s="212"/>
      <c r="O52" s="212"/>
      <c r="P52" s="212"/>
      <c r="Q52" s="212"/>
      <c r="R52" s="212"/>
      <c r="S52" s="212"/>
      <c r="T52" s="212"/>
      <c r="U52" s="212"/>
      <c r="V52" s="212"/>
      <c r="W52" s="212"/>
      <c r="X52" s="212"/>
      <c r="Y52" s="212"/>
      <c r="Z52" s="212"/>
    </row>
    <row r="53" ht="15.0" customHeight="1">
      <c r="A53" s="773" t="s">
        <v>377</v>
      </c>
      <c r="B53" s="779" t="str">
        <f>Score!$T$1</f>
        <v>Dublin Roller Derby / The Be Grands</v>
      </c>
      <c r="C53" s="204"/>
      <c r="D53" s="205"/>
      <c r="E53" s="780" t="str">
        <f t="shared" si="2"/>
        <v>Blue</v>
      </c>
      <c r="F53" s="151"/>
      <c r="G53" s="151"/>
      <c r="H53" s="151"/>
      <c r="I53" s="781"/>
      <c r="J53" s="782"/>
      <c r="K53" s="212"/>
      <c r="L53" s="212"/>
      <c r="M53" s="212"/>
      <c r="N53" s="212"/>
      <c r="O53" s="212"/>
      <c r="P53" s="212"/>
      <c r="Q53" s="212"/>
      <c r="R53" s="212"/>
      <c r="S53" s="212"/>
      <c r="T53" s="212"/>
      <c r="U53" s="212"/>
      <c r="V53" s="212"/>
      <c r="W53" s="212"/>
      <c r="X53" s="212"/>
      <c r="Y53" s="212"/>
      <c r="Z53" s="212"/>
    </row>
    <row r="54" ht="15.0" customHeight="1">
      <c r="B54" s="315"/>
      <c r="C54" s="316"/>
      <c r="D54" s="317"/>
      <c r="E54" s="781"/>
      <c r="F54" s="783" t="s">
        <v>182</v>
      </c>
      <c r="G54" s="86"/>
      <c r="H54" s="86"/>
      <c r="I54" s="784" t="s">
        <v>201</v>
      </c>
      <c r="J54" s="785" t="str">
        <f>J3</f>
        <v>GAME 1</v>
      </c>
      <c r="K54" s="212"/>
      <c r="L54" s="212"/>
      <c r="M54" s="212"/>
      <c r="N54" s="212"/>
      <c r="O54" s="212"/>
      <c r="P54" s="212"/>
      <c r="Q54" s="212"/>
      <c r="R54" s="212"/>
      <c r="S54" s="212"/>
      <c r="T54" s="212"/>
      <c r="U54" s="212"/>
      <c r="V54" s="212"/>
      <c r="W54" s="212"/>
      <c r="X54" s="212"/>
      <c r="Y54" s="212"/>
      <c r="Z54" s="212"/>
    </row>
    <row r="55" ht="15.0" customHeight="1">
      <c r="A55" s="786"/>
      <c r="B55" s="787" t="s">
        <v>378</v>
      </c>
      <c r="C55" s="9"/>
      <c r="D55" s="787" t="s">
        <v>379</v>
      </c>
      <c r="E55" s="8"/>
      <c r="F55" s="9"/>
      <c r="G55" s="788" t="s">
        <v>380</v>
      </c>
      <c r="H55" s="320"/>
      <c r="I55" s="787" t="s">
        <v>47</v>
      </c>
      <c r="J55" s="160"/>
      <c r="K55" s="669"/>
      <c r="L55" s="669"/>
      <c r="M55" s="669"/>
      <c r="N55" s="669"/>
      <c r="O55" s="669"/>
      <c r="P55" s="669"/>
      <c r="Q55" s="669"/>
      <c r="R55" s="669"/>
      <c r="S55" s="669"/>
      <c r="T55" s="669"/>
      <c r="U55" s="669"/>
      <c r="V55" s="669"/>
      <c r="W55" s="669"/>
      <c r="X55" s="669"/>
      <c r="Y55" s="669"/>
      <c r="Z55" s="669"/>
    </row>
    <row r="56" ht="24.75" customHeight="1">
      <c r="A56" s="789" t="s">
        <v>237</v>
      </c>
      <c r="B56" s="790" t="str">
        <f t="shared" ref="B56:B59" si="3">IF(B5="", "",B5 )</f>
        <v/>
      </c>
      <c r="C56" s="53"/>
      <c r="D56" s="791"/>
      <c r="E56" s="792"/>
      <c r="F56" s="793"/>
      <c r="G56" s="791"/>
      <c r="H56" s="794"/>
      <c r="I56" s="801" t="str">
        <f>I5</f>
        <v>Tiger Bay Brawlers / Challengers</v>
      </c>
      <c r="J56" s="345"/>
      <c r="K56" s="43"/>
      <c r="L56" s="43"/>
      <c r="M56" s="43"/>
      <c r="N56" s="43"/>
      <c r="O56" s="43"/>
      <c r="P56" s="43"/>
      <c r="Q56" s="43"/>
      <c r="R56" s="43"/>
      <c r="S56" s="43"/>
      <c r="T56" s="43"/>
      <c r="U56" s="43"/>
      <c r="V56" s="43"/>
      <c r="W56" s="43"/>
      <c r="X56" s="43"/>
      <c r="Y56" s="43"/>
      <c r="Z56" s="43"/>
    </row>
    <row r="57" ht="24.75" customHeight="1">
      <c r="A57" s="796" t="s">
        <v>243</v>
      </c>
      <c r="B57" s="797" t="str">
        <f t="shared" si="3"/>
        <v/>
      </c>
      <c r="C57" s="166"/>
      <c r="D57" s="798"/>
      <c r="E57" s="799"/>
      <c r="F57" s="800"/>
      <c r="G57" s="798"/>
      <c r="H57" s="800"/>
      <c r="I57" s="155"/>
      <c r="J57" s="21"/>
      <c r="K57" s="43"/>
      <c r="L57" s="43"/>
      <c r="M57" s="43"/>
      <c r="N57" s="43"/>
      <c r="O57" s="43"/>
      <c r="P57" s="43"/>
      <c r="Q57" s="43"/>
      <c r="R57" s="43"/>
      <c r="S57" s="43"/>
      <c r="T57" s="43"/>
      <c r="U57" s="43"/>
      <c r="V57" s="43"/>
      <c r="W57" s="43"/>
      <c r="X57" s="43"/>
      <c r="Y57" s="43"/>
      <c r="Z57" s="43"/>
    </row>
    <row r="58" ht="24.75" customHeight="1">
      <c r="A58" s="789" t="s">
        <v>237</v>
      </c>
      <c r="B58" s="790" t="str">
        <f t="shared" si="3"/>
        <v/>
      </c>
      <c r="C58" s="53"/>
      <c r="D58" s="791"/>
      <c r="E58" s="792"/>
      <c r="F58" s="793"/>
      <c r="G58" s="791"/>
      <c r="H58" s="794"/>
      <c r="I58" s="801" t="str">
        <f>I7</f>
        <v>Dublin Roller Derby / The Be Grands</v>
      </c>
      <c r="J58" s="345"/>
      <c r="K58" s="43"/>
      <c r="L58" s="43"/>
      <c r="M58" s="43"/>
      <c r="N58" s="43"/>
      <c r="O58" s="43"/>
      <c r="P58" s="43"/>
      <c r="Q58" s="43"/>
      <c r="R58" s="43"/>
      <c r="S58" s="43"/>
      <c r="T58" s="43"/>
      <c r="U58" s="43"/>
      <c r="V58" s="43"/>
      <c r="W58" s="43"/>
      <c r="X58" s="43"/>
      <c r="Y58" s="43"/>
      <c r="Z58" s="43"/>
    </row>
    <row r="59" ht="24.75" customHeight="1">
      <c r="A59" s="796" t="s">
        <v>243</v>
      </c>
      <c r="B59" s="797" t="str">
        <f t="shared" si="3"/>
        <v/>
      </c>
      <c r="C59" s="166"/>
      <c r="D59" s="798"/>
      <c r="E59" s="799"/>
      <c r="F59" s="800"/>
      <c r="G59" s="798"/>
      <c r="H59" s="800"/>
      <c r="I59" s="155"/>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29" t="s">
        <v>203</v>
      </c>
      <c r="B61" s="830" t="s">
        <v>382</v>
      </c>
      <c r="C61" s="830" t="s">
        <v>383</v>
      </c>
      <c r="D61" s="830" t="s">
        <v>384</v>
      </c>
      <c r="E61" s="831" t="s">
        <v>385</v>
      </c>
      <c r="F61" s="14"/>
      <c r="G61" s="42"/>
      <c r="H61" s="830"/>
      <c r="I61" s="830" t="s">
        <v>386</v>
      </c>
      <c r="J61" s="832" t="s">
        <v>387</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f>IF(ISNUMBER(SK!B132), SK!A132, "")</f>
        <v>23</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6"/>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388</v>
      </c>
      <c r="B100" s="823"/>
      <c r="C100" s="823" t="s">
        <v>394</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390</v>
      </c>
      <c r="B101" s="43"/>
      <c r="C101" s="43" t="s">
        <v>395</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392</v>
      </c>
      <c r="B102" s="827"/>
      <c r="C102" s="827" t="s">
        <v>396</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397</v>
      </c>
      <c r="D8" s="840" t="s">
        <v>130</v>
      </c>
      <c r="E8" s="841" t="s">
        <v>397</v>
      </c>
      <c r="F8" s="842" t="s">
        <v>130</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128</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131</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398</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399</v>
      </c>
      <c r="C13" s="854" t="str">
        <f>IF(ISBLANK(IGRF!B12), "", IGRF!B12)</f>
        <v>Orange</v>
      </c>
      <c r="D13" s="53"/>
      <c r="E13" s="855" t="str">
        <f>IF(ISBLANK(IGRF!I12), "", IGRF!I12)</f>
        <v>Blue</v>
      </c>
      <c r="F13" s="50"/>
    </row>
    <row r="14" ht="24.0" customHeight="1">
      <c r="A14" s="43"/>
      <c r="B14" s="844" t="s">
        <v>400</v>
      </c>
      <c r="C14" s="856"/>
      <c r="D14" s="857"/>
      <c r="E14" s="858"/>
      <c r="F14" s="87"/>
    </row>
    <row r="15" ht="24.0" customHeight="1">
      <c r="A15" s="43"/>
      <c r="B15" s="844" t="s">
        <v>401</v>
      </c>
      <c r="C15" s="859" t="str">
        <f>IF(ISBLANK(IGRF!B49), "", IGRF!B49)</f>
        <v>Morganator</v>
      </c>
      <c r="D15" s="55"/>
      <c r="E15" s="860" t="str">
        <f>IF(ISBLANK(IGRF!I49), "", IGRF!I49)</f>
        <v>Bambi Deerdevil</v>
      </c>
      <c r="F15" s="87"/>
    </row>
    <row r="16" ht="24.0" customHeight="1">
      <c r="A16" s="43"/>
      <c r="B16" s="844" t="s">
        <v>402</v>
      </c>
      <c r="C16" s="859"/>
      <c r="D16" s="55"/>
      <c r="E16" s="860"/>
      <c r="F16" s="87"/>
    </row>
    <row r="17" ht="24.0" customHeight="1">
      <c r="A17" s="43"/>
      <c r="B17" s="844" t="s">
        <v>403</v>
      </c>
      <c r="C17" s="856"/>
      <c r="D17" s="857"/>
      <c r="E17" s="858"/>
      <c r="F17" s="87"/>
    </row>
    <row r="18" ht="24.0" customHeight="1">
      <c r="A18" s="43"/>
      <c r="B18" s="844" t="s">
        <v>404</v>
      </c>
      <c r="C18" s="861" t="s">
        <v>405</v>
      </c>
      <c r="D18" s="862" t="s">
        <v>406</v>
      </c>
      <c r="E18" s="863" t="s">
        <v>405</v>
      </c>
      <c r="F18" s="864" t="s">
        <v>406</v>
      </c>
    </row>
    <row r="19" ht="61.5" customHeight="1">
      <c r="A19" s="43"/>
      <c r="B19" s="865" t="s">
        <v>407</v>
      </c>
      <c r="C19" s="866"/>
      <c r="D19" s="166"/>
      <c r="E19" s="867"/>
      <c r="F19" s="73"/>
    </row>
    <row r="20" ht="6.75" customHeight="1">
      <c r="A20" s="43"/>
      <c r="B20" s="43"/>
      <c r="C20" s="43"/>
      <c r="D20" s="43"/>
      <c r="E20" s="43"/>
      <c r="F20" s="43"/>
    </row>
    <row r="21" ht="22.5" customHeight="1">
      <c r="A21" s="868" t="s">
        <v>408</v>
      </c>
      <c r="B21" s="760" t="s">
        <v>409</v>
      </c>
    </row>
    <row r="22" ht="22.5" customHeight="1">
      <c r="A22" s="43"/>
      <c r="B22" s="868" t="s">
        <v>408</v>
      </c>
      <c r="C22" s="869" t="str">
        <f>C6</f>
        <v>#REF!</v>
      </c>
      <c r="D22" s="869"/>
      <c r="E22" s="869"/>
      <c r="F22" s="869"/>
    </row>
    <row r="23" ht="22.5" customHeight="1">
      <c r="A23" s="43"/>
      <c r="B23" s="868" t="s">
        <v>408</v>
      </c>
      <c r="C23" s="869" t="str">
        <f>E6</f>
        <v>#REF!</v>
      </c>
      <c r="D23" s="869"/>
      <c r="E23" s="869"/>
      <c r="F23" s="869"/>
    </row>
    <row r="24" ht="22.5" customHeight="1">
      <c r="A24" s="868" t="s">
        <v>408</v>
      </c>
      <c r="B24" s="760" t="s">
        <v>410</v>
      </c>
    </row>
    <row r="25" ht="22.5" customHeight="1">
      <c r="A25" s="870"/>
      <c r="B25" s="871" t="s">
        <v>411</v>
      </c>
      <c r="C25" s="760" t="s">
        <v>351</v>
      </c>
      <c r="D25" s="760"/>
      <c r="E25" s="760"/>
      <c r="F25" s="760"/>
    </row>
    <row r="26" ht="22.5" customHeight="1">
      <c r="A26" s="870"/>
      <c r="B26" s="871" t="s">
        <v>411</v>
      </c>
      <c r="C26" s="760" t="s">
        <v>412</v>
      </c>
      <c r="D26" s="760"/>
      <c r="E26" s="760"/>
      <c r="F26" s="760"/>
    </row>
    <row r="27" ht="22.5" customHeight="1">
      <c r="A27" s="868" t="s">
        <v>408</v>
      </c>
      <c r="B27" s="760" t="s">
        <v>413</v>
      </c>
    </row>
    <row r="28" ht="22.5" customHeight="1">
      <c r="A28" s="870"/>
      <c r="B28" s="868" t="s">
        <v>408</v>
      </c>
      <c r="C28" s="760" t="s">
        <v>414</v>
      </c>
      <c r="D28" s="43"/>
      <c r="E28" s="760"/>
      <c r="F28" s="760"/>
    </row>
    <row r="29" ht="22.5" customHeight="1">
      <c r="A29" s="870"/>
      <c r="B29" s="868" t="s">
        <v>408</v>
      </c>
      <c r="C29" s="760" t="s">
        <v>415</v>
      </c>
      <c r="D29" s="43"/>
      <c r="E29" s="760"/>
      <c r="F29" s="760"/>
    </row>
    <row r="30" ht="22.5" customHeight="1">
      <c r="A30" s="868" t="s">
        <v>408</v>
      </c>
      <c r="B30" s="760" t="s">
        <v>416</v>
      </c>
    </row>
    <row r="31" ht="22.5" customHeight="1">
      <c r="A31" s="868" t="s">
        <v>408</v>
      </c>
      <c r="B31" s="760" t="s">
        <v>417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128</v>
      </c>
      <c r="D2" s="43"/>
      <c r="E2" s="43"/>
      <c r="F2" s="43"/>
      <c r="G2" s="43"/>
      <c r="H2" s="43"/>
      <c r="I2" s="43"/>
      <c r="J2" s="43"/>
      <c r="K2" s="43"/>
      <c r="L2" s="43"/>
      <c r="M2" s="43"/>
      <c r="N2" s="43"/>
      <c r="O2" s="43"/>
      <c r="P2" s="43"/>
      <c r="Q2" s="43"/>
      <c r="R2" s="43"/>
      <c r="S2" s="43"/>
      <c r="T2" s="5"/>
      <c r="U2" s="43"/>
      <c r="V2" s="530" t="s">
        <v>128</v>
      </c>
      <c r="W2" s="43"/>
      <c r="X2" s="43"/>
      <c r="Y2" s="43"/>
      <c r="Z2" s="43"/>
      <c r="AA2" s="43"/>
      <c r="AB2" s="43"/>
      <c r="AC2" s="43"/>
      <c r="AD2" s="43"/>
      <c r="AE2" s="43"/>
      <c r="AF2" s="43"/>
      <c r="AG2" s="43"/>
      <c r="AH2" s="43"/>
      <c r="AI2" s="43"/>
      <c r="AJ2" s="43"/>
      <c r="AK2" s="43"/>
    </row>
    <row r="3" ht="12.75" customHeight="1">
      <c r="A3" s="5"/>
      <c r="B3" s="43"/>
      <c r="C3" s="43" t="s">
        <v>418</v>
      </c>
      <c r="D3" s="43">
        <f>MAX(Score!A42,Score!T42)</f>
        <v>21</v>
      </c>
      <c r="E3" s="43"/>
      <c r="F3" s="43"/>
      <c r="G3" s="43"/>
      <c r="H3" s="43"/>
      <c r="I3" s="43"/>
      <c r="J3" s="43"/>
      <c r="K3" s="43"/>
      <c r="L3" s="43"/>
      <c r="M3" s="43"/>
      <c r="N3" s="43"/>
      <c r="O3" s="43"/>
      <c r="P3" s="43"/>
      <c r="Q3" s="43"/>
      <c r="R3" s="43"/>
      <c r="S3" s="43"/>
      <c r="T3" s="5"/>
      <c r="U3" s="43"/>
      <c r="V3" s="43" t="s">
        <v>418</v>
      </c>
      <c r="W3" s="43">
        <f>D3</f>
        <v>21</v>
      </c>
      <c r="X3" s="43"/>
      <c r="Y3" s="43"/>
      <c r="Z3" s="43"/>
      <c r="AA3" s="43"/>
      <c r="AB3" s="43"/>
      <c r="AC3" s="43"/>
      <c r="AD3" s="43"/>
      <c r="AE3" s="43"/>
      <c r="AF3" s="43"/>
      <c r="AG3" s="43"/>
      <c r="AH3" s="43"/>
      <c r="AI3" s="43"/>
      <c r="AJ3" s="43"/>
      <c r="AK3" s="43"/>
    </row>
    <row r="4" ht="12.75" customHeight="1">
      <c r="A4" s="5"/>
      <c r="B4" s="43"/>
      <c r="C4" s="43" t="s">
        <v>419</v>
      </c>
      <c r="D4" s="43">
        <f>SK!H79</f>
        <v>5</v>
      </c>
      <c r="E4" s="43"/>
      <c r="F4" s="43"/>
      <c r="G4" s="43"/>
      <c r="H4" s="43"/>
      <c r="I4" s="43"/>
      <c r="J4" s="43"/>
      <c r="K4" s="43"/>
      <c r="L4" s="43"/>
      <c r="M4" s="43"/>
      <c r="N4" s="43"/>
      <c r="O4" s="43"/>
      <c r="P4" s="43"/>
      <c r="Q4" s="43"/>
      <c r="R4" s="43"/>
      <c r="S4" s="43"/>
      <c r="T4" s="5"/>
      <c r="U4" s="43"/>
      <c r="V4" s="43" t="s">
        <v>420</v>
      </c>
      <c r="W4" s="43">
        <f>SK!X79</f>
        <v>16</v>
      </c>
      <c r="X4" s="43"/>
      <c r="Y4" s="43"/>
      <c r="Z4" s="43"/>
      <c r="AA4" s="43"/>
      <c r="AB4" s="43"/>
      <c r="AC4" s="43"/>
      <c r="AD4" s="43"/>
      <c r="AE4" s="43"/>
      <c r="AF4" s="43"/>
      <c r="AG4" s="43"/>
      <c r="AH4" s="43"/>
      <c r="AI4" s="43"/>
      <c r="AJ4" s="43"/>
      <c r="AK4" s="43"/>
    </row>
    <row r="5" ht="12.75" customHeight="1">
      <c r="A5" s="5"/>
      <c r="B5" s="43"/>
      <c r="C5" s="43" t="s">
        <v>421</v>
      </c>
      <c r="D5" s="43">
        <f>COUNTIF(Q9:Q28,"&gt;0")</f>
        <v>15</v>
      </c>
      <c r="E5" s="43"/>
      <c r="F5" s="43"/>
      <c r="G5" s="43"/>
      <c r="H5" s="43"/>
      <c r="I5" s="43"/>
      <c r="J5" s="43"/>
      <c r="K5" s="43"/>
      <c r="L5" s="43"/>
      <c r="M5" s="43"/>
      <c r="N5" s="43"/>
      <c r="O5" s="43"/>
      <c r="P5" s="43"/>
      <c r="Q5" s="43"/>
      <c r="R5" s="43"/>
      <c r="S5" s="43"/>
      <c r="T5" s="5"/>
      <c r="U5" s="43"/>
      <c r="V5" s="43" t="s">
        <v>422</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423</v>
      </c>
      <c r="B7" s="8"/>
      <c r="C7" s="9"/>
      <c r="D7" s="873"/>
      <c r="E7" s="873"/>
      <c r="F7" s="873"/>
      <c r="G7" s="873"/>
      <c r="H7" s="873"/>
      <c r="I7" s="873"/>
      <c r="J7" s="873"/>
      <c r="K7" s="873"/>
      <c r="L7" s="873"/>
      <c r="M7" s="873"/>
      <c r="N7" s="873"/>
      <c r="O7" s="873"/>
      <c r="P7" s="873"/>
      <c r="Q7" s="873"/>
      <c r="R7" s="873"/>
      <c r="S7" s="43"/>
      <c r="T7" s="872" t="s">
        <v>423</v>
      </c>
      <c r="U7" s="8"/>
      <c r="V7" s="9"/>
      <c r="W7" s="873"/>
      <c r="X7" s="873"/>
      <c r="Y7" s="873"/>
      <c r="Z7" s="873"/>
      <c r="AA7" s="873"/>
      <c r="AB7" s="873"/>
      <c r="AC7" s="873"/>
      <c r="AD7" s="873"/>
      <c r="AE7" s="873"/>
      <c r="AF7" s="873"/>
      <c r="AG7" s="873"/>
      <c r="AH7" s="873"/>
      <c r="AI7" s="873"/>
      <c r="AJ7" s="873"/>
      <c r="AK7" s="873"/>
    </row>
    <row r="8" ht="12.75" customHeight="1">
      <c r="A8" s="874">
        <v>0.0</v>
      </c>
      <c r="B8" s="874" t="s">
        <v>424</v>
      </c>
      <c r="C8" s="874" t="s">
        <v>425</v>
      </c>
      <c r="D8" s="874" t="s">
        <v>282</v>
      </c>
      <c r="E8" s="875" t="s">
        <v>426</v>
      </c>
      <c r="F8" s="876" t="s">
        <v>283</v>
      </c>
      <c r="G8" s="876" t="s">
        <v>283</v>
      </c>
      <c r="H8" s="876" t="s">
        <v>283</v>
      </c>
      <c r="I8" s="876" t="s">
        <v>283</v>
      </c>
      <c r="J8" s="874" t="s">
        <v>427</v>
      </c>
      <c r="K8" s="875" t="s">
        <v>428</v>
      </c>
      <c r="L8" s="874" t="s">
        <v>429</v>
      </c>
      <c r="M8" s="875" t="s">
        <v>430</v>
      </c>
      <c r="N8" s="877" t="s">
        <v>431</v>
      </c>
      <c r="O8" s="874" t="s">
        <v>280</v>
      </c>
      <c r="P8" s="875" t="s">
        <v>432</v>
      </c>
      <c r="Q8" s="874" t="s">
        <v>398</v>
      </c>
      <c r="R8" s="875" t="s">
        <v>433</v>
      </c>
      <c r="S8" s="5"/>
      <c r="T8" s="874">
        <v>0.0</v>
      </c>
      <c r="U8" s="874" t="s">
        <v>424</v>
      </c>
      <c r="V8" s="874" t="s">
        <v>425</v>
      </c>
      <c r="W8" s="874" t="s">
        <v>282</v>
      </c>
      <c r="X8" s="875" t="s">
        <v>426</v>
      </c>
      <c r="Y8" s="876" t="s">
        <v>283</v>
      </c>
      <c r="Z8" s="876" t="s">
        <v>283</v>
      </c>
      <c r="AA8" s="876" t="s">
        <v>283</v>
      </c>
      <c r="AB8" s="876" t="s">
        <v>283</v>
      </c>
      <c r="AC8" s="874" t="s">
        <v>427</v>
      </c>
      <c r="AD8" s="875" t="s">
        <v>428</v>
      </c>
      <c r="AE8" s="874" t="s">
        <v>429</v>
      </c>
      <c r="AF8" s="875" t="s">
        <v>430</v>
      </c>
      <c r="AG8" s="877" t="s">
        <v>431</v>
      </c>
      <c r="AH8" s="874" t="s">
        <v>280</v>
      </c>
      <c r="AI8" s="875" t="s">
        <v>432</v>
      </c>
      <c r="AJ8" s="874" t="s">
        <v>398</v>
      </c>
      <c r="AK8" s="875" t="s">
        <v>433</v>
      </c>
    </row>
    <row r="9" ht="12.75" customHeight="1">
      <c r="A9" s="5">
        <f t="shared" ref="A9:A28" si="1">A8+1</f>
        <v>1</v>
      </c>
      <c r="B9" s="878" t="str">
        <f>IF(ISBLANK(IGRF!B14),"",IGRF!B14)</f>
        <v>04</v>
      </c>
      <c r="C9" s="878" t="str">
        <f>IF(ISBLANK(IGRF!C14),"",IGRF!C14)</f>
        <v>Nina</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4</v>
      </c>
      <c r="I9" s="880">
        <f>IF($B9="","",SUMPRODUCT(--(Lineups!S$4:S$41=$B9),--(Lineups!A$4:A$41&lt;&gt;"SP")))</f>
        <v>3</v>
      </c>
      <c r="J9" s="43">
        <f t="shared" ref="J9:J28" si="3">IF(B9="","",SUM(F9:I9))</f>
        <v>7</v>
      </c>
      <c r="K9" s="879">
        <f t="shared" ref="K9:K28" si="4">IF($B9="","",IF($D$3=0,"",J9/$D$3))</f>
        <v>0.3333333333</v>
      </c>
      <c r="L9" s="43">
        <f t="shared" ref="L9:L28" si="5">IF(B9="","",SUM(D9,J9))</f>
        <v>7</v>
      </c>
      <c r="M9" s="879">
        <f t="shared" ref="M9:M28" si="6">IF($B9="","",IF($D$3=0,"",L9/$D$3))</f>
        <v>0.3333333333</v>
      </c>
      <c r="N9" s="881" t="str">
        <f>IF(B9="","",IF(OR(SK!E172="",SK!E172=0),"",SK!H172))</f>
        <v/>
      </c>
      <c r="O9" s="43">
        <f>IF($B9="","",SUMPRODUCT(--(Lineups!C$4:C$41=$B9)))</f>
        <v>0</v>
      </c>
      <c r="P9" s="879">
        <f t="shared" ref="P9:P28" si="7">IF($B9="","",IF($D$3=0,"",O9/$D$3))</f>
        <v>0</v>
      </c>
      <c r="Q9" s="43">
        <f t="shared" ref="Q9:Q28" si="8">IF(B9="","",SUM(L9,O9))</f>
        <v>7</v>
      </c>
      <c r="R9" s="879">
        <f t="shared" ref="R9:R28" si="9">IF($B9="","",IF($D$3=0,"",Q9/$D$3))</f>
        <v>0.3333333333</v>
      </c>
      <c r="S9" s="43"/>
      <c r="T9" s="5">
        <f t="shared" ref="T9:T28" si="10">T8+1</f>
        <v>1</v>
      </c>
      <c r="U9" s="878" t="str">
        <f>IF(ISBLANK(IGRF!I14),"",IGRF!I14)</f>
        <v>040</v>
      </c>
      <c r="V9" s="878" t="str">
        <f>IF(ISBLANK(IGRF!J14),"",IGRF!J14)</f>
        <v>Ruff Rackelhahn</v>
      </c>
      <c r="W9" s="43">
        <f>IF($U9="","",SUMPRODUCT(--(Lineups!$AG$4:$AG$41=$U9),--(Lineups!$AB$4:$AB$41="")))</f>
        <v>0</v>
      </c>
      <c r="X9" s="879">
        <f t="shared" ref="X9:X28" si="11">IF($U9="","",IF($W$3=0,"",W9/$W$3))</f>
        <v>0</v>
      </c>
      <c r="Y9" s="880">
        <f>IF($U9="","",SUMPRODUCT(--(Lineups!$AG$4:$AG$41=$U9),--(Lineups!$AB$4:$AB$41="X")))</f>
        <v>0</v>
      </c>
      <c r="Z9" s="880">
        <f>IF($U9="","",SUMPRODUCT(--(Lineups!AK$4:AK$41=$U9),--(Lineups!AA$4:AA$41&lt;&gt;"SP")))</f>
        <v>7</v>
      </c>
      <c r="AA9" s="880">
        <f>IF($U9="","",SUMPRODUCT(--(Lineups!AO$4:AO$41=$U9),--(Lineups!AA$4:AA$41&lt;&gt;"SP")))</f>
        <v>3</v>
      </c>
      <c r="AB9" s="880">
        <f>IF($U9="","",SUMPRODUCT(--(Lineups!AS$4:AS$41=$U9),--(Lineups!AA$4:AA$41&lt;&gt;"SP")))</f>
        <v>1</v>
      </c>
      <c r="AC9" s="43">
        <f t="shared" ref="AC9:AC28" si="12">IF(U9="","",SUM(Y9:AB9))</f>
        <v>11</v>
      </c>
      <c r="AD9" s="879">
        <f t="shared" ref="AD9:AD28" si="13">IF($U9="","",IF($W$3=0,"",AC9/$W$3))</f>
        <v>0.5238095238</v>
      </c>
      <c r="AE9" s="43">
        <f t="shared" ref="AE9:AE28" si="14">IF(U9="","",SUM(W9,AC9))</f>
        <v>11</v>
      </c>
      <c r="AF9" s="879">
        <f t="shared" ref="AF9:AF28" si="15">IF($U9="","",IF($W$3=0,"",AE9/$W$3))</f>
        <v>0.5238095238</v>
      </c>
      <c r="AG9" s="881" t="str">
        <f>IF(U9="","",IF(OR(SK!U172="",SK!U172=0),"",SK!X172))</f>
        <v/>
      </c>
      <c r="AH9" s="43">
        <f>IF($U9="","",SUMPRODUCT(--(Lineups!AC$4:AC$41=$U9)))</f>
        <v>0</v>
      </c>
      <c r="AI9" s="879">
        <f t="shared" ref="AI9:AI28" si="16">IF($U9="","",IF($W$3=0,"",AH9/$W$3))</f>
        <v>0</v>
      </c>
      <c r="AJ9" s="43">
        <f t="shared" ref="AJ9:AJ28" si="17">IF(U9="","",SUM(AE9,AH9))</f>
        <v>11</v>
      </c>
      <c r="AK9" s="879">
        <f t="shared" ref="AK9:AK28" si="18">IF($U9="","",IF($W$3=0,"",AJ9/$W$3))</f>
        <v>0.5238095238</v>
      </c>
    </row>
    <row r="10" ht="12.75" customHeight="1">
      <c r="A10" s="882">
        <f t="shared" si="1"/>
        <v>2</v>
      </c>
      <c r="B10" s="883" t="str">
        <f>IF(ISBLANK(IGRF!B15),"",IGRF!B15)</f>
        <v>16</v>
      </c>
      <c r="C10" s="883" t="str">
        <f>IF(ISBLANK(IGRF!C15),"",IGRF!C15)</f>
        <v>Saabor</v>
      </c>
      <c r="D10" s="884">
        <f>IF($B10="","",SUMPRODUCT(--(Lineups!$G$4:$G$41=$B10),--(Lineups!$B$4:$B$41="")))</f>
        <v>0</v>
      </c>
      <c r="E10" s="885">
        <f t="shared" si="2"/>
        <v>0</v>
      </c>
      <c r="F10" s="880">
        <f>IF($B10="","",SUMPRODUCT(--(Lineups!$G$4:$G$41=$B10),--(Lineups!$B$4:$B$41="X")))</f>
        <v>1</v>
      </c>
      <c r="G10" s="880">
        <f>IF($B10="","",SUMPRODUCT(--(Lineups!K$4:K$41=$B10),--(Lineups!A$4:A$41&lt;&gt;"SP")))</f>
        <v>0</v>
      </c>
      <c r="H10" s="880">
        <f>IF($B10="","",SUMPRODUCT(--(Lineups!O$4:O$41=$B10),--(Lineups!A$4:A$41&lt;&gt;"SP")))</f>
        <v>0</v>
      </c>
      <c r="I10" s="880">
        <f>IF($B10="","",SUMPRODUCT(--(Lineups!S$4:S$41=$B10),--(Lineups!A$4:A$41&lt;&gt;"SP")))</f>
        <v>0</v>
      </c>
      <c r="J10" s="884">
        <f t="shared" si="3"/>
        <v>1</v>
      </c>
      <c r="K10" s="885">
        <f t="shared" si="4"/>
        <v>0.04761904762</v>
      </c>
      <c r="L10" s="884">
        <f t="shared" si="5"/>
        <v>1</v>
      </c>
      <c r="M10" s="885">
        <f t="shared" si="6"/>
        <v>0.04761904762</v>
      </c>
      <c r="N10" s="886">
        <f>IF(B10="","",IF(OR(SK!E175="",SK!E175=0),"",SK!H175))</f>
        <v>1</v>
      </c>
      <c r="O10" s="884">
        <f>IF($B10="","",SUMPRODUCT(--(Lineups!C$4:C$41=$B10)))</f>
        <v>6</v>
      </c>
      <c r="P10" s="885">
        <f t="shared" si="7"/>
        <v>0.2857142857</v>
      </c>
      <c r="Q10" s="884">
        <f t="shared" si="8"/>
        <v>7</v>
      </c>
      <c r="R10" s="885">
        <f t="shared" si="9"/>
        <v>0.3333333333</v>
      </c>
      <c r="S10" s="43"/>
      <c r="T10" s="882">
        <f t="shared" si="10"/>
        <v>2</v>
      </c>
      <c r="U10" s="883" t="str">
        <f>IF(ISBLANK(IGRF!I15),"",IGRF!I15)</f>
        <v>101</v>
      </c>
      <c r="V10" s="883" t="str">
        <f>IF(ISBLANK(IGRF!J15),"",IGRF!J15)</f>
        <v>Powell</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f>IF(U10="","",IF(OR(SK!U175="",SK!U175=0),"",SK!X175))</f>
        <v>3</v>
      </c>
      <c r="AH10" s="884">
        <f>IF($U10="","",SUMPRODUCT(--(Lineups!AC$4:AC$41=$U10)))</f>
        <v>6</v>
      </c>
      <c r="AI10" s="885">
        <f t="shared" si="16"/>
        <v>0.2857142857</v>
      </c>
      <c r="AJ10" s="884">
        <f t="shared" si="17"/>
        <v>6</v>
      </c>
      <c r="AK10" s="885">
        <f t="shared" si="18"/>
        <v>0.2857142857</v>
      </c>
    </row>
    <row r="11" ht="12.75" customHeight="1">
      <c r="A11" s="5">
        <f t="shared" si="1"/>
        <v>3</v>
      </c>
      <c r="B11" s="878" t="str">
        <f>IF(ISBLANK(IGRF!B16),"",IGRF!B16)</f>
        <v>177</v>
      </c>
      <c r="C11" s="878" t="str">
        <f>IF(ISBLANK(IGRF!C16),"",IGRF!C16)</f>
        <v>Phoenix</v>
      </c>
      <c r="D11" s="43">
        <f>IF($B11="","",SUMPRODUCT(--(Lineups!$G$4:$G$41=$B11),--(Lineups!$B$4:$B$41="")))</f>
        <v>0</v>
      </c>
      <c r="E11" s="879">
        <f t="shared" si="2"/>
        <v>0</v>
      </c>
      <c r="F11" s="880">
        <f>IF($B11="","",SUMPRODUCT(--(Lineups!$G$4:$G$41=$B11),--(Lineups!$B$4:$B$41="X")))</f>
        <v>0</v>
      </c>
      <c r="G11" s="880">
        <f>IF($B11="","",SUMPRODUCT(--(Lineups!K$4:K$41=$B11),--(Lineups!A$4:A$41&lt;&gt;"SP")))</f>
        <v>3</v>
      </c>
      <c r="H11" s="880">
        <f>IF($B11="","",SUMPRODUCT(--(Lineups!O$4:O$41=$B11),--(Lineups!A$4:A$41&lt;&gt;"SP")))</f>
        <v>3</v>
      </c>
      <c r="I11" s="880">
        <f>IF($B11="","",SUMPRODUCT(--(Lineups!S$4:S$41=$B11),--(Lineups!A$4:A$41&lt;&gt;"SP")))</f>
        <v>2</v>
      </c>
      <c r="J11" s="43">
        <f t="shared" si="3"/>
        <v>8</v>
      </c>
      <c r="K11" s="879">
        <f t="shared" si="4"/>
        <v>0.380952381</v>
      </c>
      <c r="L11" s="43">
        <f t="shared" si="5"/>
        <v>8</v>
      </c>
      <c r="M11" s="879">
        <f t="shared" si="6"/>
        <v>0.380952381</v>
      </c>
      <c r="N11" s="881" t="str">
        <f>IF(B11="","",IF(OR(SK!E178="",SK!E178=0),"",SK!H178))</f>
        <v/>
      </c>
      <c r="O11" s="43">
        <f>IF($B11="","",SUMPRODUCT(--(Lineups!C$4:C$41=$B11)))</f>
        <v>0</v>
      </c>
      <c r="P11" s="879">
        <f t="shared" si="7"/>
        <v>0</v>
      </c>
      <c r="Q11" s="43">
        <f t="shared" si="8"/>
        <v>8</v>
      </c>
      <c r="R11" s="879">
        <f t="shared" si="9"/>
        <v>0.380952381</v>
      </c>
      <c r="S11" s="43"/>
      <c r="T11" s="5">
        <f t="shared" si="10"/>
        <v>3</v>
      </c>
      <c r="U11" s="878" t="str">
        <f>IF(ISBLANK(IGRF!I16),"",IGRF!I16)</f>
        <v>11</v>
      </c>
      <c r="V11" s="878" t="str">
        <f>IF(ISBLANK(IGRF!J16),"",IGRF!J16)</f>
        <v>Bambi Deerdevil</v>
      </c>
      <c r="W11" s="43">
        <f>IF($U11="","",SUMPRODUCT(--(Lineups!$AG$4:$AG$41=$U11),--(Lineups!$AB$4:$AB$41="")))</f>
        <v>0</v>
      </c>
      <c r="X11" s="879">
        <f t="shared" si="11"/>
        <v>0</v>
      </c>
      <c r="Y11" s="880">
        <f>IF($U11="","",SUMPRODUCT(--(Lineups!$AG$4:$AG$41=$U11),--(Lineups!$AB$4:$AB$41="X")))</f>
        <v>1</v>
      </c>
      <c r="Z11" s="880">
        <f>IF($U11="","",SUMPRODUCT(--(Lineups!AK$4:AK$41=$U11),--(Lineups!AA$4:AA$41&lt;&gt;"SP")))</f>
        <v>0</v>
      </c>
      <c r="AA11" s="880">
        <f>IF($U11="","",SUMPRODUCT(--(Lineups!AO$4:AO$41=$U11),--(Lineups!AA$4:AA$41&lt;&gt;"SP")))</f>
        <v>0</v>
      </c>
      <c r="AB11" s="880">
        <f>IF($U11="","",SUMPRODUCT(--(Lineups!AS$4:AS$41=$U11),--(Lineups!AA$4:AA$41&lt;&gt;"SP")))</f>
        <v>0</v>
      </c>
      <c r="AC11" s="43">
        <f t="shared" si="12"/>
        <v>1</v>
      </c>
      <c r="AD11" s="879">
        <f t="shared" si="13"/>
        <v>0.04761904762</v>
      </c>
      <c r="AE11" s="43">
        <f t="shared" si="14"/>
        <v>1</v>
      </c>
      <c r="AF11" s="879">
        <f t="shared" si="15"/>
        <v>0.04761904762</v>
      </c>
      <c r="AG11" s="881">
        <f>IF(U11="","",IF(OR(SK!U178="",SK!U178=0),"",SK!X178))</f>
        <v>4</v>
      </c>
      <c r="AH11" s="43">
        <f>IF($U11="","",SUMPRODUCT(--(Lineups!AC$4:AC$41=$U11)))</f>
        <v>5</v>
      </c>
      <c r="AI11" s="879">
        <f t="shared" si="16"/>
        <v>0.2380952381</v>
      </c>
      <c r="AJ11" s="43">
        <f t="shared" si="17"/>
        <v>6</v>
      </c>
      <c r="AK11" s="879">
        <f t="shared" si="18"/>
        <v>0.2857142857</v>
      </c>
    </row>
    <row r="12" ht="12.75" customHeight="1">
      <c r="A12" s="882">
        <f t="shared" si="1"/>
        <v>4</v>
      </c>
      <c r="B12" s="883" t="str">
        <f>IF(ISBLANK(IGRF!B17),"",IGRF!B17)</f>
        <v>215</v>
      </c>
      <c r="C12" s="883" t="str">
        <f>IF(ISBLANK(IGRF!C17),"",IGRF!C17)</f>
        <v>Pollock</v>
      </c>
      <c r="D12" s="884">
        <f>IF($B12="","",SUMPRODUCT(--(Lineups!$G$4:$G$41=$B12),--(Lineups!$B$4:$B$41="")))</f>
        <v>0</v>
      </c>
      <c r="E12" s="885">
        <f t="shared" si="2"/>
        <v>0</v>
      </c>
      <c r="F12" s="880">
        <f>IF($B12="","",SUMPRODUCT(--(Lineups!$G$4:$G$41=$B12),--(Lineups!$B$4:$B$41="X")))</f>
        <v>0</v>
      </c>
      <c r="G12" s="880">
        <f>IF($B12="","",SUMPRODUCT(--(Lineups!K$4:K$41=$B12),--(Lineups!A$4:A$41&lt;&gt;"SP")))</f>
        <v>0</v>
      </c>
      <c r="H12" s="880">
        <f>IF($B12="","",SUMPRODUCT(--(Lineups!O$4:O$41=$B12),--(Lineups!A$4:A$41&lt;&gt;"SP")))</f>
        <v>0</v>
      </c>
      <c r="I12" s="880">
        <f>IF($B12="","",SUMPRODUCT(--(Lineups!S$4:S$41=$B12),--(Lineups!A$4:A$41&lt;&gt;"SP")))</f>
        <v>0</v>
      </c>
      <c r="J12" s="884">
        <f t="shared" si="3"/>
        <v>0</v>
      </c>
      <c r="K12" s="885">
        <f t="shared" si="4"/>
        <v>0</v>
      </c>
      <c r="L12" s="884">
        <f t="shared" si="5"/>
        <v>0</v>
      </c>
      <c r="M12" s="885">
        <f t="shared" si="6"/>
        <v>0</v>
      </c>
      <c r="N12" s="886">
        <f>IF(B12="","",IF(OR(SK!E181="",SK!E181=0),"",SK!H181))</f>
        <v>1</v>
      </c>
      <c r="O12" s="884">
        <f>IF($B12="","",SUMPRODUCT(--(Lineups!C$4:C$41=$B12)))</f>
        <v>3</v>
      </c>
      <c r="P12" s="885">
        <f t="shared" si="7"/>
        <v>0.1428571429</v>
      </c>
      <c r="Q12" s="884">
        <f t="shared" si="8"/>
        <v>3</v>
      </c>
      <c r="R12" s="885">
        <f t="shared" si="9"/>
        <v>0.1428571429</v>
      </c>
      <c r="S12" s="43"/>
      <c r="T12" s="882">
        <f t="shared" si="10"/>
        <v>4</v>
      </c>
      <c r="U12" s="883" t="str">
        <f>IF(ISBLANK(IGRF!I17),"",IGRF!I17)</f>
        <v>33</v>
      </c>
      <c r="V12" s="883" t="str">
        <f>IF(ISBLANK(IGRF!J17),"",IGRF!J17)</f>
        <v>Fox Mauler</v>
      </c>
      <c r="W12" s="884">
        <f>IF($U12="","",SUMPRODUCT(--(Lineups!$AG$4:$AG$41=$U12),--(Lineups!$AB$4:$AB$41="")))</f>
        <v>0</v>
      </c>
      <c r="X12" s="885">
        <f t="shared" si="11"/>
        <v>0</v>
      </c>
      <c r="Y12" s="880">
        <f>IF($U12="","",SUMPRODUCT(--(Lineups!$AG$4:$AG$41=$U12),--(Lineups!$AB$4:$AB$41="X")))</f>
        <v>1</v>
      </c>
      <c r="Z12" s="880">
        <f>IF($U12="","",SUMPRODUCT(--(Lineups!AK$4:AK$41=$U12),--(Lineups!AA$4:AA$41&lt;&gt;"SP")))</f>
        <v>0</v>
      </c>
      <c r="AA12" s="880">
        <f>IF($U12="","",SUMPRODUCT(--(Lineups!AO$4:AO$41=$U12),--(Lineups!AA$4:AA$41&lt;&gt;"SP")))</f>
        <v>0</v>
      </c>
      <c r="AB12" s="880">
        <f>IF($U12="","",SUMPRODUCT(--(Lineups!AS$4:AS$41=$U12),--(Lineups!AA$4:AA$41&lt;&gt;"SP")))</f>
        <v>0</v>
      </c>
      <c r="AC12" s="884">
        <f t="shared" si="12"/>
        <v>1</v>
      </c>
      <c r="AD12" s="885">
        <f t="shared" si="13"/>
        <v>0.04761904762</v>
      </c>
      <c r="AE12" s="884">
        <f t="shared" si="14"/>
        <v>1</v>
      </c>
      <c r="AF12" s="885">
        <f t="shared" si="15"/>
        <v>0.04761904762</v>
      </c>
      <c r="AG12" s="886">
        <f>IF(U12="","",IF(OR(SK!U181="",SK!U181=0),"",SK!X181))</f>
        <v>3</v>
      </c>
      <c r="AH12" s="884">
        <f>IF($U12="","",SUMPRODUCT(--(Lineups!AC$4:AC$41=$U12)))</f>
        <v>4</v>
      </c>
      <c r="AI12" s="885">
        <f t="shared" si="16"/>
        <v>0.1904761905</v>
      </c>
      <c r="AJ12" s="884">
        <f t="shared" si="17"/>
        <v>5</v>
      </c>
      <c r="AK12" s="885">
        <f t="shared" si="18"/>
        <v>0.2380952381</v>
      </c>
    </row>
    <row r="13" ht="12.75" customHeight="1">
      <c r="A13" s="5">
        <f t="shared" si="1"/>
        <v>5</v>
      </c>
      <c r="B13" s="878" t="str">
        <f>IF(ISBLANK(IGRF!B18),"",IGRF!B18)</f>
        <v>27</v>
      </c>
      <c r="C13" s="878" t="str">
        <f>IF(ISBLANK(IGRF!C18),"",IGRF!C18)</f>
        <v>MegaHurtz</v>
      </c>
      <c r="D13" s="43">
        <f>IF($B13="","",SUMPRODUCT(--(Lineups!$G$4:$G$41=$B13),--(Lineups!$B$4:$B$41="")))</f>
        <v>0</v>
      </c>
      <c r="E13" s="879">
        <f t="shared" si="2"/>
        <v>0</v>
      </c>
      <c r="F13" s="880">
        <f>IF($B13="","",SUMPRODUCT(--(Lineups!$G$4:$G$41=$B13),--(Lineups!$B$4:$B$41="X")))</f>
        <v>0</v>
      </c>
      <c r="G13" s="880">
        <f>IF($B13="","",SUMPRODUCT(--(Lineups!K$4:K$41=$B13),--(Lineups!A$4:A$41&lt;&gt;"SP")))</f>
        <v>0</v>
      </c>
      <c r="H13" s="880">
        <f>IF($B13="","",SUMPRODUCT(--(Lineups!O$4:O$41=$B13),--(Lineups!A$4:A$41&lt;&gt;"SP")))</f>
        <v>0</v>
      </c>
      <c r="I13" s="880">
        <f>IF($B13="","",SUMPRODUCT(--(Lineups!S$4:S$41=$B13),--(Lineups!A$4:A$41&lt;&gt;"SP")))</f>
        <v>0</v>
      </c>
      <c r="J13" s="43">
        <f t="shared" si="3"/>
        <v>0</v>
      </c>
      <c r="K13" s="879">
        <f t="shared" si="4"/>
        <v>0</v>
      </c>
      <c r="L13" s="43">
        <f t="shared" si="5"/>
        <v>0</v>
      </c>
      <c r="M13" s="879">
        <f t="shared" si="6"/>
        <v>0</v>
      </c>
      <c r="N13" s="881" t="str">
        <f>IF(B13="","",IF(OR(SK!E184="",SK!E184=0),"",SK!H184))</f>
        <v/>
      </c>
      <c r="O13" s="43">
        <f>IF($B13="","",SUMPRODUCT(--(Lineups!C$4:C$41=$B13)))</f>
        <v>0</v>
      </c>
      <c r="P13" s="879">
        <f t="shared" si="7"/>
        <v>0</v>
      </c>
      <c r="Q13" s="43">
        <f t="shared" si="8"/>
        <v>0</v>
      </c>
      <c r="R13" s="879">
        <f t="shared" si="9"/>
        <v>0</v>
      </c>
      <c r="S13" s="43"/>
      <c r="T13" s="5">
        <f t="shared" si="10"/>
        <v>5</v>
      </c>
      <c r="U13" s="878" t="str">
        <f>IF(ISBLANK(IGRF!I18),"",IGRF!I18)</f>
        <v>1337</v>
      </c>
      <c r="V13" s="878" t="str">
        <f>IF(ISBLANK(IGRF!J18),"",IGRF!J18)</f>
        <v>8Bit Betty</v>
      </c>
      <c r="W13" s="43">
        <f>IF($U13="","",SUMPRODUCT(--(Lineups!$AG$4:$AG$41=$U13),--(Lineups!$AB$4:$AB$41="")))</f>
        <v>1</v>
      </c>
      <c r="X13" s="879">
        <f t="shared" si="11"/>
        <v>0.04761904762</v>
      </c>
      <c r="Y13" s="880">
        <f>IF($U13="","",SUMPRODUCT(--(Lineups!$AG$4:$AG$41=$U13),--(Lineups!$AB$4:$AB$41="X")))</f>
        <v>0</v>
      </c>
      <c r="Z13" s="880">
        <f>IF($U13="","",SUMPRODUCT(--(Lineups!AK$4:AK$41=$U13),--(Lineups!AA$4:AA$41&lt;&gt;"SP")))</f>
        <v>2</v>
      </c>
      <c r="AA13" s="880">
        <f>IF($U13="","",SUMPRODUCT(--(Lineups!AO$4:AO$41=$U13),--(Lineups!AA$4:AA$41&lt;&gt;"SP")))</f>
        <v>2</v>
      </c>
      <c r="AB13" s="880">
        <f>IF($U13="","",SUMPRODUCT(--(Lineups!AS$4:AS$41=$U13),--(Lineups!AA$4:AA$41&lt;&gt;"SP")))</f>
        <v>4</v>
      </c>
      <c r="AC13" s="43">
        <f t="shared" si="12"/>
        <v>8</v>
      </c>
      <c r="AD13" s="879">
        <f t="shared" si="13"/>
        <v>0.380952381</v>
      </c>
      <c r="AE13" s="43">
        <f t="shared" si="14"/>
        <v>9</v>
      </c>
      <c r="AF13" s="879">
        <f t="shared" si="15"/>
        <v>0.4285714286</v>
      </c>
      <c r="AG13" s="881" t="str">
        <f>IF(U13="","",IF(OR(SK!U184="",SK!U184=0),"",SK!X184))</f>
        <v/>
      </c>
      <c r="AH13" s="43">
        <f>IF($U13="","",SUMPRODUCT(--(Lineups!AC$4:AC$41=$U13)))</f>
        <v>0</v>
      </c>
      <c r="AI13" s="879">
        <f t="shared" si="16"/>
        <v>0</v>
      </c>
      <c r="AJ13" s="43">
        <f t="shared" si="17"/>
        <v>9</v>
      </c>
      <c r="AK13" s="879">
        <f t="shared" si="18"/>
        <v>0.4285714286</v>
      </c>
    </row>
    <row r="14" ht="12.75" customHeight="1">
      <c r="A14" s="882">
        <f t="shared" si="1"/>
        <v>6</v>
      </c>
      <c r="B14" s="883" t="str">
        <f>IF(ISBLANK(IGRF!B19),"",IGRF!B19)</f>
        <v>271</v>
      </c>
      <c r="C14" s="883" t="str">
        <f>IF(ISBLANK(IGRF!C19),"",IGRF!C19)</f>
        <v>Peb Canary</v>
      </c>
      <c r="D14" s="884">
        <f>IF($B14="","",SUMPRODUCT(--(Lineups!$G$4:$G$41=$B14),--(Lineups!$B$4:$B$41="")))</f>
        <v>0</v>
      </c>
      <c r="E14" s="885">
        <f t="shared" si="2"/>
        <v>0</v>
      </c>
      <c r="F14" s="880">
        <f>IF($B14="","",SUMPRODUCT(--(Lineups!$G$4:$G$41=$B14),--(Lineups!$B$4:$B$41="X")))</f>
        <v>1</v>
      </c>
      <c r="G14" s="880">
        <f>IF($B14="","",SUMPRODUCT(--(Lineups!K$4:K$41=$B14),--(Lineups!A$4:A$41&lt;&gt;"SP")))</f>
        <v>0</v>
      </c>
      <c r="H14" s="880">
        <f>IF($B14="","",SUMPRODUCT(--(Lineups!O$4:O$41=$B14),--(Lineups!A$4:A$41&lt;&gt;"SP")))</f>
        <v>0</v>
      </c>
      <c r="I14" s="880">
        <f>IF($B14="","",SUMPRODUCT(--(Lineups!S$4:S$41=$B14),--(Lineups!A$4:A$41&lt;&gt;"SP")))</f>
        <v>0</v>
      </c>
      <c r="J14" s="884">
        <f t="shared" si="3"/>
        <v>1</v>
      </c>
      <c r="K14" s="885">
        <f t="shared" si="4"/>
        <v>0.04761904762</v>
      </c>
      <c r="L14" s="884">
        <f t="shared" si="5"/>
        <v>1</v>
      </c>
      <c r="M14" s="885">
        <f t="shared" si="6"/>
        <v>0.04761904762</v>
      </c>
      <c r="N14" s="886">
        <f>IF(B14="","",IF(OR(SK!E187="",SK!E187=0),"",SK!H187))</f>
        <v>1</v>
      </c>
      <c r="O14" s="884">
        <f>IF($B14="","",SUMPRODUCT(--(Lineups!C$4:C$41=$B14)))</f>
        <v>4</v>
      </c>
      <c r="P14" s="885">
        <f t="shared" si="7"/>
        <v>0.1904761905</v>
      </c>
      <c r="Q14" s="884">
        <f t="shared" si="8"/>
        <v>5</v>
      </c>
      <c r="R14" s="885">
        <f t="shared" si="9"/>
        <v>0.2380952381</v>
      </c>
      <c r="S14" s="43"/>
      <c r="T14" s="882">
        <f t="shared" si="10"/>
        <v>6</v>
      </c>
      <c r="U14" s="883" t="str">
        <f>IF(ISBLANK(IGRF!I19),"",IGRF!I19)</f>
        <v>150</v>
      </c>
      <c r="V14" s="883" t="str">
        <f>IF(ISBLANK(IGRF!J19),"",IGRF!J19)</f>
        <v>Cooney</v>
      </c>
      <c r="W14" s="884">
        <f>IF($U14="","",SUMPRODUCT(--(Lineups!$AG$4:$AG$41=$U14),--(Lineups!$AB$4:$AB$41="")))</f>
        <v>0</v>
      </c>
      <c r="X14" s="885">
        <f t="shared" si="11"/>
        <v>0</v>
      </c>
      <c r="Y14" s="880">
        <f>IF($U14="","",SUMPRODUCT(--(Lineups!$AG$4:$AG$41=$U14),--(Lineups!$AB$4:$AB$41="X")))</f>
        <v>0</v>
      </c>
      <c r="Z14" s="880">
        <f>IF($U14="","",SUMPRODUCT(--(Lineups!AK$4:AK$41=$U14),--(Lineups!AA$4:AA$41&lt;&gt;"SP")))</f>
        <v>2</v>
      </c>
      <c r="AA14" s="880">
        <f>IF($U14="","",SUMPRODUCT(--(Lineups!AO$4:AO$41=$U14),--(Lineups!AA$4:AA$41&lt;&gt;"SP")))</f>
        <v>2</v>
      </c>
      <c r="AB14" s="880">
        <f>IF($U14="","",SUMPRODUCT(--(Lineups!AS$4:AS$41=$U14),--(Lineups!AA$4:AA$41&lt;&gt;"SP")))</f>
        <v>0</v>
      </c>
      <c r="AC14" s="884">
        <f t="shared" si="12"/>
        <v>4</v>
      </c>
      <c r="AD14" s="885">
        <f t="shared" si="13"/>
        <v>0.1904761905</v>
      </c>
      <c r="AE14" s="884">
        <f t="shared" si="14"/>
        <v>4</v>
      </c>
      <c r="AF14" s="885">
        <f t="shared" si="15"/>
        <v>0.1904761905</v>
      </c>
      <c r="AG14" s="886" t="str">
        <f>IF(U14="","",IF(OR(SK!U187="",SK!U187=0),"",SK!X187))</f>
        <v/>
      </c>
      <c r="AH14" s="884">
        <f>IF($U14="","",SUMPRODUCT(--(Lineups!AC$4:AC$41=$U14)))</f>
        <v>0</v>
      </c>
      <c r="AI14" s="885">
        <f t="shared" si="16"/>
        <v>0</v>
      </c>
      <c r="AJ14" s="884">
        <f t="shared" si="17"/>
        <v>4</v>
      </c>
      <c r="AK14" s="885">
        <f t="shared" si="18"/>
        <v>0.1904761905</v>
      </c>
    </row>
    <row r="15" ht="12.75" customHeight="1">
      <c r="A15" s="5">
        <f t="shared" si="1"/>
        <v>7</v>
      </c>
      <c r="B15" s="878" t="str">
        <f>IF(ISBLANK(IGRF!B20),"",IGRF!B20)</f>
        <v>220</v>
      </c>
      <c r="C15" s="878" t="str">
        <f>IF(ISBLANK(IGRF!C20),"",IGRF!C20)</f>
        <v>Cerosene</v>
      </c>
      <c r="D15" s="43">
        <f>IF($B15="","",SUMPRODUCT(--(Lineups!$G$4:$G$41=$B15),--(Lineups!$B$4:$B$41="")))</f>
        <v>2</v>
      </c>
      <c r="E15" s="879">
        <f t="shared" si="2"/>
        <v>0.09523809524</v>
      </c>
      <c r="F15" s="880">
        <f>IF($B15="","",SUMPRODUCT(--(Lineups!$G$4:$G$41=$B15),--(Lineups!$B$4:$B$41="X")))</f>
        <v>0</v>
      </c>
      <c r="G15" s="880">
        <f>IF($B15="","",SUMPRODUCT(--(Lineups!K$4:K$41=$B15),--(Lineups!A$4:A$41&lt;&gt;"SP")))</f>
        <v>6</v>
      </c>
      <c r="H15" s="880">
        <f>IF($B15="","",SUMPRODUCT(--(Lineups!O$4:O$41=$B15),--(Lineups!A$4:A$41&lt;&gt;"SP")))</f>
        <v>2</v>
      </c>
      <c r="I15" s="880">
        <f>IF($B15="","",SUMPRODUCT(--(Lineups!S$4:S$41=$B15),--(Lineups!A$4:A$41&lt;&gt;"SP")))</f>
        <v>0</v>
      </c>
      <c r="J15" s="43">
        <f t="shared" si="3"/>
        <v>8</v>
      </c>
      <c r="K15" s="879">
        <f t="shared" si="4"/>
        <v>0.380952381</v>
      </c>
      <c r="L15" s="43">
        <f t="shared" si="5"/>
        <v>10</v>
      </c>
      <c r="M15" s="879">
        <f t="shared" si="6"/>
        <v>0.4761904762</v>
      </c>
      <c r="N15" s="881">
        <f>IF(B15="","",IF(OR(SK!E190="",SK!E190=0),"",SK!H190))</f>
        <v>0</v>
      </c>
      <c r="O15" s="43">
        <f>IF($B15="","",SUMPRODUCT(--(Lineups!C$4:C$41=$B15)))</f>
        <v>1</v>
      </c>
      <c r="P15" s="879">
        <f t="shared" si="7"/>
        <v>0.04761904762</v>
      </c>
      <c r="Q15" s="43">
        <f t="shared" si="8"/>
        <v>11</v>
      </c>
      <c r="R15" s="879">
        <f t="shared" si="9"/>
        <v>0.5238095238</v>
      </c>
      <c r="S15" s="43"/>
      <c r="T15" s="5">
        <f t="shared" si="10"/>
        <v>7</v>
      </c>
      <c r="U15" s="878" t="str">
        <f>IF(ISBLANK(IGRF!I20),"",IGRF!I20)</f>
        <v>16</v>
      </c>
      <c r="V15" s="878" t="str">
        <f>IF(ISBLANK(IGRF!J20),"",IGRF!J20)</f>
        <v>Jemerald</v>
      </c>
      <c r="W15" s="43">
        <f>IF($U15="","",SUMPRODUCT(--(Lineups!$AG$4:$AG$41=$U15),--(Lineups!$AB$4:$AB$41="")))</f>
        <v>0</v>
      </c>
      <c r="X15" s="879">
        <f t="shared" si="11"/>
        <v>0</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0</v>
      </c>
      <c r="AF15" s="879">
        <f t="shared" si="15"/>
        <v>0</v>
      </c>
      <c r="AG15" s="881">
        <f>IF(U15="","",IF(OR(SK!U190="",SK!U190=0),"",SK!X190))</f>
        <v>6</v>
      </c>
      <c r="AH15" s="43">
        <f>IF($U15="","",SUMPRODUCT(--(Lineups!AC$4:AC$41=$U15)))</f>
        <v>6</v>
      </c>
      <c r="AI15" s="879">
        <f t="shared" si="16"/>
        <v>0.2857142857</v>
      </c>
      <c r="AJ15" s="43">
        <f t="shared" si="17"/>
        <v>6</v>
      </c>
      <c r="AK15" s="879">
        <f t="shared" si="18"/>
        <v>0.2857142857</v>
      </c>
    </row>
    <row r="16" ht="12.75" customHeight="1">
      <c r="A16" s="882">
        <f t="shared" si="1"/>
        <v>8</v>
      </c>
      <c r="B16" s="883" t="str">
        <f>IF(ISBLANK(IGRF!B21),"",IGRF!B21)</f>
        <v>3556</v>
      </c>
      <c r="C16" s="883" t="str">
        <f>IF(ISBLANK(IGRF!C21),"",IGRF!C21)</f>
        <v>Crystal Beth</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t="str">
        <f>IF(B16="","",IF(OR(SK!E193="",SK!E193=0),"",SK!H193))</f>
        <v/>
      </c>
      <c r="O16" s="884">
        <f>IF($B16="","",SUMPRODUCT(--(Lineups!C$4:C$41=$B16)))</f>
        <v>0</v>
      </c>
      <c r="P16" s="885">
        <f t="shared" si="7"/>
        <v>0</v>
      </c>
      <c r="Q16" s="884">
        <f t="shared" si="8"/>
        <v>0</v>
      </c>
      <c r="R16" s="885">
        <f t="shared" si="9"/>
        <v>0</v>
      </c>
      <c r="S16" s="43"/>
      <c r="T16" s="882">
        <f t="shared" si="10"/>
        <v>8</v>
      </c>
      <c r="U16" s="883" t="str">
        <f>IF(ISBLANK(IGRF!I21),"",IGRF!I21)</f>
        <v>3110</v>
      </c>
      <c r="V16" s="883" t="str">
        <f>IF(ISBLANK(IGRF!J21),"",IGRF!J21)</f>
        <v>Grand DAM</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2</v>
      </c>
      <c r="AB16" s="880">
        <f>IF($U16="","",SUMPRODUCT(--(Lineups!AS$4:AS$41=$U16),--(Lineups!AA$4:AA$41&lt;&gt;"SP")))</f>
        <v>3</v>
      </c>
      <c r="AC16" s="884">
        <f t="shared" si="12"/>
        <v>5</v>
      </c>
      <c r="AD16" s="885">
        <f t="shared" si="13"/>
        <v>0.2380952381</v>
      </c>
      <c r="AE16" s="884">
        <f t="shared" si="14"/>
        <v>5</v>
      </c>
      <c r="AF16" s="885">
        <f t="shared" si="15"/>
        <v>0.2380952381</v>
      </c>
      <c r="AG16" s="886" t="str">
        <f>IF(U16="","",IF(OR(SK!U193="",SK!U193=0),"",SK!X193))</f>
        <v/>
      </c>
      <c r="AH16" s="884">
        <f>IF($U16="","",SUMPRODUCT(--(Lineups!AC$4:AC$41=$U16)))</f>
        <v>0</v>
      </c>
      <c r="AI16" s="885">
        <f t="shared" si="16"/>
        <v>0</v>
      </c>
      <c r="AJ16" s="884">
        <f t="shared" si="17"/>
        <v>5</v>
      </c>
      <c r="AK16" s="885">
        <f t="shared" si="18"/>
        <v>0.2380952381</v>
      </c>
    </row>
    <row r="17" ht="12.75" customHeight="1">
      <c r="A17" s="5">
        <f t="shared" si="1"/>
        <v>9</v>
      </c>
      <c r="B17" s="878" t="str">
        <f>IF(ISBLANK(IGRF!B22),"",IGRF!B22)</f>
        <v>360</v>
      </c>
      <c r="C17" s="878" t="str">
        <f>IF(ISBLANK(IGRF!C22),"",IGRF!C22)</f>
        <v>Baxter</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0</v>
      </c>
      <c r="I17" s="880">
        <f>IF($B17="","",SUMPRODUCT(--(Lineups!S$4:S$41=$B17),--(Lineups!A$4:A$41&lt;&gt;"SP")))</f>
        <v>0</v>
      </c>
      <c r="J17" s="43">
        <f t="shared" si="3"/>
        <v>0</v>
      </c>
      <c r="K17" s="879">
        <f t="shared" si="4"/>
        <v>0</v>
      </c>
      <c r="L17" s="43">
        <f t="shared" si="5"/>
        <v>0</v>
      </c>
      <c r="M17" s="879">
        <f t="shared" si="6"/>
        <v>0</v>
      </c>
      <c r="N17" s="881" t="str">
        <f>IF(B17="","",IF(OR(SK!E196="",SK!E196=0),"",SK!H196))</f>
        <v/>
      </c>
      <c r="O17" s="43">
        <f>IF($B17="","",SUMPRODUCT(--(Lineups!C$4:C$41=$B17)))</f>
        <v>0</v>
      </c>
      <c r="P17" s="879">
        <f t="shared" si="7"/>
        <v>0</v>
      </c>
      <c r="Q17" s="43">
        <f t="shared" si="8"/>
        <v>0</v>
      </c>
      <c r="R17" s="879">
        <f t="shared" si="9"/>
        <v>0</v>
      </c>
      <c r="S17" s="43"/>
      <c r="T17" s="5">
        <f t="shared" si="10"/>
        <v>9</v>
      </c>
      <c r="U17" s="878" t="str">
        <f>IF(ISBLANK(IGRF!I22),"",IGRF!I22)</f>
        <v>333</v>
      </c>
      <c r="V17" s="878" t="str">
        <f>IF(ISBLANK(IGRF!J22),"",IGRF!J22)</f>
        <v>Yonic Cyclonic</v>
      </c>
      <c r="W17" s="43">
        <f>IF($U17="","",SUMPRODUCT(--(Lineups!$AG$4:$AG$41=$U17),--(Lineups!$AB$4:$AB$41="")))</f>
        <v>0</v>
      </c>
      <c r="X17" s="879">
        <f t="shared" si="11"/>
        <v>0</v>
      </c>
      <c r="Y17" s="880">
        <f>IF($U17="","",SUMPRODUCT(--(Lineups!$AG$4:$AG$41=$U17),--(Lineups!$AB$4:$AB$41="X")))</f>
        <v>0</v>
      </c>
      <c r="Z17" s="880">
        <f>IF($U17="","",SUMPRODUCT(--(Lineups!AK$4:AK$41=$U17),--(Lineups!AA$4:AA$41&lt;&gt;"SP")))</f>
        <v>0</v>
      </c>
      <c r="AA17" s="880">
        <f>IF($U17="","",SUMPRODUCT(--(Lineups!AO$4:AO$41=$U17),--(Lineups!AA$4:AA$41&lt;&gt;"SP")))</f>
        <v>0</v>
      </c>
      <c r="AB17" s="880">
        <f>IF($U17="","",SUMPRODUCT(--(Lineups!AS$4:AS$41=$U17),--(Lineups!AA$4:AA$41&lt;&gt;"SP")))</f>
        <v>0</v>
      </c>
      <c r="AC17" s="43">
        <f t="shared" si="12"/>
        <v>0</v>
      </c>
      <c r="AD17" s="879">
        <f t="shared" si="13"/>
        <v>0</v>
      </c>
      <c r="AE17" s="43">
        <f t="shared" si="14"/>
        <v>0</v>
      </c>
      <c r="AF17" s="879">
        <f t="shared" si="15"/>
        <v>0</v>
      </c>
      <c r="AG17" s="881" t="str">
        <f>IF(U17="","",IF(OR(SK!U196="",SK!U196=0),"",SK!X196))</f>
        <v/>
      </c>
      <c r="AH17" s="43">
        <f>IF($U17="","",SUMPRODUCT(--(Lineups!AC$4:AC$41=$U17)))</f>
        <v>0</v>
      </c>
      <c r="AI17" s="879">
        <f t="shared" si="16"/>
        <v>0</v>
      </c>
      <c r="AJ17" s="43">
        <f t="shared" si="17"/>
        <v>0</v>
      </c>
      <c r="AK17" s="879">
        <f t="shared" si="18"/>
        <v>0</v>
      </c>
    </row>
    <row r="18" ht="12.75" customHeight="1">
      <c r="A18" s="882">
        <f t="shared" si="1"/>
        <v>10</v>
      </c>
      <c r="B18" s="883" t="str">
        <f>IF(ISBLANK(IGRF!B23),"",IGRF!B23)</f>
        <v>40</v>
      </c>
      <c r="C18" s="883" t="str">
        <f>IF(ISBLANK(IGRF!C23),"",IGRF!C23)</f>
        <v>Kid</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t="str">
        <f>IF(B18="","",IF(OR(SK!E199="",SK!E199=0),"",SK!H199))</f>
        <v/>
      </c>
      <c r="O18" s="884">
        <f>IF($B18="","",SUMPRODUCT(--(Lineups!C$4:C$41=$B18)))</f>
        <v>0</v>
      </c>
      <c r="P18" s="885">
        <f t="shared" si="7"/>
        <v>0</v>
      </c>
      <c r="Q18" s="884">
        <f t="shared" si="8"/>
        <v>0</v>
      </c>
      <c r="R18" s="885">
        <f t="shared" si="9"/>
        <v>0</v>
      </c>
      <c r="S18" s="43"/>
      <c r="T18" s="882">
        <f t="shared" si="10"/>
        <v>10</v>
      </c>
      <c r="U18" s="883" t="str">
        <f>IF(ISBLANK(IGRF!I23),"",IGRF!I23)</f>
        <v>4</v>
      </c>
      <c r="V18" s="883" t="str">
        <f>IF(ISBLANK(IGRF!J23),"",IGRF!J23)</f>
        <v>Stabba</v>
      </c>
      <c r="W18" s="884">
        <f>IF($U18="","",SUMPRODUCT(--(Lineups!$AG$4:$AG$41=$U18),--(Lineups!$AB$4:$AB$41="")))</f>
        <v>0</v>
      </c>
      <c r="X18" s="885">
        <f t="shared" si="11"/>
        <v>0</v>
      </c>
      <c r="Y18" s="880">
        <f>IF($U18="","",SUMPRODUCT(--(Lineups!$AG$4:$AG$41=$U18),--(Lineups!$AB$4:$AB$41="X")))</f>
        <v>0</v>
      </c>
      <c r="Z18" s="880">
        <f>IF($U18="","",SUMPRODUCT(--(Lineups!AK$4:AK$41=$U18),--(Lineups!AA$4:AA$41&lt;&gt;"SP")))</f>
        <v>3</v>
      </c>
      <c r="AA18" s="880">
        <f>IF($U18="","",SUMPRODUCT(--(Lineups!AO$4:AO$41=$U18),--(Lineups!AA$4:AA$41&lt;&gt;"SP")))</f>
        <v>2</v>
      </c>
      <c r="AB18" s="880">
        <f>IF($U18="","",SUMPRODUCT(--(Lineups!AS$4:AS$41=$U18),--(Lineups!AA$4:AA$41&lt;&gt;"SP")))</f>
        <v>0</v>
      </c>
      <c r="AC18" s="884">
        <f t="shared" si="12"/>
        <v>5</v>
      </c>
      <c r="AD18" s="885">
        <f t="shared" si="13"/>
        <v>0.2380952381</v>
      </c>
      <c r="AE18" s="884">
        <f t="shared" si="14"/>
        <v>5</v>
      </c>
      <c r="AF18" s="885">
        <f t="shared" si="15"/>
        <v>0.2380952381</v>
      </c>
      <c r="AG18" s="886" t="str">
        <f>IF(U18="","",IF(OR(SK!U199="",SK!U199=0),"",SK!X199))</f>
        <v/>
      </c>
      <c r="AH18" s="884">
        <f>IF($U18="","",SUMPRODUCT(--(Lineups!AC$4:AC$41=$U18)))</f>
        <v>0</v>
      </c>
      <c r="AI18" s="885">
        <f t="shared" si="16"/>
        <v>0</v>
      </c>
      <c r="AJ18" s="884">
        <f t="shared" si="17"/>
        <v>5</v>
      </c>
      <c r="AK18" s="885">
        <f t="shared" si="18"/>
        <v>0.2380952381</v>
      </c>
    </row>
    <row r="19" ht="12.75" customHeight="1">
      <c r="A19" s="5">
        <f t="shared" si="1"/>
        <v>11</v>
      </c>
      <c r="B19" s="878" t="str">
        <f>IF(ISBLANK(IGRF!B24),"",IGRF!B24)</f>
        <v>42</v>
      </c>
      <c r="C19" s="878" t="str">
        <f>IF(ISBLANK(IGRF!C24),"",IGRF!C24)</f>
        <v>Bosh</v>
      </c>
      <c r="D19" s="43">
        <f>IF($B19="","",SUMPRODUCT(--(Lineups!$G$4:$G$41=$B19),--(Lineups!$B$4:$B$41="")))</f>
        <v>5</v>
      </c>
      <c r="E19" s="879">
        <f t="shared" si="2"/>
        <v>0.2380952381</v>
      </c>
      <c r="F19" s="880">
        <f>IF($B19="","",SUMPRODUCT(--(Lineups!$G$4:$G$41=$B19),--(Lineups!$B$4:$B$41="X")))</f>
        <v>0</v>
      </c>
      <c r="G19" s="880">
        <f>IF($B19="","",SUMPRODUCT(--(Lineups!K$4:K$41=$B19),--(Lineups!A$4:A$41&lt;&gt;"SP")))</f>
        <v>2</v>
      </c>
      <c r="H19" s="880">
        <f>IF($B19="","",SUMPRODUCT(--(Lineups!O$4:O$41=$B19),--(Lineups!A$4:A$41&lt;&gt;"SP")))</f>
        <v>1</v>
      </c>
      <c r="I19" s="880">
        <f>IF($B19="","",SUMPRODUCT(--(Lineups!S$4:S$41=$B19),--(Lineups!A$4:A$41&lt;&gt;"SP")))</f>
        <v>2</v>
      </c>
      <c r="J19" s="43">
        <f t="shared" si="3"/>
        <v>5</v>
      </c>
      <c r="K19" s="879">
        <f t="shared" si="4"/>
        <v>0.2380952381</v>
      </c>
      <c r="L19" s="43">
        <f t="shared" si="5"/>
        <v>10</v>
      </c>
      <c r="M19" s="879">
        <f t="shared" si="6"/>
        <v>0.4761904762</v>
      </c>
      <c r="N19" s="881">
        <f>IF(B19="","",IF(OR(SK!E202="",SK!E202=0),"",SK!H202))</f>
        <v>0</v>
      </c>
      <c r="O19" s="43">
        <f>IF($B19="","",SUMPRODUCT(--(Lineups!C$4:C$41=$B19)))</f>
        <v>1</v>
      </c>
      <c r="P19" s="879">
        <f t="shared" si="7"/>
        <v>0.04761904762</v>
      </c>
      <c r="Q19" s="43">
        <f t="shared" si="8"/>
        <v>11</v>
      </c>
      <c r="R19" s="879">
        <f t="shared" si="9"/>
        <v>0.5238095238</v>
      </c>
      <c r="S19" s="43"/>
      <c r="T19" s="5">
        <f t="shared" si="10"/>
        <v>11</v>
      </c>
      <c r="U19" s="878" t="str">
        <f>IF(ISBLANK(IGRF!I24),"",IGRF!I24)</f>
        <v>42</v>
      </c>
      <c r="V19" s="878" t="str">
        <f>IF(ISBLANK(IGRF!J24),"",IGRF!J24)</f>
        <v>Pretty Carless</v>
      </c>
      <c r="W19" s="43">
        <f>IF($U19="","",SUMPRODUCT(--(Lineups!$AG$4:$AG$41=$U19),--(Lineups!$AB$4:$AB$41="")))</f>
        <v>9</v>
      </c>
      <c r="X19" s="879">
        <f t="shared" si="11"/>
        <v>0.4285714286</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9</v>
      </c>
      <c r="AF19" s="879">
        <f t="shared" si="15"/>
        <v>0.4285714286</v>
      </c>
      <c r="AG19" s="881">
        <f>IF(U19="","",IF(OR(SK!U202="",SK!U202=0),"",SK!X202))</f>
        <v>0</v>
      </c>
      <c r="AH19" s="43">
        <f>IF($U19="","",SUMPRODUCT(--(Lineups!AC$4:AC$41=$U19)))</f>
        <v>1</v>
      </c>
      <c r="AI19" s="879">
        <f t="shared" si="16"/>
        <v>0.04761904762</v>
      </c>
      <c r="AJ19" s="43">
        <f t="shared" si="17"/>
        <v>10</v>
      </c>
      <c r="AK19" s="879">
        <f t="shared" si="18"/>
        <v>0.4761904762</v>
      </c>
    </row>
    <row r="20" ht="12.75" customHeight="1">
      <c r="A20" s="882">
        <f t="shared" si="1"/>
        <v>12</v>
      </c>
      <c r="B20" s="883" t="str">
        <f>IF(ISBLANK(IGRF!B25),"",IGRF!B25)</f>
        <v>44</v>
      </c>
      <c r="C20" s="883" t="str">
        <f>IF(ISBLANK(IGRF!C25),"",IGRF!C25)</f>
        <v>Esparcieux</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0</v>
      </c>
      <c r="M20" s="885">
        <f t="shared" si="6"/>
        <v>0</v>
      </c>
      <c r="N20" s="886" t="str">
        <f>IF(B20="","",IF(OR(SK!E205="",SK!E205=0),"",SK!H205))</f>
        <v/>
      </c>
      <c r="O20" s="884">
        <f>IF($B20="","",SUMPRODUCT(--(Lineups!C$4:C$41=$B20)))</f>
        <v>0</v>
      </c>
      <c r="P20" s="885">
        <f t="shared" si="7"/>
        <v>0</v>
      </c>
      <c r="Q20" s="884">
        <f t="shared" si="8"/>
        <v>0</v>
      </c>
      <c r="R20" s="885">
        <f t="shared" si="9"/>
        <v>0</v>
      </c>
      <c r="S20" s="43"/>
      <c r="T20" s="882">
        <f t="shared" si="10"/>
        <v>12</v>
      </c>
      <c r="U20" s="883" t="str">
        <f>IF(ISBLANK(IGRF!I25),"",IGRF!I25)</f>
        <v>48</v>
      </c>
      <c r="V20" s="883" t="str">
        <f>IF(ISBLANK(IGRF!J25),"",IGRF!J25)</f>
        <v>Tini from the Bloc</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2</v>
      </c>
      <c r="AB20" s="880">
        <f>IF($U20="","",SUMPRODUCT(--(Lineups!AS$4:AS$41=$U20),--(Lineups!AA$4:AA$41&lt;&gt;"SP")))</f>
        <v>4</v>
      </c>
      <c r="AC20" s="884">
        <f t="shared" si="12"/>
        <v>6</v>
      </c>
      <c r="AD20" s="885">
        <f t="shared" si="13"/>
        <v>0.2857142857</v>
      </c>
      <c r="AE20" s="884">
        <f t="shared" si="14"/>
        <v>6</v>
      </c>
      <c r="AF20" s="885">
        <f t="shared" si="15"/>
        <v>0.2857142857</v>
      </c>
      <c r="AG20" s="886" t="str">
        <f>IF(U20="","",IF(OR(SK!U205="",SK!U205=0),"",SK!X205))</f>
        <v/>
      </c>
      <c r="AH20" s="884">
        <f>IF($U20="","",SUMPRODUCT(--(Lineups!AC$4:AC$41=$U20)))</f>
        <v>0</v>
      </c>
      <c r="AI20" s="885">
        <f t="shared" si="16"/>
        <v>0</v>
      </c>
      <c r="AJ20" s="884">
        <f t="shared" si="17"/>
        <v>6</v>
      </c>
      <c r="AK20" s="885">
        <f t="shared" si="18"/>
        <v>0.2857142857</v>
      </c>
    </row>
    <row r="21" ht="12.75" customHeight="1">
      <c r="A21" s="5">
        <f t="shared" si="1"/>
        <v>13</v>
      </c>
      <c r="B21" s="878" t="str">
        <f>IF(ISBLANK(IGRF!B26),"",IGRF!B26)</f>
        <v>45</v>
      </c>
      <c r="C21" s="878" t="str">
        <f>IF(ISBLANK(IGRF!C26),"",IGRF!C26)</f>
        <v>Hawk</v>
      </c>
      <c r="D21" s="43">
        <f>IF($B21="","",SUMPRODUCT(--(Lineups!$G$4:$G$41=$B21),--(Lineups!$B$4:$B$41="")))</f>
        <v>0</v>
      </c>
      <c r="E21" s="879">
        <f t="shared" si="2"/>
        <v>0</v>
      </c>
      <c r="F21" s="880">
        <f>IF($B21="","",SUMPRODUCT(--(Lineups!$G$4:$G$41=$B21),--(Lineups!$B$4:$B$41="X")))</f>
        <v>2</v>
      </c>
      <c r="G21" s="880">
        <f>IF($B21="","",SUMPRODUCT(--(Lineups!K$4:K$41=$B21),--(Lineups!A$4:A$41&lt;&gt;"SP")))</f>
        <v>0</v>
      </c>
      <c r="H21" s="880">
        <f>IF($B21="","",SUMPRODUCT(--(Lineups!O$4:O$41=$B21),--(Lineups!A$4:A$41&lt;&gt;"SP")))</f>
        <v>0</v>
      </c>
      <c r="I21" s="880">
        <f>IF($B21="","",SUMPRODUCT(--(Lineups!S$4:S$41=$B21),--(Lineups!A$4:A$41&lt;&gt;"SP")))</f>
        <v>0</v>
      </c>
      <c r="J21" s="43">
        <f t="shared" si="3"/>
        <v>2</v>
      </c>
      <c r="K21" s="879">
        <f t="shared" si="4"/>
        <v>0.09523809524</v>
      </c>
      <c r="L21" s="43">
        <f t="shared" si="5"/>
        <v>2</v>
      </c>
      <c r="M21" s="879">
        <f t="shared" si="6"/>
        <v>0.09523809524</v>
      </c>
      <c r="N21" s="881">
        <f>IF(B21="","",IF(OR(SK!E208="",SK!E208=0),"",SK!H208))</f>
        <v>1</v>
      </c>
      <c r="O21" s="43">
        <f>IF($B21="","",SUMPRODUCT(--(Lineups!C$4:C$41=$B21)))</f>
        <v>4</v>
      </c>
      <c r="P21" s="879">
        <f t="shared" si="7"/>
        <v>0.1904761905</v>
      </c>
      <c r="Q21" s="43">
        <f t="shared" si="8"/>
        <v>6</v>
      </c>
      <c r="R21" s="879">
        <f t="shared" si="9"/>
        <v>0.2857142857</v>
      </c>
      <c r="S21" s="43"/>
      <c r="T21" s="5">
        <f t="shared" si="10"/>
        <v>13</v>
      </c>
      <c r="U21" s="878" t="str">
        <f>IF(ISBLANK(IGRF!I26),"",IGRF!I26)</f>
        <v>167</v>
      </c>
      <c r="V21" s="878" t="str">
        <f>IF(ISBLANK(IGRF!J26),"",IGRF!J26)</f>
        <v>Rile E Coyote</v>
      </c>
      <c r="W21" s="43">
        <f>IF($U21="","",SUMPRODUCT(--(Lineups!$AG$4:$AG$41=$U21),--(Lineups!$AB$4:$AB$41="")))</f>
        <v>0</v>
      </c>
      <c r="X21" s="879">
        <f t="shared" si="11"/>
        <v>0</v>
      </c>
      <c r="Y21" s="880">
        <f>IF($U21="","",SUMPRODUCT(--(Lineups!$AG$4:$AG$41=$U21),--(Lineups!$AB$4:$AB$41="X")))</f>
        <v>0</v>
      </c>
      <c r="Z21" s="880">
        <f>IF($U21="","",SUMPRODUCT(--(Lineups!AK$4:AK$41=$U21),--(Lineups!AA$4:AA$41&lt;&gt;"SP")))</f>
        <v>1</v>
      </c>
      <c r="AA21" s="880">
        <f>IF($U21="","",SUMPRODUCT(--(Lineups!AO$4:AO$41=$U21),--(Lineups!AA$4:AA$41&lt;&gt;"SP")))</f>
        <v>0</v>
      </c>
      <c r="AB21" s="880">
        <f>IF($U21="","",SUMPRODUCT(--(Lineups!AS$4:AS$41=$U21),--(Lineups!AA$4:AA$41&lt;&gt;"SP")))</f>
        <v>4</v>
      </c>
      <c r="AC21" s="43">
        <f t="shared" si="12"/>
        <v>5</v>
      </c>
      <c r="AD21" s="879">
        <f t="shared" si="13"/>
        <v>0.2380952381</v>
      </c>
      <c r="AE21" s="43">
        <f t="shared" si="14"/>
        <v>5</v>
      </c>
      <c r="AF21" s="879">
        <f t="shared" si="15"/>
        <v>0.2380952381</v>
      </c>
      <c r="AG21" s="881" t="str">
        <f>IF(U21="","",IF(OR(SK!U208="",SK!U208=0),"",SK!X208))</f>
        <v/>
      </c>
      <c r="AH21" s="43">
        <f>IF($U21="","",SUMPRODUCT(--(Lineups!AC$4:AC$41=$U21)))</f>
        <v>0</v>
      </c>
      <c r="AI21" s="879">
        <f t="shared" si="16"/>
        <v>0</v>
      </c>
      <c r="AJ21" s="43">
        <f t="shared" si="17"/>
        <v>5</v>
      </c>
      <c r="AK21" s="879">
        <f t="shared" si="18"/>
        <v>0.2380952381</v>
      </c>
    </row>
    <row r="22" ht="12.75" customHeight="1">
      <c r="A22" s="882">
        <f t="shared" si="1"/>
        <v>14</v>
      </c>
      <c r="B22" s="883" t="str">
        <f>IF(ISBLANK(IGRF!B27),"",IGRF!B27)</f>
        <v>48</v>
      </c>
      <c r="C22" s="883" t="str">
        <f>IF(ISBLANK(IGRF!C27),"",IGRF!C27)</f>
        <v>Ward</v>
      </c>
      <c r="D22" s="884">
        <f>IF($B22="","",SUMPRODUCT(--(Lineups!$G$4:$G$41=$B22),--(Lineups!$B$4:$B$41="")))</f>
        <v>0</v>
      </c>
      <c r="E22" s="885">
        <f t="shared" si="2"/>
        <v>0</v>
      </c>
      <c r="F22" s="880">
        <f>IF($B22="","",SUMPRODUCT(--(Lineups!$G$4:$G$41=$B22),--(Lineups!$B$4:$B$41="X")))</f>
        <v>0</v>
      </c>
      <c r="G22" s="880">
        <f>IF($B22="","",SUMPRODUCT(--(Lineups!K$4:K$41=$B22),--(Lineups!A$4:A$41&lt;&gt;"SP")))</f>
        <v>1</v>
      </c>
      <c r="H22" s="880">
        <f>IF($B22="","",SUMPRODUCT(--(Lineups!O$4:O$41=$B22),--(Lineups!A$4:A$41&lt;&gt;"SP")))</f>
        <v>2</v>
      </c>
      <c r="I22" s="880">
        <f>IF($B22="","",SUMPRODUCT(--(Lineups!S$4:S$41=$B22),--(Lineups!A$4:A$41&lt;&gt;"SP")))</f>
        <v>2</v>
      </c>
      <c r="J22" s="884">
        <f t="shared" si="3"/>
        <v>5</v>
      </c>
      <c r="K22" s="885">
        <f t="shared" si="4"/>
        <v>0.2380952381</v>
      </c>
      <c r="L22" s="884">
        <f t="shared" si="5"/>
        <v>5</v>
      </c>
      <c r="M22" s="885">
        <f t="shared" si="6"/>
        <v>0.2380952381</v>
      </c>
      <c r="N22" s="886" t="str">
        <f>IF(B22="","",IF(OR(SK!E211="",SK!E211=0),"",SK!H211))</f>
        <v/>
      </c>
      <c r="O22" s="884">
        <f>IF($B22="","",SUMPRODUCT(--(Lineups!C$4:C$41=$B22)))</f>
        <v>0</v>
      </c>
      <c r="P22" s="885">
        <f t="shared" si="7"/>
        <v>0</v>
      </c>
      <c r="Q22" s="884">
        <f t="shared" si="8"/>
        <v>5</v>
      </c>
      <c r="R22" s="885">
        <f t="shared" si="9"/>
        <v>0.2380952381</v>
      </c>
      <c r="S22" s="43"/>
      <c r="T22" s="882">
        <f t="shared" si="10"/>
        <v>14</v>
      </c>
      <c r="U22" s="883" t="str">
        <f>IF(ISBLANK(IGRF!I27),"",IGRF!I27)</f>
        <v>602</v>
      </c>
      <c r="V22" s="883" t="str">
        <f>IF(ISBLANK(IGRF!J27),"",IGRF!J27)</f>
        <v>Fearidum</v>
      </c>
      <c r="W22" s="884">
        <f>IF($U22="","",SUMPRODUCT(--(Lineups!$AG$4:$AG$41=$U22),--(Lineups!$AB$4:$AB$41="")))</f>
        <v>1</v>
      </c>
      <c r="X22" s="885">
        <f t="shared" si="11"/>
        <v>0.04761904762</v>
      </c>
      <c r="Y22" s="880">
        <f>IF($U22="","",SUMPRODUCT(--(Lineups!$AG$4:$AG$41=$U22),--(Lineups!$AB$4:$AB$41="X")))</f>
        <v>0</v>
      </c>
      <c r="Z22" s="880">
        <f>IF($U22="","",SUMPRODUCT(--(Lineups!AK$4:AK$41=$U22),--(Lineups!AA$4:AA$41&lt;&gt;"SP")))</f>
        <v>3</v>
      </c>
      <c r="AA22" s="880">
        <f>IF($U22="","",SUMPRODUCT(--(Lineups!AO$4:AO$41=$U22),--(Lineups!AA$4:AA$41&lt;&gt;"SP")))</f>
        <v>1</v>
      </c>
      <c r="AB22" s="880">
        <f>IF($U22="","",SUMPRODUCT(--(Lineups!AS$4:AS$41=$U22),--(Lineups!AA$4:AA$41&lt;&gt;"SP")))</f>
        <v>1</v>
      </c>
      <c r="AC22" s="884">
        <f t="shared" si="12"/>
        <v>5</v>
      </c>
      <c r="AD22" s="885">
        <f t="shared" si="13"/>
        <v>0.2380952381</v>
      </c>
      <c r="AE22" s="884">
        <f t="shared" si="14"/>
        <v>6</v>
      </c>
      <c r="AF22" s="885">
        <f t="shared" si="15"/>
        <v>0.2857142857</v>
      </c>
      <c r="AG22" s="886" t="str">
        <f>IF(U22="","",IF(OR(SK!U211="",SK!U211=0),"",SK!X211))</f>
        <v/>
      </c>
      <c r="AH22" s="884">
        <f>IF($U22="","",SUMPRODUCT(--(Lineups!AC$4:AC$41=$U22)))</f>
        <v>0</v>
      </c>
      <c r="AI22" s="885">
        <f t="shared" si="16"/>
        <v>0</v>
      </c>
      <c r="AJ22" s="884">
        <f t="shared" si="17"/>
        <v>6</v>
      </c>
      <c r="AK22" s="885">
        <f t="shared" si="18"/>
        <v>0.2857142857</v>
      </c>
    </row>
    <row r="23" ht="12.75" customHeight="1">
      <c r="A23" s="5">
        <f t="shared" si="1"/>
        <v>15</v>
      </c>
      <c r="B23" s="878" t="str">
        <f>IF(ISBLANK(IGRF!B28),"",IGRF!B28)</f>
        <v>565</v>
      </c>
      <c r="C23" s="878" t="str">
        <f>IF(ISBLANK(IGRF!C28),"",IGRF!C28)</f>
        <v>Melyn</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6</v>
      </c>
      <c r="I23" s="880">
        <f>IF($B23="","",SUMPRODUCT(--(Lineups!S$4:S$41=$B23),--(Lineups!A$4:A$41&lt;&gt;"SP")))</f>
        <v>1</v>
      </c>
      <c r="J23" s="43">
        <f t="shared" si="3"/>
        <v>7</v>
      </c>
      <c r="K23" s="879">
        <f t="shared" si="4"/>
        <v>0.3333333333</v>
      </c>
      <c r="L23" s="43">
        <f t="shared" si="5"/>
        <v>7</v>
      </c>
      <c r="M23" s="879">
        <f t="shared" si="6"/>
        <v>0.3333333333</v>
      </c>
      <c r="N23" s="881" t="str">
        <f>IF(B23="","",IF(OR(SK!E214="",SK!E214=0),"",SK!H214))</f>
        <v/>
      </c>
      <c r="O23" s="43">
        <f>IF($B23="","",SUMPRODUCT(--(Lineups!C$4:C$41=$B23)))</f>
        <v>0</v>
      </c>
      <c r="P23" s="879">
        <f t="shared" si="7"/>
        <v>0</v>
      </c>
      <c r="Q23" s="43">
        <f t="shared" si="8"/>
        <v>7</v>
      </c>
      <c r="R23" s="879">
        <f t="shared" si="9"/>
        <v>0.3333333333</v>
      </c>
      <c r="S23" s="43"/>
      <c r="T23" s="5">
        <f t="shared" si="10"/>
        <v>15</v>
      </c>
      <c r="U23" s="878" t="str">
        <f>IF(ISBLANK(IGRF!I28),"",IGRF!I28)</f>
        <v>777</v>
      </c>
      <c r="V23" s="878" t="str">
        <f>IF(ISBLANK(IGRF!J28),"",IGRF!J28)</f>
        <v>Des</v>
      </c>
      <c r="W23" s="43">
        <f>IF($U23="","",SUMPRODUCT(--(Lineups!$AG$4:$AG$41=$U23),--(Lineups!$AB$4:$AB$41="")))</f>
        <v>0</v>
      </c>
      <c r="X23" s="879">
        <f t="shared" si="11"/>
        <v>0</v>
      </c>
      <c r="Y23" s="880">
        <f>IF($U23="","",SUMPRODUCT(--(Lineups!$AG$4:$AG$41=$U23),--(Lineups!$AB$4:$AB$41="X")))</f>
        <v>0</v>
      </c>
      <c r="Z23" s="880">
        <f>IF($U23="","",SUMPRODUCT(--(Lineups!AK$4:AK$41=$U23),--(Lineups!AA$4:AA$41&lt;&gt;"SP")))</f>
        <v>3</v>
      </c>
      <c r="AA23" s="880">
        <f>IF($U23="","",SUMPRODUCT(--(Lineups!AO$4:AO$41=$U23),--(Lineups!AA$4:AA$41&lt;&gt;"SP")))</f>
        <v>7</v>
      </c>
      <c r="AB23" s="880">
        <f>IF($U23="","",SUMPRODUCT(--(Lineups!AS$4:AS$41=$U23),--(Lineups!AA$4:AA$41&lt;&gt;"SP")))</f>
        <v>4</v>
      </c>
      <c r="AC23" s="43">
        <f t="shared" si="12"/>
        <v>14</v>
      </c>
      <c r="AD23" s="879">
        <f t="shared" si="13"/>
        <v>0.6666666667</v>
      </c>
      <c r="AE23" s="43">
        <f t="shared" si="14"/>
        <v>14</v>
      </c>
      <c r="AF23" s="879">
        <f t="shared" si="15"/>
        <v>0.6666666667</v>
      </c>
      <c r="AG23" s="881" t="str">
        <f>IF(U23="","",IF(OR(SK!U214="",SK!U214=0),"",SK!X214))</f>
        <v/>
      </c>
      <c r="AH23" s="43">
        <f>IF($U23="","",SUMPRODUCT(--(Lineups!AC$4:AC$41=$U23)))</f>
        <v>0</v>
      </c>
      <c r="AI23" s="879">
        <f t="shared" si="16"/>
        <v>0</v>
      </c>
      <c r="AJ23" s="43">
        <f t="shared" si="17"/>
        <v>14</v>
      </c>
      <c r="AK23" s="879">
        <f t="shared" si="18"/>
        <v>0.6666666667</v>
      </c>
    </row>
    <row r="24" ht="12.75" customHeight="1">
      <c r="A24" s="882">
        <f t="shared" si="1"/>
        <v>16</v>
      </c>
      <c r="B24" s="883" t="str">
        <f>IF(ISBLANK(IGRF!B29),"",IGRF!B29)</f>
        <v>50</v>
      </c>
      <c r="C24" s="883" t="str">
        <f>IF(ISBLANK(IGRF!C29),"",IGRF!C29)</f>
        <v>Gray</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1</v>
      </c>
      <c r="I24" s="880">
        <f>IF($B24="","",SUMPRODUCT(--(Lineups!S$4:S$41=$B24),--(Lineups!A$4:A$41&lt;&gt;"SP")))</f>
        <v>9</v>
      </c>
      <c r="J24" s="884">
        <f t="shared" si="3"/>
        <v>10</v>
      </c>
      <c r="K24" s="885">
        <f t="shared" si="4"/>
        <v>0.4761904762</v>
      </c>
      <c r="L24" s="884">
        <f t="shared" si="5"/>
        <v>10</v>
      </c>
      <c r="M24" s="885">
        <f t="shared" si="6"/>
        <v>0.4761904762</v>
      </c>
      <c r="N24" s="886" t="str">
        <f>IF(B24="","",IF(OR(SK!E217="",SK!E217=0),"",SK!H217))</f>
        <v/>
      </c>
      <c r="O24" s="884">
        <f>IF($B24="","",SUMPRODUCT(--(Lineups!C$4:C$41=$B24)))</f>
        <v>0</v>
      </c>
      <c r="P24" s="885">
        <f t="shared" si="7"/>
        <v>0</v>
      </c>
      <c r="Q24" s="884">
        <f t="shared" si="8"/>
        <v>10</v>
      </c>
      <c r="R24" s="885">
        <f t="shared" si="9"/>
        <v>0.4761904762</v>
      </c>
      <c r="S24" s="43"/>
      <c r="T24" s="882">
        <f t="shared" si="10"/>
        <v>16</v>
      </c>
      <c r="U24" s="883" t="str">
        <f>IF(ISBLANK(IGRF!I29),"",IGRF!I29)</f>
        <v>88</v>
      </c>
      <c r="V24" s="883" t="str">
        <f>IF(ISBLANK(IGRF!J29),"",IGRF!J29)</f>
        <v>diamond WEAPON</v>
      </c>
      <c r="W24" s="884">
        <f>IF($U24="","",SUMPRODUCT(--(Lineups!$AG$4:$AG$41=$U24),--(Lineups!$AB$4:$AB$41="")))</f>
        <v>10</v>
      </c>
      <c r="X24" s="885">
        <f t="shared" si="11"/>
        <v>0.4761904762</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0</v>
      </c>
      <c r="AC24" s="884">
        <f t="shared" si="12"/>
        <v>0</v>
      </c>
      <c r="AD24" s="885">
        <f t="shared" si="13"/>
        <v>0</v>
      </c>
      <c r="AE24" s="884">
        <f t="shared" si="14"/>
        <v>10</v>
      </c>
      <c r="AF24" s="885">
        <f t="shared" si="15"/>
        <v>0.4761904762</v>
      </c>
      <c r="AG24" s="886">
        <f>IF(U24="","",IF(OR(SK!U217="",SK!U217=0),"",SK!X217))</f>
        <v>0</v>
      </c>
      <c r="AH24" s="884">
        <f>IF($U24="","",SUMPRODUCT(--(Lineups!AC$4:AC$41=$U24)))</f>
        <v>1</v>
      </c>
      <c r="AI24" s="885">
        <f t="shared" si="16"/>
        <v>0.04761904762</v>
      </c>
      <c r="AJ24" s="884">
        <f t="shared" si="17"/>
        <v>11</v>
      </c>
      <c r="AK24" s="885">
        <f t="shared" si="18"/>
        <v>0.5238095238</v>
      </c>
    </row>
    <row r="25" ht="12.75" customHeight="1">
      <c r="A25" s="5">
        <f t="shared" si="1"/>
        <v>17</v>
      </c>
      <c r="B25" s="878" t="str">
        <f>IF(ISBLANK(IGRF!B30),"",IGRF!B30)</f>
        <v>808</v>
      </c>
      <c r="C25" s="878" t="str">
        <f>IF(ISBLANK(IGRF!C30),"",IGRF!C30)</f>
        <v>Morganator</v>
      </c>
      <c r="D25" s="43">
        <f>IF($B25="","",SUMPRODUCT(--(Lineups!$G$4:$G$41=$B25),--(Lineups!$B$4:$B$41="")))</f>
        <v>0</v>
      </c>
      <c r="E25" s="879">
        <f t="shared" si="2"/>
        <v>0</v>
      </c>
      <c r="F25" s="880">
        <f>IF($B25="","",SUMPRODUCT(--(Lineups!$G$4:$G$41=$B25),--(Lineups!$B$4:$B$41="X")))</f>
        <v>0</v>
      </c>
      <c r="G25" s="880">
        <f>IF($B25="","",SUMPRODUCT(--(Lineups!K$4:K$41=$B25),--(Lineups!A$4:A$41&lt;&gt;"SP")))</f>
        <v>5</v>
      </c>
      <c r="H25" s="880">
        <f>IF($B25="","",SUMPRODUCT(--(Lineups!O$4:O$41=$B25),--(Lineups!A$4:A$41&lt;&gt;"SP")))</f>
        <v>2</v>
      </c>
      <c r="I25" s="880">
        <f>IF($B25="","",SUMPRODUCT(--(Lineups!S$4:S$41=$B25),--(Lineups!A$4:A$41&lt;&gt;"SP")))</f>
        <v>1</v>
      </c>
      <c r="J25" s="43">
        <f t="shared" si="3"/>
        <v>8</v>
      </c>
      <c r="K25" s="879">
        <f t="shared" si="4"/>
        <v>0.380952381</v>
      </c>
      <c r="L25" s="43">
        <f t="shared" si="5"/>
        <v>8</v>
      </c>
      <c r="M25" s="879">
        <f t="shared" si="6"/>
        <v>0.380952381</v>
      </c>
      <c r="N25" s="881" t="str">
        <f>IF(B25="","",IF(OR(SK!E220="",SK!E220=0),"",SK!H220))</f>
        <v/>
      </c>
      <c r="O25" s="43">
        <f>IF($B25="","",SUMPRODUCT(--(Lineups!C$4:C$41=$B25)))</f>
        <v>0</v>
      </c>
      <c r="P25" s="879">
        <f t="shared" si="7"/>
        <v>0</v>
      </c>
      <c r="Q25" s="43">
        <f t="shared" si="8"/>
        <v>8</v>
      </c>
      <c r="R25" s="879">
        <f t="shared" si="9"/>
        <v>0.380952381</v>
      </c>
      <c r="S25" s="43"/>
      <c r="T25" s="5">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2.75" customHeight="1">
      <c r="A26" s="882">
        <f t="shared" si="1"/>
        <v>18</v>
      </c>
      <c r="B26" s="883" t="str">
        <f>IF(ISBLANK(IGRF!B31),"",IGRF!B31)</f>
        <v>912</v>
      </c>
      <c r="C26" s="883" t="str">
        <f>IF(ISBLANK(IGRF!C31),"",IGRF!C31)</f>
        <v>Battered Sausage</v>
      </c>
      <c r="D26" s="884">
        <f>IF($B26="","",SUMPRODUCT(--(Lineups!$G$4:$G$41=$B26),--(Lineups!$B$4:$B$41="")))</f>
        <v>5</v>
      </c>
      <c r="E26" s="885">
        <f t="shared" si="2"/>
        <v>0.2380952381</v>
      </c>
      <c r="F26" s="880">
        <f>IF($B26="","",SUMPRODUCT(--(Lineups!$G$4:$G$41=$B26),--(Lineups!$B$4:$B$41="X")))</f>
        <v>0</v>
      </c>
      <c r="G26" s="880">
        <f>IF($B26="","",SUMPRODUCT(--(Lineups!K$4:K$41=$B26),--(Lineups!A$4:A$41&lt;&gt;"SP")))</f>
        <v>4</v>
      </c>
      <c r="H26" s="880">
        <f>IF($B26="","",SUMPRODUCT(--(Lineups!O$4:O$41=$B26),--(Lineups!A$4:A$41&lt;&gt;"SP")))</f>
        <v>0</v>
      </c>
      <c r="I26" s="880">
        <f>IF($B26="","",SUMPRODUCT(--(Lineups!S$4:S$41=$B26),--(Lineups!A$4:A$41&lt;&gt;"SP")))</f>
        <v>1</v>
      </c>
      <c r="J26" s="884">
        <f t="shared" si="3"/>
        <v>5</v>
      </c>
      <c r="K26" s="885">
        <f t="shared" si="4"/>
        <v>0.2380952381</v>
      </c>
      <c r="L26" s="884">
        <f t="shared" si="5"/>
        <v>10</v>
      </c>
      <c r="M26" s="885">
        <f t="shared" si="6"/>
        <v>0.4761904762</v>
      </c>
      <c r="N26" s="886" t="str">
        <f>IF(B26="","",IF(OR(SK!E223="",SK!E223=0),"",SK!H223))</f>
        <v/>
      </c>
      <c r="O26" s="884">
        <f>IF($B26="","",SUMPRODUCT(--(Lineups!C$4:C$41=$B26)))</f>
        <v>0</v>
      </c>
      <c r="P26" s="885">
        <f t="shared" si="7"/>
        <v>0</v>
      </c>
      <c r="Q26" s="884">
        <f t="shared" si="8"/>
        <v>10</v>
      </c>
      <c r="R26" s="885">
        <f t="shared" si="9"/>
        <v>0.4761904762</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2.75" customHeight="1">
      <c r="A27" s="5">
        <f t="shared" si="1"/>
        <v>19</v>
      </c>
      <c r="B27" s="878" t="str">
        <f>IF(ISBLANK(IGRF!B32),"",IGRF!B32)</f>
        <v>93</v>
      </c>
      <c r="C27" s="878" t="str">
        <f>IF(ISBLANK(IGRF!C32),"",IGRF!C32)</f>
        <v>Sangria</v>
      </c>
      <c r="D27" s="43">
        <f>IF($B27="","",SUMPRODUCT(--(Lineups!$G$4:$G$41=$B27),--(Lineups!$B$4:$B$41="")))</f>
        <v>0</v>
      </c>
      <c r="E27" s="879">
        <f t="shared" si="2"/>
        <v>0</v>
      </c>
      <c r="F27" s="880">
        <f>IF($B27="","",SUMPRODUCT(--(Lineups!$G$4:$G$41=$B27),--(Lineups!$B$4:$B$41="X")))</f>
        <v>1</v>
      </c>
      <c r="G27" s="880">
        <f>IF($B27="","",SUMPRODUCT(--(Lineups!K$4:K$41=$B27),--(Lineups!A$4:A$41&lt;&gt;"SP")))</f>
        <v>0</v>
      </c>
      <c r="H27" s="880">
        <f>IF($B27="","",SUMPRODUCT(--(Lineups!O$4:O$41=$B27),--(Lineups!A$4:A$41&lt;&gt;"SP")))</f>
        <v>0</v>
      </c>
      <c r="I27" s="880">
        <f>IF($B27="","",SUMPRODUCT(--(Lineups!S$4:S$41=$B27),--(Lineups!A$4:A$41&lt;&gt;"SP")))</f>
        <v>0</v>
      </c>
      <c r="J27" s="43">
        <f t="shared" si="3"/>
        <v>1</v>
      </c>
      <c r="K27" s="879">
        <f t="shared" si="4"/>
        <v>0.04761904762</v>
      </c>
      <c r="L27" s="43">
        <f t="shared" si="5"/>
        <v>1</v>
      </c>
      <c r="M27" s="879">
        <f t="shared" si="6"/>
        <v>0.04761904762</v>
      </c>
      <c r="N27" s="881">
        <f>IF(B27="","",IF(OR(SK!E226="",SK!E226=0),"",SK!H226))</f>
        <v>1</v>
      </c>
      <c r="O27" s="43">
        <f>IF($B27="","",SUMPRODUCT(--(Lineups!C$4:C$41=$B27)))</f>
        <v>4</v>
      </c>
      <c r="P27" s="879">
        <f t="shared" si="7"/>
        <v>0.1904761905</v>
      </c>
      <c r="Q27" s="43">
        <f t="shared" si="8"/>
        <v>5</v>
      </c>
      <c r="R27" s="879">
        <f t="shared" si="9"/>
        <v>0.2380952381</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999</v>
      </c>
      <c r="C28" s="883" t="str">
        <f>IF(ISBLANK(IGRF!C33),"",IGRF!C33)</f>
        <v>Angel</v>
      </c>
      <c r="D28" s="884">
        <f>IF($B28="","",SUMPRODUCT(--(Lineups!$G$4:$G$41=$B28),--(Lineups!$B$4:$B$41="")))</f>
        <v>9</v>
      </c>
      <c r="E28" s="885">
        <f t="shared" si="2"/>
        <v>0.4285714286</v>
      </c>
      <c r="F28" s="880">
        <f>IF($B28="","",SUMPRODUCT(--(Lineups!$G$4:$G$41=$B28),--(Lineups!$B$4:$B$41="X")))</f>
        <v>0</v>
      </c>
      <c r="G28" s="880">
        <f>IF($B28="","",SUMPRODUCT(--(Lineups!K$4:K$41=$B28),--(Lineups!A$4:A$41&lt;&gt;"SP")))</f>
        <v>0</v>
      </c>
      <c r="H28" s="880">
        <f>IF($B28="","",SUMPRODUCT(--(Lineups!O$4:O$41=$B28),--(Lineups!A$4:A$41&lt;&gt;"SP")))</f>
        <v>0</v>
      </c>
      <c r="I28" s="880">
        <f>IF($B28="","",SUMPRODUCT(--(Lineups!S$4:S$41=$B28),--(Lineups!A$4:A$41&lt;&gt;"SP")))</f>
        <v>0</v>
      </c>
      <c r="J28" s="884">
        <f t="shared" si="3"/>
        <v>0</v>
      </c>
      <c r="K28" s="885">
        <f t="shared" si="4"/>
        <v>0</v>
      </c>
      <c r="L28" s="884">
        <f t="shared" si="5"/>
        <v>9</v>
      </c>
      <c r="M28" s="885">
        <f t="shared" si="6"/>
        <v>0.4285714286</v>
      </c>
      <c r="N28" s="886">
        <f>IF(B28="","",IF(OR(SK!E229="",SK!E229=0),"",SK!H229))</f>
        <v>0</v>
      </c>
      <c r="O28" s="884">
        <f>IF($B28="","",SUMPRODUCT(--(Lineups!C$4:C$41=$B28)))</f>
        <v>3</v>
      </c>
      <c r="P28" s="885">
        <f t="shared" si="7"/>
        <v>0.1428571429</v>
      </c>
      <c r="Q28" s="884">
        <f t="shared" si="8"/>
        <v>12</v>
      </c>
      <c r="R28" s="885">
        <f t="shared" si="9"/>
        <v>0.5714285714</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434</v>
      </c>
      <c r="B30" s="8"/>
      <c r="C30" s="9"/>
      <c r="D30" s="873"/>
      <c r="E30" s="873"/>
      <c r="F30" s="873"/>
      <c r="G30" s="873"/>
      <c r="H30" s="873"/>
      <c r="I30" s="873"/>
      <c r="J30" s="873"/>
      <c r="K30" s="873"/>
      <c r="L30" s="873"/>
      <c r="M30" s="873"/>
      <c r="N30" s="873"/>
      <c r="O30" s="873"/>
      <c r="P30" s="873"/>
      <c r="Q30" s="873"/>
      <c r="R30" s="873"/>
      <c r="S30" s="43"/>
      <c r="T30" s="872" t="s">
        <v>434</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424</v>
      </c>
      <c r="C31" s="874" t="s">
        <v>425</v>
      </c>
      <c r="D31" s="874" t="s">
        <v>282</v>
      </c>
      <c r="E31" s="5"/>
      <c r="F31" s="876" t="s">
        <v>283</v>
      </c>
      <c r="G31" s="876" t="s">
        <v>283</v>
      </c>
      <c r="H31" s="876" t="s">
        <v>283</v>
      </c>
      <c r="I31" s="876" t="s">
        <v>283</v>
      </c>
      <c r="J31" s="874" t="s">
        <v>427</v>
      </c>
      <c r="K31" s="5"/>
      <c r="L31" s="874" t="s">
        <v>429</v>
      </c>
      <c r="M31" s="5"/>
      <c r="N31" s="877" t="s">
        <v>431</v>
      </c>
      <c r="O31" s="874" t="s">
        <v>280</v>
      </c>
      <c r="P31" s="5"/>
      <c r="Q31" s="874" t="s">
        <v>398</v>
      </c>
      <c r="R31" s="5"/>
      <c r="S31" s="5"/>
      <c r="T31" s="874">
        <v>0.0</v>
      </c>
      <c r="U31" s="874" t="s">
        <v>424</v>
      </c>
      <c r="V31" s="874" t="s">
        <v>425</v>
      </c>
      <c r="W31" s="874" t="s">
        <v>282</v>
      </c>
      <c r="X31" s="5"/>
      <c r="Y31" s="876" t="s">
        <v>283</v>
      </c>
      <c r="Z31" s="876" t="s">
        <v>283</v>
      </c>
      <c r="AA31" s="876" t="s">
        <v>283</v>
      </c>
      <c r="AB31" s="876" t="s">
        <v>283</v>
      </c>
      <c r="AC31" s="874" t="s">
        <v>427</v>
      </c>
      <c r="AD31" s="5"/>
      <c r="AE31" s="874" t="s">
        <v>429</v>
      </c>
      <c r="AF31" s="5"/>
      <c r="AG31" s="877" t="s">
        <v>431</v>
      </c>
      <c r="AH31" s="874" t="s">
        <v>280</v>
      </c>
      <c r="AI31" s="5"/>
      <c r="AJ31" s="874" t="s">
        <v>398</v>
      </c>
      <c r="AK31" s="5"/>
    </row>
    <row r="32" ht="12.75" customHeight="1">
      <c r="A32" s="5">
        <f t="shared" ref="A32:A51" si="23">A31+1</f>
        <v>1</v>
      </c>
      <c r="B32" s="629" t="str">
        <f t="shared" ref="B32:C32" si="19">B9</f>
        <v>04</v>
      </c>
      <c r="C32" s="629" t="str">
        <f t="shared" si="19"/>
        <v>Nina</v>
      </c>
      <c r="D32" s="5">
        <f t="shared" ref="D32:D51" si="25">IF($B32="","",D55-D78)</f>
        <v>0</v>
      </c>
      <c r="E32" s="43"/>
      <c r="F32" s="880">
        <f t="shared" ref="F32:I32" si="20">IF($B32="","",F55-F78)</f>
        <v>0</v>
      </c>
      <c r="G32" s="880">
        <f t="shared" si="20"/>
        <v>0</v>
      </c>
      <c r="H32" s="880">
        <f t="shared" si="20"/>
        <v>-31</v>
      </c>
      <c r="I32" s="880">
        <f t="shared" si="20"/>
        <v>-24</v>
      </c>
      <c r="J32" s="5">
        <f t="shared" ref="J32:J51" si="27">IF(B32="","",SUM(F32:I32))</f>
        <v>-55</v>
      </c>
      <c r="K32" s="43"/>
      <c r="L32" s="5">
        <f t="shared" ref="L32:L51" si="28">IF(B32="","",SUM(D32,J32))</f>
        <v>-55</v>
      </c>
      <c r="M32" s="43"/>
      <c r="N32" s="43"/>
      <c r="O32" s="5">
        <f t="shared" ref="O32:O51" si="29">IF($B32="","",O55-O78)</f>
        <v>0</v>
      </c>
      <c r="P32" s="43"/>
      <c r="Q32" s="5">
        <f t="shared" ref="Q32:Q51" si="30">IF(B32="","",SUM(L32,O32))</f>
        <v>-55</v>
      </c>
      <c r="R32" s="43"/>
      <c r="S32" s="43"/>
      <c r="T32" s="5">
        <f t="shared" ref="T32:T51" si="31">T31+1</f>
        <v>1</v>
      </c>
      <c r="U32" s="629" t="str">
        <f t="shared" ref="U32:V32" si="21">U9</f>
        <v>040</v>
      </c>
      <c r="V32" s="629" t="str">
        <f t="shared" si="21"/>
        <v>Ruff Rackelhahn</v>
      </c>
      <c r="W32" s="5">
        <f t="shared" ref="W32:W51" si="33">IF($U32="","",W55-W78)</f>
        <v>0</v>
      </c>
      <c r="X32" s="43"/>
      <c r="Y32" s="880">
        <f t="shared" ref="Y32:AB32" si="22">IF($U32="","",Y55-Y78)</f>
        <v>0</v>
      </c>
      <c r="Z32" s="880">
        <f t="shared" si="22"/>
        <v>52</v>
      </c>
      <c r="AA32" s="880">
        <f t="shared" si="22"/>
        <v>12</v>
      </c>
      <c r="AB32" s="880">
        <f t="shared" si="22"/>
        <v>4</v>
      </c>
      <c r="AC32" s="5">
        <f t="shared" ref="AC32:AC51" si="35">IF(U32="","",SUM(Y32:AB32))</f>
        <v>68</v>
      </c>
      <c r="AD32" s="43"/>
      <c r="AE32" s="5">
        <f t="shared" ref="AE32:AE51" si="36">IF(U32="","",SUM(W32,AC32))</f>
        <v>68</v>
      </c>
      <c r="AF32" s="43"/>
      <c r="AG32" s="43"/>
      <c r="AH32" s="5">
        <f t="shared" ref="AH32:AH51" si="37">IF($U32="","",AH55-AH78)</f>
        <v>0</v>
      </c>
      <c r="AI32" s="43"/>
      <c r="AJ32" s="5">
        <f t="shared" ref="AJ32:AJ51" si="38">IF(U32="","",SUM(AE32,AH32))</f>
        <v>68</v>
      </c>
      <c r="AK32" s="43"/>
    </row>
    <row r="33" ht="12.75" customHeight="1">
      <c r="A33" s="882">
        <f t="shared" si="23"/>
        <v>2</v>
      </c>
      <c r="B33" s="887" t="str">
        <f t="shared" ref="B33:C33" si="24">B10</f>
        <v>16</v>
      </c>
      <c r="C33" s="887" t="str">
        <f t="shared" si="24"/>
        <v>Saabor</v>
      </c>
      <c r="D33" s="882">
        <f t="shared" si="25"/>
        <v>0</v>
      </c>
      <c r="E33" s="43"/>
      <c r="F33" s="880">
        <f t="shared" ref="F33:I33" si="26">IF($B33="","",F56-F79)</f>
        <v>4</v>
      </c>
      <c r="G33" s="880">
        <f t="shared" si="26"/>
        <v>0</v>
      </c>
      <c r="H33" s="880">
        <f t="shared" si="26"/>
        <v>0</v>
      </c>
      <c r="I33" s="880">
        <f t="shared" si="26"/>
        <v>0</v>
      </c>
      <c r="J33" s="882">
        <f t="shared" si="27"/>
        <v>4</v>
      </c>
      <c r="K33" s="43"/>
      <c r="L33" s="882">
        <f t="shared" si="28"/>
        <v>4</v>
      </c>
      <c r="M33" s="43"/>
      <c r="N33" s="43"/>
      <c r="O33" s="882">
        <f t="shared" si="29"/>
        <v>-43</v>
      </c>
      <c r="P33" s="43"/>
      <c r="Q33" s="882">
        <f t="shared" si="30"/>
        <v>-39</v>
      </c>
      <c r="R33" s="43"/>
      <c r="S33" s="43"/>
      <c r="T33" s="882">
        <f t="shared" si="31"/>
        <v>2</v>
      </c>
      <c r="U33" s="887" t="str">
        <f t="shared" ref="U33:V33" si="32">U10</f>
        <v>101</v>
      </c>
      <c r="V33" s="887" t="str">
        <f t="shared" si="32"/>
        <v>Powell</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12</v>
      </c>
      <c r="AI33" s="43"/>
      <c r="AJ33" s="882">
        <f t="shared" si="38"/>
        <v>12</v>
      </c>
      <c r="AK33" s="43"/>
    </row>
    <row r="34" ht="12.75" customHeight="1">
      <c r="A34" s="5">
        <f t="shared" si="23"/>
        <v>3</v>
      </c>
      <c r="B34" s="629" t="str">
        <f t="shared" ref="B34:C34" si="39">B11</f>
        <v>177</v>
      </c>
      <c r="C34" s="629" t="str">
        <f t="shared" si="39"/>
        <v>Phoenix</v>
      </c>
      <c r="D34" s="5">
        <f t="shared" si="25"/>
        <v>0</v>
      </c>
      <c r="E34" s="43"/>
      <c r="F34" s="880">
        <f t="shared" ref="F34:I34" si="40">IF($B34="","",F57-F80)</f>
        <v>0</v>
      </c>
      <c r="G34" s="880">
        <f t="shared" si="40"/>
        <v>-3</v>
      </c>
      <c r="H34" s="880">
        <f t="shared" si="40"/>
        <v>-16</v>
      </c>
      <c r="I34" s="880">
        <f t="shared" si="40"/>
        <v>-23</v>
      </c>
      <c r="J34" s="5">
        <f t="shared" si="27"/>
        <v>-42</v>
      </c>
      <c r="K34" s="43"/>
      <c r="L34" s="5">
        <f t="shared" si="28"/>
        <v>-42</v>
      </c>
      <c r="M34" s="43"/>
      <c r="N34" s="43"/>
      <c r="O34" s="5">
        <f t="shared" si="29"/>
        <v>0</v>
      </c>
      <c r="P34" s="43"/>
      <c r="Q34" s="5">
        <f t="shared" si="30"/>
        <v>-42</v>
      </c>
      <c r="R34" s="43"/>
      <c r="S34" s="43"/>
      <c r="T34" s="5">
        <f t="shared" si="31"/>
        <v>3</v>
      </c>
      <c r="U34" s="629" t="str">
        <f t="shared" ref="U34:V34" si="41">U11</f>
        <v>11</v>
      </c>
      <c r="V34" s="629" t="str">
        <f t="shared" si="41"/>
        <v>Bambi Deerdevil</v>
      </c>
      <c r="W34" s="5">
        <f t="shared" si="33"/>
        <v>0</v>
      </c>
      <c r="X34" s="43"/>
      <c r="Y34" s="880">
        <f t="shared" ref="Y34:AB34" si="42">IF($U34="","",Y57-Y80)</f>
        <v>7</v>
      </c>
      <c r="Z34" s="880">
        <f t="shared" si="42"/>
        <v>0</v>
      </c>
      <c r="AA34" s="880">
        <f t="shared" si="42"/>
        <v>0</v>
      </c>
      <c r="AB34" s="880">
        <f t="shared" si="42"/>
        <v>0</v>
      </c>
      <c r="AC34" s="5">
        <f t="shared" si="35"/>
        <v>7</v>
      </c>
      <c r="AD34" s="43"/>
      <c r="AE34" s="5">
        <f t="shared" si="36"/>
        <v>7</v>
      </c>
      <c r="AF34" s="43"/>
      <c r="AG34" s="43"/>
      <c r="AH34" s="5">
        <f t="shared" si="37"/>
        <v>35</v>
      </c>
      <c r="AI34" s="43"/>
      <c r="AJ34" s="5">
        <f t="shared" si="38"/>
        <v>42</v>
      </c>
      <c r="AK34" s="43"/>
    </row>
    <row r="35" ht="12.75" customHeight="1">
      <c r="A35" s="882">
        <f t="shared" si="23"/>
        <v>4</v>
      </c>
      <c r="B35" s="887" t="str">
        <f t="shared" ref="B35:C35" si="43">B12</f>
        <v>215</v>
      </c>
      <c r="C35" s="887" t="str">
        <f t="shared" si="43"/>
        <v>Pollock</v>
      </c>
      <c r="D35" s="882">
        <f t="shared" si="25"/>
        <v>0</v>
      </c>
      <c r="E35" s="43"/>
      <c r="F35" s="880">
        <f t="shared" ref="F35:I35" si="44">IF($B35="","",F58-F81)</f>
        <v>0</v>
      </c>
      <c r="G35" s="880">
        <f t="shared" si="44"/>
        <v>0</v>
      </c>
      <c r="H35" s="880">
        <f t="shared" si="44"/>
        <v>0</v>
      </c>
      <c r="I35" s="880">
        <f t="shared" si="44"/>
        <v>0</v>
      </c>
      <c r="J35" s="882">
        <f t="shared" si="27"/>
        <v>0</v>
      </c>
      <c r="K35" s="43"/>
      <c r="L35" s="882">
        <f t="shared" si="28"/>
        <v>0</v>
      </c>
      <c r="M35" s="43"/>
      <c r="N35" s="43"/>
      <c r="O35" s="882">
        <f t="shared" si="29"/>
        <v>-21</v>
      </c>
      <c r="P35" s="43"/>
      <c r="Q35" s="882">
        <f t="shared" si="30"/>
        <v>-21</v>
      </c>
      <c r="R35" s="43"/>
      <c r="S35" s="43"/>
      <c r="T35" s="882">
        <f t="shared" si="31"/>
        <v>4</v>
      </c>
      <c r="U35" s="887" t="str">
        <f t="shared" ref="U35:V35" si="45">U12</f>
        <v>33</v>
      </c>
      <c r="V35" s="887" t="str">
        <f t="shared" si="45"/>
        <v>Fox Mauler</v>
      </c>
      <c r="W35" s="882">
        <f t="shared" si="33"/>
        <v>0</v>
      </c>
      <c r="X35" s="43"/>
      <c r="Y35" s="880">
        <f t="shared" ref="Y35:AB35" si="46">IF($U35="","",Y58-Y81)</f>
        <v>6</v>
      </c>
      <c r="Z35" s="880">
        <f t="shared" si="46"/>
        <v>0</v>
      </c>
      <c r="AA35" s="880">
        <f t="shared" si="46"/>
        <v>0</v>
      </c>
      <c r="AB35" s="880">
        <f t="shared" si="46"/>
        <v>0</v>
      </c>
      <c r="AC35" s="882">
        <f t="shared" si="35"/>
        <v>6</v>
      </c>
      <c r="AD35" s="43"/>
      <c r="AE35" s="882">
        <f t="shared" si="36"/>
        <v>6</v>
      </c>
      <c r="AF35" s="43"/>
      <c r="AG35" s="43"/>
      <c r="AH35" s="882">
        <f t="shared" si="37"/>
        <v>4</v>
      </c>
      <c r="AI35" s="43"/>
      <c r="AJ35" s="882">
        <f t="shared" si="38"/>
        <v>10</v>
      </c>
      <c r="AK35" s="43"/>
    </row>
    <row r="36" ht="12.75" customHeight="1">
      <c r="A36" s="5">
        <f t="shared" si="23"/>
        <v>5</v>
      </c>
      <c r="B36" s="629" t="str">
        <f t="shared" ref="B36:C36" si="47">B13</f>
        <v>27</v>
      </c>
      <c r="C36" s="629" t="str">
        <f t="shared" si="47"/>
        <v>MegaHurtz</v>
      </c>
      <c r="D36" s="5">
        <f t="shared" si="25"/>
        <v>0</v>
      </c>
      <c r="E36" s="43"/>
      <c r="F36" s="880">
        <f t="shared" ref="F36:I36" si="48">IF($B36="","",F59-F82)</f>
        <v>0</v>
      </c>
      <c r="G36" s="880">
        <f t="shared" si="48"/>
        <v>0</v>
      </c>
      <c r="H36" s="880">
        <f t="shared" si="48"/>
        <v>0</v>
      </c>
      <c r="I36" s="880">
        <f t="shared" si="48"/>
        <v>0</v>
      </c>
      <c r="J36" s="5">
        <f t="shared" si="27"/>
        <v>0</v>
      </c>
      <c r="K36" s="43"/>
      <c r="L36" s="5">
        <f t="shared" si="28"/>
        <v>0</v>
      </c>
      <c r="M36" s="43"/>
      <c r="N36" s="43"/>
      <c r="O36" s="5">
        <f t="shared" si="29"/>
        <v>0</v>
      </c>
      <c r="P36" s="43"/>
      <c r="Q36" s="5">
        <f t="shared" si="30"/>
        <v>0</v>
      </c>
      <c r="R36" s="43"/>
      <c r="S36" s="43"/>
      <c r="T36" s="5">
        <f t="shared" si="31"/>
        <v>5</v>
      </c>
      <c r="U36" s="629" t="str">
        <f t="shared" ref="U36:V36" si="49">U13</f>
        <v>1337</v>
      </c>
      <c r="V36" s="629" t="str">
        <f t="shared" si="49"/>
        <v>8Bit Betty</v>
      </c>
      <c r="W36" s="5">
        <f t="shared" si="33"/>
        <v>12</v>
      </c>
      <c r="X36" s="43"/>
      <c r="Y36" s="880">
        <f t="shared" ref="Y36:AB36" si="50">IF($U36="","",Y59-Y82)</f>
        <v>0</v>
      </c>
      <c r="Z36" s="880">
        <f t="shared" si="50"/>
        <v>14</v>
      </c>
      <c r="AA36" s="880">
        <f t="shared" si="50"/>
        <v>16</v>
      </c>
      <c r="AB36" s="880">
        <f t="shared" si="50"/>
        <v>29</v>
      </c>
      <c r="AC36" s="5">
        <f t="shared" si="35"/>
        <v>59</v>
      </c>
      <c r="AD36" s="43"/>
      <c r="AE36" s="5">
        <f t="shared" si="36"/>
        <v>71</v>
      </c>
      <c r="AF36" s="43"/>
      <c r="AG36" s="43"/>
      <c r="AH36" s="5">
        <f t="shared" si="37"/>
        <v>0</v>
      </c>
      <c r="AI36" s="43"/>
      <c r="AJ36" s="5">
        <f t="shared" si="38"/>
        <v>71</v>
      </c>
      <c r="AK36" s="43"/>
    </row>
    <row r="37" ht="12.75" customHeight="1">
      <c r="A37" s="882">
        <f t="shared" si="23"/>
        <v>6</v>
      </c>
      <c r="B37" s="887" t="str">
        <f t="shared" ref="B37:C37" si="51">B14</f>
        <v>271</v>
      </c>
      <c r="C37" s="887" t="str">
        <f t="shared" si="51"/>
        <v>Peb Canary</v>
      </c>
      <c r="D37" s="882">
        <f t="shared" si="25"/>
        <v>0</v>
      </c>
      <c r="E37" s="43"/>
      <c r="F37" s="880">
        <f t="shared" ref="F37:I37" si="52">IF($B37="","",F60-F83)</f>
        <v>0</v>
      </c>
      <c r="G37" s="880">
        <f t="shared" si="52"/>
        <v>0</v>
      </c>
      <c r="H37" s="880">
        <f t="shared" si="52"/>
        <v>0</v>
      </c>
      <c r="I37" s="880">
        <f t="shared" si="52"/>
        <v>0</v>
      </c>
      <c r="J37" s="882">
        <f t="shared" si="27"/>
        <v>0</v>
      </c>
      <c r="K37" s="43"/>
      <c r="L37" s="882">
        <f t="shared" si="28"/>
        <v>0</v>
      </c>
      <c r="M37" s="43"/>
      <c r="N37" s="43"/>
      <c r="O37" s="882">
        <f t="shared" si="29"/>
        <v>-19</v>
      </c>
      <c r="P37" s="43"/>
      <c r="Q37" s="882">
        <f t="shared" si="30"/>
        <v>-19</v>
      </c>
      <c r="R37" s="43"/>
      <c r="S37" s="43"/>
      <c r="T37" s="882">
        <f t="shared" si="31"/>
        <v>6</v>
      </c>
      <c r="U37" s="887" t="str">
        <f t="shared" ref="U37:V37" si="53">U14</f>
        <v>150</v>
      </c>
      <c r="V37" s="887" t="str">
        <f t="shared" si="53"/>
        <v>Cooney</v>
      </c>
      <c r="W37" s="882">
        <f t="shared" si="33"/>
        <v>0</v>
      </c>
      <c r="X37" s="43"/>
      <c r="Y37" s="880">
        <f t="shared" ref="Y37:AB37" si="54">IF($U37="","",Y60-Y83)</f>
        <v>0</v>
      </c>
      <c r="Z37" s="880">
        <f t="shared" si="54"/>
        <v>16</v>
      </c>
      <c r="AA37" s="880">
        <f t="shared" si="54"/>
        <v>12</v>
      </c>
      <c r="AB37" s="880">
        <f t="shared" si="54"/>
        <v>0</v>
      </c>
      <c r="AC37" s="882">
        <f t="shared" si="35"/>
        <v>28</v>
      </c>
      <c r="AD37" s="43"/>
      <c r="AE37" s="882">
        <f t="shared" si="36"/>
        <v>28</v>
      </c>
      <c r="AF37" s="43"/>
      <c r="AG37" s="43"/>
      <c r="AH37" s="882">
        <f t="shared" si="37"/>
        <v>0</v>
      </c>
      <c r="AI37" s="43"/>
      <c r="AJ37" s="882">
        <f t="shared" si="38"/>
        <v>28</v>
      </c>
      <c r="AK37" s="43"/>
    </row>
    <row r="38" ht="12.75" customHeight="1">
      <c r="A38" s="5">
        <f t="shared" si="23"/>
        <v>7</v>
      </c>
      <c r="B38" s="629" t="str">
        <f t="shared" ref="B38:C38" si="55">B15</f>
        <v>220</v>
      </c>
      <c r="C38" s="629" t="str">
        <f t="shared" si="55"/>
        <v>Cerosene</v>
      </c>
      <c r="D38" s="5">
        <f t="shared" si="25"/>
        <v>-34</v>
      </c>
      <c r="E38" s="43"/>
      <c r="F38" s="880">
        <f t="shared" ref="F38:I38" si="56">IF($B38="","",F61-F84)</f>
        <v>0</v>
      </c>
      <c r="G38" s="880">
        <f t="shared" si="56"/>
        <v>-32</v>
      </c>
      <c r="H38" s="880">
        <f t="shared" si="56"/>
        <v>-2</v>
      </c>
      <c r="I38" s="880">
        <f t="shared" si="56"/>
        <v>0</v>
      </c>
      <c r="J38" s="5">
        <f t="shared" si="27"/>
        <v>-34</v>
      </c>
      <c r="K38" s="43"/>
      <c r="L38" s="5">
        <f t="shared" si="28"/>
        <v>-68</v>
      </c>
      <c r="M38" s="43"/>
      <c r="N38" s="43"/>
      <c r="O38" s="5">
        <f t="shared" si="29"/>
        <v>4</v>
      </c>
      <c r="P38" s="43"/>
      <c r="Q38" s="5">
        <f t="shared" si="30"/>
        <v>-64</v>
      </c>
      <c r="R38" s="43"/>
      <c r="S38" s="43"/>
      <c r="T38" s="5">
        <f t="shared" si="31"/>
        <v>7</v>
      </c>
      <c r="U38" s="629" t="str">
        <f t="shared" ref="U38:V38" si="57">U15</f>
        <v>16</v>
      </c>
      <c r="V38" s="629" t="str">
        <f t="shared" si="57"/>
        <v>Jemerald</v>
      </c>
      <c r="W38" s="5">
        <f t="shared" si="33"/>
        <v>0</v>
      </c>
      <c r="X38" s="43"/>
      <c r="Y38" s="880">
        <f t="shared" ref="Y38:AB38" si="58">IF($U38="","",Y61-Y84)</f>
        <v>0</v>
      </c>
      <c r="Z38" s="880">
        <f t="shared" si="58"/>
        <v>0</v>
      </c>
      <c r="AA38" s="880">
        <f t="shared" si="58"/>
        <v>0</v>
      </c>
      <c r="AB38" s="880">
        <f t="shared" si="58"/>
        <v>0</v>
      </c>
      <c r="AC38" s="5">
        <f t="shared" si="35"/>
        <v>0</v>
      </c>
      <c r="AD38" s="43"/>
      <c r="AE38" s="5">
        <f t="shared" si="36"/>
        <v>0</v>
      </c>
      <c r="AF38" s="43"/>
      <c r="AG38" s="43"/>
      <c r="AH38" s="5">
        <f t="shared" si="37"/>
        <v>66</v>
      </c>
      <c r="AI38" s="43"/>
      <c r="AJ38" s="5">
        <f t="shared" si="38"/>
        <v>66</v>
      </c>
      <c r="AK38" s="43"/>
    </row>
    <row r="39" ht="12.75" customHeight="1">
      <c r="A39" s="882">
        <f t="shared" si="23"/>
        <v>8</v>
      </c>
      <c r="B39" s="887" t="str">
        <f t="shared" ref="B39:C39" si="59">B16</f>
        <v>3556</v>
      </c>
      <c r="C39" s="887" t="str">
        <f t="shared" si="59"/>
        <v>Crystal Beth</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0</v>
      </c>
      <c r="P39" s="43"/>
      <c r="Q39" s="882">
        <f t="shared" si="30"/>
        <v>0</v>
      </c>
      <c r="R39" s="43"/>
      <c r="S39" s="43"/>
      <c r="T39" s="882">
        <f t="shared" si="31"/>
        <v>8</v>
      </c>
      <c r="U39" s="887" t="str">
        <f t="shared" ref="U39:V39" si="61">U16</f>
        <v>3110</v>
      </c>
      <c r="V39" s="887" t="str">
        <f t="shared" si="61"/>
        <v>Grand DAM</v>
      </c>
      <c r="W39" s="882">
        <f t="shared" si="33"/>
        <v>0</v>
      </c>
      <c r="X39" s="43"/>
      <c r="Y39" s="880">
        <f t="shared" ref="Y39:AB39" si="62">IF($U39="","",Y62-Y85)</f>
        <v>0</v>
      </c>
      <c r="Z39" s="880">
        <f t="shared" si="62"/>
        <v>0</v>
      </c>
      <c r="AA39" s="880">
        <f t="shared" si="62"/>
        <v>14</v>
      </c>
      <c r="AB39" s="880">
        <f t="shared" si="62"/>
        <v>19</v>
      </c>
      <c r="AC39" s="882">
        <f t="shared" si="35"/>
        <v>33</v>
      </c>
      <c r="AD39" s="43"/>
      <c r="AE39" s="882">
        <f t="shared" si="36"/>
        <v>33</v>
      </c>
      <c r="AF39" s="43"/>
      <c r="AG39" s="43"/>
      <c r="AH39" s="882">
        <f t="shared" si="37"/>
        <v>0</v>
      </c>
      <c r="AI39" s="43"/>
      <c r="AJ39" s="882">
        <f t="shared" si="38"/>
        <v>33</v>
      </c>
      <c r="AK39" s="43"/>
    </row>
    <row r="40" ht="12.75" customHeight="1">
      <c r="A40" s="5">
        <f t="shared" si="23"/>
        <v>9</v>
      </c>
      <c r="B40" s="629" t="str">
        <f t="shared" ref="B40:C40" si="63">B17</f>
        <v>360</v>
      </c>
      <c r="C40" s="629" t="str">
        <f t="shared" si="63"/>
        <v>Baxter</v>
      </c>
      <c r="D40" s="5">
        <f t="shared" si="25"/>
        <v>0</v>
      </c>
      <c r="E40" s="43"/>
      <c r="F40" s="880">
        <f t="shared" ref="F40:I40" si="64">IF($B40="","",F63-F86)</f>
        <v>0</v>
      </c>
      <c r="G40" s="880">
        <f t="shared" si="64"/>
        <v>0</v>
      </c>
      <c r="H40" s="880">
        <f t="shared" si="64"/>
        <v>0</v>
      </c>
      <c r="I40" s="880">
        <f t="shared" si="64"/>
        <v>0</v>
      </c>
      <c r="J40" s="5">
        <f t="shared" si="27"/>
        <v>0</v>
      </c>
      <c r="K40" s="43"/>
      <c r="L40" s="5">
        <f t="shared" si="28"/>
        <v>0</v>
      </c>
      <c r="M40" s="43"/>
      <c r="N40" s="43"/>
      <c r="O40" s="5">
        <f t="shared" si="29"/>
        <v>0</v>
      </c>
      <c r="P40" s="43"/>
      <c r="Q40" s="5">
        <f t="shared" si="30"/>
        <v>0</v>
      </c>
      <c r="R40" s="43"/>
      <c r="S40" s="43"/>
      <c r="T40" s="5">
        <f t="shared" si="31"/>
        <v>9</v>
      </c>
      <c r="U40" s="629" t="str">
        <f t="shared" ref="U40:V40" si="65">U17</f>
        <v>333</v>
      </c>
      <c r="V40" s="629" t="str">
        <f t="shared" si="65"/>
        <v>Yonic Cyclonic</v>
      </c>
      <c r="W40" s="5">
        <f t="shared" si="33"/>
        <v>0</v>
      </c>
      <c r="X40" s="43"/>
      <c r="Y40" s="880">
        <f t="shared" ref="Y40:AB40" si="66">IF($U40="","",Y63-Y86)</f>
        <v>0</v>
      </c>
      <c r="Z40" s="880">
        <f t="shared" si="66"/>
        <v>0</v>
      </c>
      <c r="AA40" s="880">
        <f t="shared" si="66"/>
        <v>0</v>
      </c>
      <c r="AB40" s="880">
        <f t="shared" si="66"/>
        <v>0</v>
      </c>
      <c r="AC40" s="5">
        <f t="shared" si="35"/>
        <v>0</v>
      </c>
      <c r="AD40" s="43"/>
      <c r="AE40" s="5">
        <f t="shared" si="36"/>
        <v>0</v>
      </c>
      <c r="AF40" s="43"/>
      <c r="AG40" s="43"/>
      <c r="AH40" s="5">
        <f t="shared" si="37"/>
        <v>0</v>
      </c>
      <c r="AI40" s="43"/>
      <c r="AJ40" s="5">
        <f t="shared" si="38"/>
        <v>0</v>
      </c>
      <c r="AK40" s="43"/>
    </row>
    <row r="41" ht="12.75" customHeight="1">
      <c r="A41" s="882">
        <f t="shared" si="23"/>
        <v>10</v>
      </c>
      <c r="B41" s="887" t="str">
        <f t="shared" ref="B41:C41" si="67">B18</f>
        <v>40</v>
      </c>
      <c r="C41" s="887" t="str">
        <f t="shared" si="67"/>
        <v>Kid</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0</v>
      </c>
      <c r="P41" s="43"/>
      <c r="Q41" s="882">
        <f t="shared" si="30"/>
        <v>0</v>
      </c>
      <c r="R41" s="43"/>
      <c r="S41" s="43"/>
      <c r="T41" s="882">
        <f t="shared" si="31"/>
        <v>10</v>
      </c>
      <c r="U41" s="887" t="str">
        <f t="shared" ref="U41:V41" si="69">U18</f>
        <v>4</v>
      </c>
      <c r="V41" s="887" t="str">
        <f t="shared" si="69"/>
        <v>Stabba</v>
      </c>
      <c r="W41" s="882">
        <f t="shared" si="33"/>
        <v>0</v>
      </c>
      <c r="X41" s="43"/>
      <c r="Y41" s="880">
        <f t="shared" ref="Y41:AB41" si="70">IF($U41="","",Y64-Y87)</f>
        <v>0</v>
      </c>
      <c r="Z41" s="880">
        <f t="shared" si="70"/>
        <v>14</v>
      </c>
      <c r="AA41" s="880">
        <f t="shared" si="70"/>
        <v>18</v>
      </c>
      <c r="AB41" s="880">
        <f t="shared" si="70"/>
        <v>0</v>
      </c>
      <c r="AC41" s="882">
        <f t="shared" si="35"/>
        <v>32</v>
      </c>
      <c r="AD41" s="43"/>
      <c r="AE41" s="882">
        <f t="shared" si="36"/>
        <v>32</v>
      </c>
      <c r="AF41" s="43"/>
      <c r="AG41" s="43"/>
      <c r="AH41" s="882">
        <f t="shared" si="37"/>
        <v>0</v>
      </c>
      <c r="AI41" s="43"/>
      <c r="AJ41" s="882">
        <f t="shared" si="38"/>
        <v>32</v>
      </c>
      <c r="AK41" s="43"/>
    </row>
    <row r="42" ht="12.75" customHeight="1">
      <c r="A42" s="5">
        <f t="shared" si="23"/>
        <v>11</v>
      </c>
      <c r="B42" s="629" t="str">
        <f t="shared" ref="B42:C42" si="71">B19</f>
        <v>42</v>
      </c>
      <c r="C42" s="629" t="str">
        <f t="shared" si="71"/>
        <v>Bosh</v>
      </c>
      <c r="D42" s="5">
        <f t="shared" si="25"/>
        <v>-48</v>
      </c>
      <c r="E42" s="43"/>
      <c r="F42" s="880">
        <f t="shared" ref="F42:I42" si="72">IF($B42="","",F65-F88)</f>
        <v>0</v>
      </c>
      <c r="G42" s="880">
        <f t="shared" si="72"/>
        <v>-5</v>
      </c>
      <c r="H42" s="880">
        <f t="shared" si="72"/>
        <v>1</v>
      </c>
      <c r="I42" s="880">
        <f t="shared" si="72"/>
        <v>-10</v>
      </c>
      <c r="J42" s="5">
        <f t="shared" si="27"/>
        <v>-14</v>
      </c>
      <c r="K42" s="43"/>
      <c r="L42" s="5">
        <f t="shared" si="28"/>
        <v>-62</v>
      </c>
      <c r="M42" s="43"/>
      <c r="N42" s="43"/>
      <c r="O42" s="5">
        <f t="shared" si="29"/>
        <v>0</v>
      </c>
      <c r="P42" s="43"/>
      <c r="Q42" s="5">
        <f t="shared" si="30"/>
        <v>-62</v>
      </c>
      <c r="R42" s="43"/>
      <c r="S42" s="43"/>
      <c r="T42" s="5">
        <f t="shared" si="31"/>
        <v>11</v>
      </c>
      <c r="U42" s="629" t="str">
        <f t="shared" ref="U42:V42" si="73">U19</f>
        <v>42</v>
      </c>
      <c r="V42" s="629" t="str">
        <f t="shared" si="73"/>
        <v>Pretty Carless</v>
      </c>
      <c r="W42" s="5">
        <f t="shared" si="33"/>
        <v>40</v>
      </c>
      <c r="X42" s="43"/>
      <c r="Y42" s="880">
        <f t="shared" ref="Y42:AB42" si="74">IF($U42="","",Y65-Y88)</f>
        <v>0</v>
      </c>
      <c r="Z42" s="880">
        <f t="shared" si="74"/>
        <v>0</v>
      </c>
      <c r="AA42" s="880">
        <f t="shared" si="74"/>
        <v>0</v>
      </c>
      <c r="AB42" s="880">
        <f t="shared" si="74"/>
        <v>0</v>
      </c>
      <c r="AC42" s="5">
        <f t="shared" si="35"/>
        <v>0</v>
      </c>
      <c r="AD42" s="43"/>
      <c r="AE42" s="5">
        <f t="shared" si="36"/>
        <v>40</v>
      </c>
      <c r="AF42" s="43"/>
      <c r="AG42" s="43"/>
      <c r="AH42" s="5">
        <f t="shared" si="37"/>
        <v>6</v>
      </c>
      <c r="AI42" s="43"/>
      <c r="AJ42" s="5">
        <f t="shared" si="38"/>
        <v>46</v>
      </c>
      <c r="AK42" s="43"/>
    </row>
    <row r="43" ht="12.75" customHeight="1">
      <c r="A43" s="882">
        <f t="shared" si="23"/>
        <v>12</v>
      </c>
      <c r="B43" s="887" t="str">
        <f t="shared" ref="B43:C43" si="75">B20</f>
        <v>44</v>
      </c>
      <c r="C43" s="887" t="str">
        <f t="shared" si="75"/>
        <v>Esparcieux</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0</v>
      </c>
      <c r="P43" s="43"/>
      <c r="Q43" s="882">
        <f t="shared" si="30"/>
        <v>0</v>
      </c>
      <c r="R43" s="43"/>
      <c r="S43" s="43"/>
      <c r="T43" s="882">
        <f t="shared" si="31"/>
        <v>12</v>
      </c>
      <c r="U43" s="887" t="str">
        <f t="shared" ref="U43:V43" si="77">U20</f>
        <v>48</v>
      </c>
      <c r="V43" s="887" t="str">
        <f t="shared" si="77"/>
        <v>Tini from the Bloc</v>
      </c>
      <c r="W43" s="882">
        <f t="shared" si="33"/>
        <v>0</v>
      </c>
      <c r="X43" s="43"/>
      <c r="Y43" s="880">
        <f t="shared" ref="Y43:AB43" si="78">IF($U43="","",Y66-Y89)</f>
        <v>0</v>
      </c>
      <c r="Z43" s="880">
        <f t="shared" si="78"/>
        <v>0</v>
      </c>
      <c r="AA43" s="880">
        <f t="shared" si="78"/>
        <v>11</v>
      </c>
      <c r="AB43" s="880">
        <f t="shared" si="78"/>
        <v>30</v>
      </c>
      <c r="AC43" s="882">
        <f t="shared" si="35"/>
        <v>41</v>
      </c>
      <c r="AD43" s="43"/>
      <c r="AE43" s="882">
        <f t="shared" si="36"/>
        <v>41</v>
      </c>
      <c r="AF43" s="43"/>
      <c r="AG43" s="43"/>
      <c r="AH43" s="882">
        <f t="shared" si="37"/>
        <v>0</v>
      </c>
      <c r="AI43" s="43"/>
      <c r="AJ43" s="882">
        <f t="shared" si="38"/>
        <v>41</v>
      </c>
      <c r="AK43" s="43"/>
    </row>
    <row r="44" ht="12.75" customHeight="1">
      <c r="A44" s="5">
        <f t="shared" si="23"/>
        <v>13</v>
      </c>
      <c r="B44" s="629" t="str">
        <f t="shared" ref="B44:C44" si="79">B21</f>
        <v>45</v>
      </c>
      <c r="C44" s="629" t="str">
        <f t="shared" si="79"/>
        <v>Hawk</v>
      </c>
      <c r="D44" s="5">
        <f t="shared" si="25"/>
        <v>0</v>
      </c>
      <c r="E44" s="43"/>
      <c r="F44" s="880">
        <f t="shared" ref="F44:I44" si="80">IF($B44="","",F67-F90)</f>
        <v>0</v>
      </c>
      <c r="G44" s="880">
        <f t="shared" si="80"/>
        <v>0</v>
      </c>
      <c r="H44" s="880">
        <f t="shared" si="80"/>
        <v>0</v>
      </c>
      <c r="I44" s="880">
        <f t="shared" si="80"/>
        <v>0</v>
      </c>
      <c r="J44" s="5">
        <f t="shared" si="27"/>
        <v>0</v>
      </c>
      <c r="K44" s="43"/>
      <c r="L44" s="5">
        <f t="shared" si="28"/>
        <v>0</v>
      </c>
      <c r="M44" s="43"/>
      <c r="N44" s="43"/>
      <c r="O44" s="5">
        <f t="shared" si="29"/>
        <v>-23</v>
      </c>
      <c r="P44" s="43"/>
      <c r="Q44" s="5">
        <f t="shared" si="30"/>
        <v>-23</v>
      </c>
      <c r="R44" s="43"/>
      <c r="S44" s="43"/>
      <c r="T44" s="5">
        <f t="shared" si="31"/>
        <v>13</v>
      </c>
      <c r="U44" s="629" t="str">
        <f t="shared" ref="U44:V44" si="81">U21</f>
        <v>167</v>
      </c>
      <c r="V44" s="629" t="str">
        <f t="shared" si="81"/>
        <v>Rile E Coyote</v>
      </c>
      <c r="W44" s="5">
        <f t="shared" si="33"/>
        <v>0</v>
      </c>
      <c r="X44" s="43"/>
      <c r="Y44" s="880">
        <f t="shared" ref="Y44:AB44" si="82">IF($U44="","",Y67-Y90)</f>
        <v>0</v>
      </c>
      <c r="Z44" s="880">
        <f t="shared" si="82"/>
        <v>18</v>
      </c>
      <c r="AA44" s="880">
        <f t="shared" si="82"/>
        <v>0</v>
      </c>
      <c r="AB44" s="880">
        <f t="shared" si="82"/>
        <v>5</v>
      </c>
      <c r="AC44" s="5">
        <f t="shared" si="35"/>
        <v>23</v>
      </c>
      <c r="AD44" s="43"/>
      <c r="AE44" s="5">
        <f t="shared" si="36"/>
        <v>23</v>
      </c>
      <c r="AF44" s="43"/>
      <c r="AG44" s="43"/>
      <c r="AH44" s="5">
        <f t="shared" si="37"/>
        <v>0</v>
      </c>
      <c r="AI44" s="43"/>
      <c r="AJ44" s="5">
        <f t="shared" si="38"/>
        <v>23</v>
      </c>
      <c r="AK44" s="43"/>
    </row>
    <row r="45" ht="12.75" customHeight="1">
      <c r="A45" s="882">
        <f t="shared" si="23"/>
        <v>14</v>
      </c>
      <c r="B45" s="887" t="str">
        <f t="shared" ref="B45:C45" si="83">B22</f>
        <v>48</v>
      </c>
      <c r="C45" s="887" t="str">
        <f t="shared" si="83"/>
        <v>Ward</v>
      </c>
      <c r="D45" s="882">
        <f t="shared" si="25"/>
        <v>0</v>
      </c>
      <c r="E45" s="43"/>
      <c r="F45" s="880">
        <f t="shared" ref="F45:I45" si="84">IF($B45="","",F68-F91)</f>
        <v>0</v>
      </c>
      <c r="G45" s="880">
        <f t="shared" si="84"/>
        <v>-12</v>
      </c>
      <c r="H45" s="880">
        <f t="shared" si="84"/>
        <v>-16</v>
      </c>
      <c r="I45" s="880">
        <f t="shared" si="84"/>
        <v>-2</v>
      </c>
      <c r="J45" s="882">
        <f t="shared" si="27"/>
        <v>-30</v>
      </c>
      <c r="K45" s="43"/>
      <c r="L45" s="882">
        <f t="shared" si="28"/>
        <v>-30</v>
      </c>
      <c r="M45" s="43"/>
      <c r="N45" s="43"/>
      <c r="O45" s="882">
        <f t="shared" si="29"/>
        <v>0</v>
      </c>
      <c r="P45" s="43"/>
      <c r="Q45" s="882">
        <f t="shared" si="30"/>
        <v>-30</v>
      </c>
      <c r="R45" s="43"/>
      <c r="S45" s="43"/>
      <c r="T45" s="882">
        <f t="shared" si="31"/>
        <v>14</v>
      </c>
      <c r="U45" s="887" t="str">
        <f t="shared" ref="U45:V45" si="85">U22</f>
        <v>602</v>
      </c>
      <c r="V45" s="887" t="str">
        <f t="shared" si="85"/>
        <v>Fearidum</v>
      </c>
      <c r="W45" s="882">
        <f t="shared" si="33"/>
        <v>4</v>
      </c>
      <c r="X45" s="43"/>
      <c r="Y45" s="880">
        <f t="shared" ref="Y45:AB45" si="86">IF($U45="","",Y68-Y91)</f>
        <v>0</v>
      </c>
      <c r="Z45" s="880">
        <f t="shared" si="86"/>
        <v>12</v>
      </c>
      <c r="AA45" s="880">
        <f t="shared" si="86"/>
        <v>3</v>
      </c>
      <c r="AB45" s="880">
        <f t="shared" si="86"/>
        <v>-1</v>
      </c>
      <c r="AC45" s="882">
        <f t="shared" si="35"/>
        <v>14</v>
      </c>
      <c r="AD45" s="43"/>
      <c r="AE45" s="882">
        <f t="shared" si="36"/>
        <v>18</v>
      </c>
      <c r="AF45" s="43"/>
      <c r="AG45" s="43"/>
      <c r="AH45" s="882">
        <f t="shared" si="37"/>
        <v>0</v>
      </c>
      <c r="AI45" s="43"/>
      <c r="AJ45" s="882">
        <f t="shared" si="38"/>
        <v>18</v>
      </c>
      <c r="AK45" s="43"/>
    </row>
    <row r="46" ht="12.75" customHeight="1">
      <c r="A46" s="5">
        <f t="shared" si="23"/>
        <v>15</v>
      </c>
      <c r="B46" s="629" t="str">
        <f t="shared" ref="B46:C46" si="87">B23</f>
        <v>565</v>
      </c>
      <c r="C46" s="629" t="str">
        <f t="shared" si="87"/>
        <v>Melyn</v>
      </c>
      <c r="D46" s="5">
        <f t="shared" si="25"/>
        <v>0</v>
      </c>
      <c r="E46" s="43"/>
      <c r="F46" s="880">
        <f t="shared" ref="F46:I46" si="88">IF($B46="","",F69-F92)</f>
        <v>0</v>
      </c>
      <c r="G46" s="880">
        <f t="shared" si="88"/>
        <v>0</v>
      </c>
      <c r="H46" s="880">
        <f t="shared" si="88"/>
        <v>-59</v>
      </c>
      <c r="I46" s="880">
        <f t="shared" si="88"/>
        <v>2</v>
      </c>
      <c r="J46" s="5">
        <f t="shared" si="27"/>
        <v>-57</v>
      </c>
      <c r="K46" s="43"/>
      <c r="L46" s="5">
        <f t="shared" si="28"/>
        <v>-57</v>
      </c>
      <c r="M46" s="43"/>
      <c r="N46" s="43"/>
      <c r="O46" s="5">
        <f t="shared" si="29"/>
        <v>0</v>
      </c>
      <c r="P46" s="43"/>
      <c r="Q46" s="5">
        <f t="shared" si="30"/>
        <v>-57</v>
      </c>
      <c r="R46" s="43"/>
      <c r="S46" s="43"/>
      <c r="T46" s="5">
        <f t="shared" si="31"/>
        <v>15</v>
      </c>
      <c r="U46" s="629" t="str">
        <f t="shared" ref="U46:V46" si="89">U23</f>
        <v>777</v>
      </c>
      <c r="V46" s="629" t="str">
        <f t="shared" si="89"/>
        <v>Des</v>
      </c>
      <c r="W46" s="5">
        <f t="shared" si="33"/>
        <v>0</v>
      </c>
      <c r="X46" s="43"/>
      <c r="Y46" s="880">
        <f t="shared" ref="Y46:AB46" si="90">IF($U46="","",Y69-Y92)</f>
        <v>0</v>
      </c>
      <c r="Z46" s="880">
        <f t="shared" si="90"/>
        <v>4</v>
      </c>
      <c r="AA46" s="880">
        <f t="shared" si="90"/>
        <v>44</v>
      </c>
      <c r="AB46" s="880">
        <f t="shared" si="90"/>
        <v>44</v>
      </c>
      <c r="AC46" s="5">
        <f t="shared" si="35"/>
        <v>92</v>
      </c>
      <c r="AD46" s="43"/>
      <c r="AE46" s="5">
        <f t="shared" si="36"/>
        <v>92</v>
      </c>
      <c r="AF46" s="43"/>
      <c r="AG46" s="43"/>
      <c r="AH46" s="5">
        <f t="shared" si="37"/>
        <v>0</v>
      </c>
      <c r="AI46" s="43"/>
      <c r="AJ46" s="5">
        <f t="shared" si="38"/>
        <v>92</v>
      </c>
      <c r="AK46" s="43"/>
    </row>
    <row r="47" ht="12.75" customHeight="1">
      <c r="A47" s="882">
        <f t="shared" si="23"/>
        <v>16</v>
      </c>
      <c r="B47" s="887" t="str">
        <f t="shared" ref="B47:C47" si="91">B24</f>
        <v>50</v>
      </c>
      <c r="C47" s="887" t="str">
        <f t="shared" si="91"/>
        <v>Gray</v>
      </c>
      <c r="D47" s="882">
        <f t="shared" si="25"/>
        <v>0</v>
      </c>
      <c r="E47" s="43"/>
      <c r="F47" s="880">
        <f t="shared" ref="F47:I47" si="92">IF($B47="","",F70-F93)</f>
        <v>0</v>
      </c>
      <c r="G47" s="880">
        <f t="shared" si="92"/>
        <v>0</v>
      </c>
      <c r="H47" s="880">
        <f t="shared" si="92"/>
        <v>-11</v>
      </c>
      <c r="I47" s="880">
        <f t="shared" si="92"/>
        <v>-57</v>
      </c>
      <c r="J47" s="882">
        <f t="shared" si="27"/>
        <v>-68</v>
      </c>
      <c r="K47" s="43"/>
      <c r="L47" s="882">
        <f t="shared" si="28"/>
        <v>-68</v>
      </c>
      <c r="M47" s="43"/>
      <c r="N47" s="43"/>
      <c r="O47" s="882">
        <f t="shared" si="29"/>
        <v>0</v>
      </c>
      <c r="P47" s="43"/>
      <c r="Q47" s="882">
        <f t="shared" si="30"/>
        <v>-68</v>
      </c>
      <c r="R47" s="43"/>
      <c r="S47" s="43"/>
      <c r="T47" s="882">
        <f t="shared" si="31"/>
        <v>16</v>
      </c>
      <c r="U47" s="887" t="str">
        <f t="shared" ref="U47:V47" si="93">U24</f>
        <v>88</v>
      </c>
      <c r="V47" s="887" t="str">
        <f t="shared" si="93"/>
        <v>diamond WEAPON</v>
      </c>
      <c r="W47" s="882">
        <f t="shared" si="33"/>
        <v>61</v>
      </c>
      <c r="X47" s="43"/>
      <c r="Y47" s="880">
        <f t="shared" ref="Y47:AB47" si="94">IF($U47="","",Y70-Y93)</f>
        <v>0</v>
      </c>
      <c r="Z47" s="880">
        <f t="shared" si="94"/>
        <v>0</v>
      </c>
      <c r="AA47" s="880">
        <f t="shared" si="94"/>
        <v>0</v>
      </c>
      <c r="AB47" s="880">
        <f t="shared" si="94"/>
        <v>0</v>
      </c>
      <c r="AC47" s="882">
        <f t="shared" si="35"/>
        <v>0</v>
      </c>
      <c r="AD47" s="43"/>
      <c r="AE47" s="882">
        <f t="shared" si="36"/>
        <v>61</v>
      </c>
      <c r="AF47" s="43"/>
      <c r="AG47" s="43"/>
      <c r="AH47" s="882">
        <f t="shared" si="37"/>
        <v>7</v>
      </c>
      <c r="AI47" s="43"/>
      <c r="AJ47" s="882">
        <f t="shared" si="38"/>
        <v>68</v>
      </c>
      <c r="AK47" s="43"/>
    </row>
    <row r="48" ht="12.75" customHeight="1">
      <c r="A48" s="5">
        <f t="shared" si="23"/>
        <v>17</v>
      </c>
      <c r="B48" s="629" t="str">
        <f t="shared" ref="B48:C48" si="95">B25</f>
        <v>808</v>
      </c>
      <c r="C48" s="629" t="str">
        <f t="shared" si="95"/>
        <v>Morganator</v>
      </c>
      <c r="D48" s="5">
        <f t="shared" si="25"/>
        <v>0</v>
      </c>
      <c r="E48" s="43"/>
      <c r="F48" s="880">
        <f t="shared" ref="F48:I48" si="96">IF($B48="","",F71-F94)</f>
        <v>0</v>
      </c>
      <c r="G48" s="880">
        <f t="shared" si="96"/>
        <v>-42</v>
      </c>
      <c r="H48" s="880">
        <f t="shared" si="96"/>
        <v>4</v>
      </c>
      <c r="I48" s="880">
        <f t="shared" si="96"/>
        <v>-4</v>
      </c>
      <c r="J48" s="5">
        <f t="shared" si="27"/>
        <v>-42</v>
      </c>
      <c r="K48" s="43"/>
      <c r="L48" s="5">
        <f t="shared" si="28"/>
        <v>-42</v>
      </c>
      <c r="M48" s="43"/>
      <c r="N48" s="43"/>
      <c r="O48" s="5">
        <f t="shared" si="29"/>
        <v>0</v>
      </c>
      <c r="P48" s="43"/>
      <c r="Q48" s="5">
        <f t="shared" si="30"/>
        <v>-42</v>
      </c>
      <c r="R48" s="43"/>
      <c r="S48" s="43"/>
      <c r="T48" s="5">
        <f t="shared" si="31"/>
        <v>17</v>
      </c>
      <c r="U48" s="629" t="str">
        <f t="shared" ref="U48:V48" si="97">U25</f>
        <v/>
      </c>
      <c r="V48" s="629" t="str">
        <f t="shared" si="97"/>
        <v/>
      </c>
      <c r="W48" s="5" t="str">
        <f t="shared" si="33"/>
        <v/>
      </c>
      <c r="X48" s="43"/>
      <c r="Y48" s="880" t="str">
        <f t="shared" ref="Y48:AB48" si="98">IF($U48="","",Y71-Y94)</f>
        <v/>
      </c>
      <c r="Z48" s="880" t="str">
        <f t="shared" si="98"/>
        <v/>
      </c>
      <c r="AA48" s="880" t="str">
        <f t="shared" si="98"/>
        <v/>
      </c>
      <c r="AB48" s="880" t="str">
        <f t="shared" si="98"/>
        <v/>
      </c>
      <c r="AC48" s="5" t="str">
        <f t="shared" si="35"/>
        <v/>
      </c>
      <c r="AD48" s="43"/>
      <c r="AE48" s="5" t="str">
        <f t="shared" si="36"/>
        <v/>
      </c>
      <c r="AF48" s="43"/>
      <c r="AG48" s="43"/>
      <c r="AH48" s="5" t="str">
        <f t="shared" si="37"/>
        <v/>
      </c>
      <c r="AI48" s="43"/>
      <c r="AJ48" s="5" t="str">
        <f t="shared" si="38"/>
        <v/>
      </c>
      <c r="AK48" s="43"/>
    </row>
    <row r="49" ht="12.75" customHeight="1">
      <c r="A49" s="882">
        <f t="shared" si="23"/>
        <v>18</v>
      </c>
      <c r="B49" s="887" t="str">
        <f t="shared" ref="B49:C49" si="99">B26</f>
        <v>912</v>
      </c>
      <c r="C49" s="887" t="str">
        <f t="shared" si="99"/>
        <v>Battered Sausage</v>
      </c>
      <c r="D49" s="882">
        <f t="shared" si="25"/>
        <v>-14</v>
      </c>
      <c r="E49" s="43"/>
      <c r="F49" s="880">
        <f t="shared" ref="F49:I49" si="100">IF($B49="","",F72-F95)</f>
        <v>0</v>
      </c>
      <c r="G49" s="880">
        <f t="shared" si="100"/>
        <v>-36</v>
      </c>
      <c r="H49" s="880">
        <f t="shared" si="100"/>
        <v>0</v>
      </c>
      <c r="I49" s="880">
        <f t="shared" si="100"/>
        <v>-12</v>
      </c>
      <c r="J49" s="882">
        <f t="shared" si="27"/>
        <v>-48</v>
      </c>
      <c r="K49" s="43"/>
      <c r="L49" s="882">
        <f t="shared" si="28"/>
        <v>-62</v>
      </c>
      <c r="M49" s="43"/>
      <c r="N49" s="43"/>
      <c r="O49" s="882">
        <f t="shared" si="29"/>
        <v>0</v>
      </c>
      <c r="P49" s="43"/>
      <c r="Q49" s="882">
        <f t="shared" si="30"/>
        <v>-62</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2.75" customHeight="1">
      <c r="A50" s="5">
        <f t="shared" si="23"/>
        <v>19</v>
      </c>
      <c r="B50" s="629" t="str">
        <f t="shared" ref="B50:C50" si="103">B27</f>
        <v>93</v>
      </c>
      <c r="C50" s="629" t="str">
        <f t="shared" si="103"/>
        <v>Sangria</v>
      </c>
      <c r="D50" s="5">
        <f t="shared" si="25"/>
        <v>0</v>
      </c>
      <c r="E50" s="43"/>
      <c r="F50" s="880">
        <f t="shared" ref="F50:I50" si="104">IF($B50="","",F73-F96)</f>
        <v>4</v>
      </c>
      <c r="G50" s="880">
        <f t="shared" si="104"/>
        <v>0</v>
      </c>
      <c r="H50" s="880">
        <f t="shared" si="104"/>
        <v>0</v>
      </c>
      <c r="I50" s="880">
        <f t="shared" si="104"/>
        <v>0</v>
      </c>
      <c r="J50" s="5">
        <f t="shared" si="27"/>
        <v>4</v>
      </c>
      <c r="K50" s="43"/>
      <c r="L50" s="5">
        <f t="shared" si="28"/>
        <v>4</v>
      </c>
      <c r="M50" s="43"/>
      <c r="N50" s="43"/>
      <c r="O50" s="5">
        <f t="shared" si="29"/>
        <v>-32</v>
      </c>
      <c r="P50" s="43"/>
      <c r="Q50" s="5">
        <f t="shared" si="30"/>
        <v>-28</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999</v>
      </c>
      <c r="C51" s="887" t="str">
        <f t="shared" si="107"/>
        <v>Angel</v>
      </c>
      <c r="D51" s="882">
        <f t="shared" si="25"/>
        <v>-42</v>
      </c>
      <c r="E51" s="43"/>
      <c r="F51" s="880">
        <f t="shared" ref="F51:I51" si="108">IF($B51="","",F74-F97)</f>
        <v>0</v>
      </c>
      <c r="G51" s="880">
        <f t="shared" si="108"/>
        <v>0</v>
      </c>
      <c r="H51" s="880">
        <f t="shared" si="108"/>
        <v>0</v>
      </c>
      <c r="I51" s="880">
        <f t="shared" si="108"/>
        <v>0</v>
      </c>
      <c r="J51" s="882">
        <f t="shared" si="27"/>
        <v>0</v>
      </c>
      <c r="K51" s="43"/>
      <c r="L51" s="882">
        <f t="shared" si="28"/>
        <v>-42</v>
      </c>
      <c r="M51" s="43"/>
      <c r="N51" s="43"/>
      <c r="O51" s="882">
        <f t="shared" si="29"/>
        <v>4</v>
      </c>
      <c r="P51" s="43"/>
      <c r="Q51" s="882">
        <f t="shared" si="30"/>
        <v>-38</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435</v>
      </c>
      <c r="B53" s="8"/>
      <c r="C53" s="9"/>
      <c r="D53" s="873"/>
      <c r="E53" s="873"/>
      <c r="F53" s="873"/>
      <c r="G53" s="873"/>
      <c r="H53" s="873"/>
      <c r="I53" s="873"/>
      <c r="J53" s="873"/>
      <c r="K53" s="873"/>
      <c r="L53" s="873"/>
      <c r="M53" s="873"/>
      <c r="N53" s="873"/>
      <c r="O53" s="873"/>
      <c r="P53" s="873"/>
      <c r="Q53" s="873"/>
      <c r="R53" s="873"/>
      <c r="S53" s="43"/>
      <c r="T53" s="872" t="s">
        <v>435</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424</v>
      </c>
      <c r="C54" s="874" t="s">
        <v>425</v>
      </c>
      <c r="D54" s="874" t="s">
        <v>282</v>
      </c>
      <c r="E54" s="5"/>
      <c r="F54" s="876" t="s">
        <v>283</v>
      </c>
      <c r="G54" s="876" t="s">
        <v>283</v>
      </c>
      <c r="H54" s="876" t="s">
        <v>283</v>
      </c>
      <c r="I54" s="876" t="s">
        <v>283</v>
      </c>
      <c r="J54" s="874" t="s">
        <v>427</v>
      </c>
      <c r="K54" s="5"/>
      <c r="L54" s="874" t="s">
        <v>429</v>
      </c>
      <c r="M54" s="5"/>
      <c r="N54" s="877" t="s">
        <v>431</v>
      </c>
      <c r="O54" s="874" t="s">
        <v>280</v>
      </c>
      <c r="P54" s="5"/>
      <c r="Q54" s="874" t="s">
        <v>398</v>
      </c>
      <c r="R54" s="5"/>
      <c r="S54" s="5"/>
      <c r="T54" s="874">
        <v>0.0</v>
      </c>
      <c r="U54" s="874" t="s">
        <v>424</v>
      </c>
      <c r="V54" s="874" t="s">
        <v>425</v>
      </c>
      <c r="W54" s="874" t="s">
        <v>282</v>
      </c>
      <c r="X54" s="5"/>
      <c r="Y54" s="876" t="s">
        <v>283</v>
      </c>
      <c r="Z54" s="876" t="s">
        <v>283</v>
      </c>
      <c r="AA54" s="876" t="s">
        <v>283</v>
      </c>
      <c r="AB54" s="876" t="s">
        <v>283</v>
      </c>
      <c r="AC54" s="874" t="s">
        <v>427</v>
      </c>
      <c r="AD54" s="5"/>
      <c r="AE54" s="874" t="s">
        <v>429</v>
      </c>
      <c r="AF54" s="5"/>
      <c r="AG54" s="877" t="s">
        <v>431</v>
      </c>
      <c r="AH54" s="874" t="s">
        <v>280</v>
      </c>
      <c r="AI54" s="5"/>
      <c r="AJ54" s="874" t="s">
        <v>398</v>
      </c>
      <c r="AK54" s="5"/>
    </row>
    <row r="55" ht="12.75" customHeight="1">
      <c r="A55" s="5">
        <f t="shared" ref="A55:A74" si="113">A54+1</f>
        <v>1</v>
      </c>
      <c r="B55" s="629" t="str">
        <f t="shared" ref="B55:C55" si="111">B9</f>
        <v>04</v>
      </c>
      <c r="C55" s="629" t="str">
        <f t="shared" si="111"/>
        <v>Nina</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4</v>
      </c>
      <c r="I55" s="880">
        <f>IF($B55="","",SUMPRODUCT(--(Lineups!$S$4:$S$41=$B55),Lineups!$W$4:$W$41))</f>
        <v>4</v>
      </c>
      <c r="J55" s="5">
        <f t="shared" ref="J55:J74" si="115">IF(B55="","",SUM(F55:I55))</f>
        <v>8</v>
      </c>
      <c r="K55" s="43"/>
      <c r="L55" s="5">
        <f t="shared" ref="L55:L74" si="116">IF(B55="","",SUM(D55,J55))</f>
        <v>8</v>
      </c>
      <c r="M55" s="43"/>
      <c r="N55" s="43"/>
      <c r="O55" s="5">
        <f>IF($B55="","",SUMPRODUCT(--(Lineups!$C$4:$C$41=$B55),Lineups!$W$4:$W$41))</f>
        <v>0</v>
      </c>
      <c r="P55" s="43"/>
      <c r="Q55" s="5">
        <f t="shared" ref="Q55:Q74" si="117">IF(B55="","",SUM(L55,O55))</f>
        <v>8</v>
      </c>
      <c r="R55" s="43"/>
      <c r="S55" s="43"/>
      <c r="T55" s="5">
        <f t="shared" ref="T55:T74" si="118">T54+1</f>
        <v>1</v>
      </c>
      <c r="U55" s="629" t="str">
        <f t="shared" ref="U55:V55" si="112">U9</f>
        <v>040</v>
      </c>
      <c r="V55" s="629" t="str">
        <f t="shared" si="112"/>
        <v>Ruff Rackelhahn</v>
      </c>
      <c r="W55" s="5">
        <f>IF($U55="","",SUMPRODUCT(--(Lineups!$AG$4:$AG$41=$U55),--(Lineups!$AB$4:$AB$41=""),Lineups!$AW$4:$AW$41))</f>
        <v>0</v>
      </c>
      <c r="X55" s="43"/>
      <c r="Y55" s="880">
        <f>IF($U55="","",SUMPRODUCT(--(Lineups!$AG$4:$AG$41=$U55),--(Lineups!$AB$4:$AB$41="X"),Lineups!$AW$4:$AW$41))</f>
        <v>0</v>
      </c>
      <c r="Z55" s="880">
        <f>IF($U55="","",SUMPRODUCT(--(Lineups!$AK$4:$AK$41=$U55),Lineups!$AW$4:$AW$41))</f>
        <v>68</v>
      </c>
      <c r="AA55" s="880">
        <f>IF($U55="","",SUMPRODUCT(--(Lineups!$AO$4:$AO$41=$U55),Lineups!$AW$4:$AW$41))</f>
        <v>34</v>
      </c>
      <c r="AB55" s="880">
        <f>IF($U55="","",SUMPRODUCT(--(Lineups!$AS$4:$AS$41=$U55),Lineups!$AW$4:$AW$41))</f>
        <v>4</v>
      </c>
      <c r="AC55" s="5">
        <f t="shared" ref="AC55:AC74" si="120">IF(U55="","",SUM(Y55:AB55))</f>
        <v>106</v>
      </c>
      <c r="AD55" s="43"/>
      <c r="AE55" s="5">
        <f t="shared" ref="AE55:AE74" si="121">IF(U55="","",SUM(W55,AC55))</f>
        <v>106</v>
      </c>
      <c r="AF55" s="43"/>
      <c r="AG55" s="43"/>
      <c r="AH55" s="5">
        <f>IF($U55="","",SUMPRODUCT(--(Lineups!$AC$4:$AC$41=$U55),Lineups!$AW$4:$AW$41))</f>
        <v>0</v>
      </c>
      <c r="AI55" s="43"/>
      <c r="AJ55" s="5">
        <f t="shared" ref="AJ55:AJ74" si="122">IF(U55="","",SUM(AE55,AH55))</f>
        <v>106</v>
      </c>
      <c r="AK55" s="43"/>
    </row>
    <row r="56" ht="12.75" customHeight="1">
      <c r="A56" s="882">
        <f t="shared" si="113"/>
        <v>2</v>
      </c>
      <c r="B56" s="887" t="str">
        <f t="shared" ref="B56:C56" si="114">B10</f>
        <v>16</v>
      </c>
      <c r="C56" s="887" t="str">
        <f t="shared" si="114"/>
        <v>Saabor</v>
      </c>
      <c r="D56" s="882">
        <f>IF($B56="","",SUMPRODUCT(--(Lineups!$G$4:$G$41=$B56),--(Lineups!$B$4:$B$41=""),Lineups!$W$4:$W$41))</f>
        <v>0</v>
      </c>
      <c r="E56" s="43"/>
      <c r="F56" s="880">
        <f>IF($B56="","",SUMPRODUCT(--(Lineups!$G$4:$G$41=$B56),--(Lineups!$B$4:$B$41="X"),Lineups!$W$4:$W$41))</f>
        <v>4</v>
      </c>
      <c r="G56" s="880">
        <f>IF($B56="","",SUMPRODUCT(--(Lineups!$K$4:$K$41=$B56),Lineups!$W$4:$W$41))</f>
        <v>0</v>
      </c>
      <c r="H56" s="880">
        <f>IF($B56="","",SUMPRODUCT(--(Lineups!$O$4:$O$41=$B56),Lineups!$W$4:$W$41))</f>
        <v>0</v>
      </c>
      <c r="I56" s="880">
        <f>IF($B56="","",SUMPRODUCT(--(Lineups!$S$4:$S$41=$B56),Lineups!$W$4:$W$41))</f>
        <v>0</v>
      </c>
      <c r="J56" s="882">
        <f t="shared" si="115"/>
        <v>4</v>
      </c>
      <c r="K56" s="43"/>
      <c r="L56" s="882">
        <f t="shared" si="116"/>
        <v>4</v>
      </c>
      <c r="M56" s="43"/>
      <c r="N56" s="43"/>
      <c r="O56" s="882">
        <f>IF($B56="","",SUMPRODUCT(--(Lineups!$C$4:$C$41=$B56),Lineups!$W$4:$W$41))</f>
        <v>14</v>
      </c>
      <c r="P56" s="43"/>
      <c r="Q56" s="882">
        <f t="shared" si="117"/>
        <v>18</v>
      </c>
      <c r="R56" s="43"/>
      <c r="S56" s="43"/>
      <c r="T56" s="882">
        <f t="shared" si="118"/>
        <v>2</v>
      </c>
      <c r="U56" s="887" t="str">
        <f t="shared" ref="U56:V56" si="119">U10</f>
        <v>101</v>
      </c>
      <c r="V56" s="887" t="str">
        <f t="shared" si="119"/>
        <v>Powell</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34</v>
      </c>
      <c r="AI56" s="43"/>
      <c r="AJ56" s="882">
        <f t="shared" si="122"/>
        <v>34</v>
      </c>
      <c r="AK56" s="43"/>
    </row>
    <row r="57" ht="12.75" customHeight="1">
      <c r="A57" s="5">
        <f t="shared" si="113"/>
        <v>3</v>
      </c>
      <c r="B57" s="629" t="str">
        <f t="shared" ref="B57:C57" si="123">B11</f>
        <v>177</v>
      </c>
      <c r="C57" s="629" t="str">
        <f t="shared" si="123"/>
        <v>Phoenix</v>
      </c>
      <c r="D57" s="5">
        <f>IF($B57="","",SUMPRODUCT(--(Lineups!$G$4:$G$41=$B57),--(Lineups!$B$4:$B$41=""),Lineups!$W$4:$W$41))</f>
        <v>0</v>
      </c>
      <c r="E57" s="43"/>
      <c r="F57" s="880">
        <f>IF($B57="","",SUMPRODUCT(--(Lineups!$G$4:$G$41=$B57),--(Lineups!$B$4:$B$41="X"),Lineups!$W$4:$W$41))</f>
        <v>0</v>
      </c>
      <c r="G57" s="880">
        <f>IF($B57="","",SUMPRODUCT(--(Lineups!$K$4:$K$41=$B57),Lineups!$W$4:$W$41))</f>
        <v>8</v>
      </c>
      <c r="H57" s="880">
        <f>IF($B57="","",SUMPRODUCT(--(Lineups!$O$4:$O$41=$B57),Lineups!$W$4:$W$41))</f>
        <v>12</v>
      </c>
      <c r="I57" s="880">
        <f>IF($B57="","",SUMPRODUCT(--(Lineups!$S$4:$S$41=$B57),Lineups!$W$4:$W$41))</f>
        <v>0</v>
      </c>
      <c r="J57" s="5">
        <f t="shared" si="115"/>
        <v>20</v>
      </c>
      <c r="K57" s="43"/>
      <c r="L57" s="5">
        <f t="shared" si="116"/>
        <v>20</v>
      </c>
      <c r="M57" s="43"/>
      <c r="N57" s="43"/>
      <c r="O57" s="5">
        <f>IF($B57="","",SUMPRODUCT(--(Lineups!$C$4:$C$41=$B57),Lineups!$W$4:$W$41))</f>
        <v>0</v>
      </c>
      <c r="P57" s="43"/>
      <c r="Q57" s="5">
        <f t="shared" si="117"/>
        <v>20</v>
      </c>
      <c r="R57" s="43"/>
      <c r="S57" s="43"/>
      <c r="T57" s="5">
        <f t="shared" si="118"/>
        <v>3</v>
      </c>
      <c r="U57" s="629" t="str">
        <f t="shared" ref="U57:V57" si="124">U11</f>
        <v>11</v>
      </c>
      <c r="V57" s="629" t="str">
        <f t="shared" si="124"/>
        <v>Bambi Deerdevil</v>
      </c>
      <c r="W57" s="5">
        <f>IF($U57="","",SUMPRODUCT(--(Lineups!$AG$4:$AG$41=$U57),--(Lineups!$AB$4:$AB$41=""),Lineups!$AW$4:$AW$41))</f>
        <v>0</v>
      </c>
      <c r="X57" s="43"/>
      <c r="Y57" s="880">
        <f>IF($U57="","",SUMPRODUCT(--(Lineups!$AG$4:$AG$41=$U57),--(Lineups!$AB$4:$AB$41="X"),Lineups!$AW$4:$AW$41))</f>
        <v>7</v>
      </c>
      <c r="Z57" s="880">
        <f>IF($U57="","",SUMPRODUCT(--(Lineups!$AK$4:$AK$41=$U57),Lineups!$AW$4:$AW$41))</f>
        <v>0</v>
      </c>
      <c r="AA57" s="880">
        <f>IF($U57="","",SUMPRODUCT(--(Lineups!$AO$4:$AO$41=$U57),Lineups!$AW$4:$AW$41))</f>
        <v>0</v>
      </c>
      <c r="AB57" s="880">
        <f>IF($U57="","",SUMPRODUCT(--(Lineups!$AS$4:$AS$41=$U57),Lineups!$AW$4:$AW$41))</f>
        <v>0</v>
      </c>
      <c r="AC57" s="5">
        <f t="shared" si="120"/>
        <v>7</v>
      </c>
      <c r="AD57" s="43"/>
      <c r="AE57" s="5">
        <f t="shared" si="121"/>
        <v>7</v>
      </c>
      <c r="AF57" s="43"/>
      <c r="AG57" s="43"/>
      <c r="AH57" s="5">
        <f>IF($U57="","",SUMPRODUCT(--(Lineups!$AC$4:$AC$41=$U57),Lineups!$AW$4:$AW$41))</f>
        <v>43</v>
      </c>
      <c r="AI57" s="43"/>
      <c r="AJ57" s="5">
        <f t="shared" si="122"/>
        <v>50</v>
      </c>
      <c r="AK57" s="43"/>
    </row>
    <row r="58" ht="12.75" customHeight="1">
      <c r="A58" s="882">
        <f t="shared" si="113"/>
        <v>4</v>
      </c>
      <c r="B58" s="887" t="str">
        <f t="shared" ref="B58:C58" si="125">B12</f>
        <v>215</v>
      </c>
      <c r="C58" s="887" t="str">
        <f t="shared" si="125"/>
        <v>Pollock</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0</v>
      </c>
      <c r="J58" s="882">
        <f t="shared" si="115"/>
        <v>0</v>
      </c>
      <c r="K58" s="43"/>
      <c r="L58" s="882">
        <f t="shared" si="116"/>
        <v>0</v>
      </c>
      <c r="M58" s="43"/>
      <c r="N58" s="43"/>
      <c r="O58" s="882">
        <f>IF($B58="","",SUMPRODUCT(--(Lineups!$C$4:$C$41=$B58),Lineups!$W$4:$W$41))</f>
        <v>4</v>
      </c>
      <c r="P58" s="43"/>
      <c r="Q58" s="882">
        <f t="shared" si="117"/>
        <v>4</v>
      </c>
      <c r="R58" s="43"/>
      <c r="S58" s="43"/>
      <c r="T58" s="882">
        <f t="shared" si="118"/>
        <v>4</v>
      </c>
      <c r="U58" s="887" t="str">
        <f t="shared" ref="U58:V58" si="126">U12</f>
        <v>33</v>
      </c>
      <c r="V58" s="887" t="str">
        <f t="shared" si="126"/>
        <v>Fox Mauler</v>
      </c>
      <c r="W58" s="882">
        <f>IF($U58="","",SUMPRODUCT(--(Lineups!$AG$4:$AG$41=$U58),--(Lineups!$AB$4:$AB$41=""),Lineups!$AW$4:$AW$41))</f>
        <v>0</v>
      </c>
      <c r="X58" s="43"/>
      <c r="Y58" s="880">
        <f>IF($U58="","",SUMPRODUCT(--(Lineups!$AG$4:$AG$41=$U58),--(Lineups!$AB$4:$AB$41="X"),Lineups!$AW$4:$AW$41))</f>
        <v>6</v>
      </c>
      <c r="Z58" s="880">
        <f>IF($U58="","",SUMPRODUCT(--(Lineups!$AK$4:$AK$41=$U58),Lineups!$AW$4:$AW$41))</f>
        <v>0</v>
      </c>
      <c r="AA58" s="880">
        <f>IF($U58="","",SUMPRODUCT(--(Lineups!$AO$4:$AO$41=$U58),Lineups!$AW$4:$AW$41))</f>
        <v>0</v>
      </c>
      <c r="AB58" s="880">
        <f>IF($U58="","",SUMPRODUCT(--(Lineups!$AS$4:$AS$41=$U58),Lineups!$AW$4:$AW$41))</f>
        <v>0</v>
      </c>
      <c r="AC58" s="882">
        <f t="shared" si="120"/>
        <v>6</v>
      </c>
      <c r="AD58" s="43"/>
      <c r="AE58" s="882">
        <f t="shared" si="121"/>
        <v>6</v>
      </c>
      <c r="AF58" s="43"/>
      <c r="AG58" s="43"/>
      <c r="AH58" s="882">
        <f>IF($U58="","",SUMPRODUCT(--(Lineups!$AC$4:$AC$41=$U58),Lineups!$AW$4:$AW$41))</f>
        <v>20</v>
      </c>
      <c r="AI58" s="43"/>
      <c r="AJ58" s="882">
        <f t="shared" si="122"/>
        <v>26</v>
      </c>
      <c r="AK58" s="43"/>
    </row>
    <row r="59" ht="12.75" customHeight="1">
      <c r="A59" s="5">
        <f t="shared" si="113"/>
        <v>5</v>
      </c>
      <c r="B59" s="629" t="str">
        <f t="shared" ref="B59:C59" si="127">B13</f>
        <v>27</v>
      </c>
      <c r="C59" s="629" t="str">
        <f t="shared" si="127"/>
        <v>MegaHurtz</v>
      </c>
      <c r="D59" s="5">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9" t="str">
        <f t="shared" ref="U59:V59" si="128">U13</f>
        <v>1337</v>
      </c>
      <c r="V59" s="629" t="str">
        <f t="shared" si="128"/>
        <v>8Bit Betty</v>
      </c>
      <c r="W59" s="5">
        <f>IF($U59="","",SUMPRODUCT(--(Lineups!$AG$4:$AG$41=$U59),--(Lineups!$AB$4:$AB$41=""),Lineups!$AW$4:$AW$41))</f>
        <v>12</v>
      </c>
      <c r="X59" s="43"/>
      <c r="Y59" s="880">
        <f>IF($U59="","",SUMPRODUCT(--(Lineups!$AG$4:$AG$41=$U59),--(Lineups!$AB$4:$AB$41="X"),Lineups!$AW$4:$AW$41))</f>
        <v>0</v>
      </c>
      <c r="Z59" s="880">
        <f>IF($U59="","",SUMPRODUCT(--(Lineups!$AK$4:$AK$41=$U59),Lineups!$AW$4:$AW$41))</f>
        <v>18</v>
      </c>
      <c r="AA59" s="880">
        <f>IF($U59="","",SUMPRODUCT(--(Lineups!$AO$4:$AO$41=$U59),Lineups!$AW$4:$AW$41))</f>
        <v>16</v>
      </c>
      <c r="AB59" s="880">
        <f>IF($U59="","",SUMPRODUCT(--(Lineups!$AS$4:$AS$41=$U59),Lineups!$AW$4:$AW$41))</f>
        <v>41</v>
      </c>
      <c r="AC59" s="5">
        <f t="shared" si="120"/>
        <v>75</v>
      </c>
      <c r="AD59" s="43"/>
      <c r="AE59" s="5">
        <f t="shared" si="121"/>
        <v>87</v>
      </c>
      <c r="AF59" s="43"/>
      <c r="AG59" s="43"/>
      <c r="AH59" s="5">
        <f>IF($U59="","",SUMPRODUCT(--(Lineups!$AC$4:$AC$41=$U59),Lineups!$AW$4:$AW$41))</f>
        <v>0</v>
      </c>
      <c r="AI59" s="43"/>
      <c r="AJ59" s="5">
        <f t="shared" si="122"/>
        <v>87</v>
      </c>
      <c r="AK59" s="43"/>
    </row>
    <row r="60" ht="12.75" customHeight="1">
      <c r="A60" s="882">
        <f t="shared" si="113"/>
        <v>6</v>
      </c>
      <c r="B60" s="887" t="str">
        <f t="shared" ref="B60:C60" si="129">B14</f>
        <v>271</v>
      </c>
      <c r="C60" s="887" t="str">
        <f t="shared" si="129"/>
        <v>Peb Canary</v>
      </c>
      <c r="D60" s="882">
        <f>IF($B60="","",SUMPRODUCT(--(Lineups!$G$4:$G$41=$B60),--(Lineups!$B$4:$B$41=""),Lineups!$W$4:$W$41))</f>
        <v>0</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0</v>
      </c>
      <c r="M60" s="43"/>
      <c r="N60" s="43"/>
      <c r="O60" s="882">
        <f>IF($B60="","",SUMPRODUCT(--(Lineups!$C$4:$C$41=$B60),Lineups!$W$4:$W$41))</f>
        <v>12</v>
      </c>
      <c r="P60" s="43"/>
      <c r="Q60" s="882">
        <f t="shared" si="117"/>
        <v>12</v>
      </c>
      <c r="R60" s="43"/>
      <c r="S60" s="43"/>
      <c r="T60" s="882">
        <f t="shared" si="118"/>
        <v>6</v>
      </c>
      <c r="U60" s="887" t="str">
        <f t="shared" ref="U60:V60" si="130">U14</f>
        <v>150</v>
      </c>
      <c r="V60" s="887" t="str">
        <f t="shared" si="130"/>
        <v>Cooney</v>
      </c>
      <c r="W60" s="882">
        <f>IF($U60="","",SUMPRODUCT(--(Lineups!$AG$4:$AG$41=$U60),--(Lineups!$AB$4:$AB$41=""),Lineups!$AW$4:$AW$41))</f>
        <v>0</v>
      </c>
      <c r="X60" s="43"/>
      <c r="Y60" s="880">
        <f>IF($U60="","",SUMPRODUCT(--(Lineups!$AG$4:$AG$41=$U60),--(Lineups!$AB$4:$AB$41="X"),Lineups!$AW$4:$AW$41))</f>
        <v>0</v>
      </c>
      <c r="Z60" s="880">
        <f>IF($U60="","",SUMPRODUCT(--(Lineups!$AK$4:$AK$41=$U60),Lineups!$AW$4:$AW$41))</f>
        <v>16</v>
      </c>
      <c r="AA60" s="880">
        <f>IF($U60="","",SUMPRODUCT(--(Lineups!$AO$4:$AO$41=$U60),Lineups!$AW$4:$AW$41))</f>
        <v>16</v>
      </c>
      <c r="AB60" s="880">
        <f>IF($U60="","",SUMPRODUCT(--(Lineups!$AS$4:$AS$41=$U60),Lineups!$AW$4:$AW$41))</f>
        <v>0</v>
      </c>
      <c r="AC60" s="882">
        <f t="shared" si="120"/>
        <v>32</v>
      </c>
      <c r="AD60" s="43"/>
      <c r="AE60" s="882">
        <f t="shared" si="121"/>
        <v>32</v>
      </c>
      <c r="AF60" s="43"/>
      <c r="AG60" s="43"/>
      <c r="AH60" s="882">
        <f>IF($U60="","",SUMPRODUCT(--(Lineups!$AC$4:$AC$41=$U60),Lineups!$AW$4:$AW$41))</f>
        <v>0</v>
      </c>
      <c r="AI60" s="43"/>
      <c r="AJ60" s="882">
        <f t="shared" si="122"/>
        <v>32</v>
      </c>
      <c r="AK60" s="43"/>
    </row>
    <row r="61" ht="12.75" customHeight="1">
      <c r="A61" s="5">
        <f t="shared" si="113"/>
        <v>7</v>
      </c>
      <c r="B61" s="629" t="str">
        <f t="shared" ref="B61:C61" si="131">B15</f>
        <v>220</v>
      </c>
      <c r="C61" s="629" t="str">
        <f t="shared" si="131"/>
        <v>Cerosene</v>
      </c>
      <c r="D61" s="5">
        <f>IF($B61="","",SUMPRODUCT(--(Lineups!$G$4:$G$41=$B61),--(Lineups!$B$4:$B$41=""),Lineups!$W$4:$W$41))</f>
        <v>4</v>
      </c>
      <c r="E61" s="43"/>
      <c r="F61" s="880">
        <f>IF($B61="","",SUMPRODUCT(--(Lineups!$G$4:$G$41=$B61),--(Lineups!$B$4:$B$41="X"),Lineups!$W$4:$W$41))</f>
        <v>0</v>
      </c>
      <c r="G61" s="880">
        <f>IF($B61="","",SUMPRODUCT(--(Lineups!$K$4:$K$41=$B61),Lineups!$W$4:$W$41))</f>
        <v>16</v>
      </c>
      <c r="H61" s="880">
        <f>IF($B61="","",SUMPRODUCT(--(Lineups!$O$4:$O$41=$B61),Lineups!$W$4:$W$41))</f>
        <v>6</v>
      </c>
      <c r="I61" s="880">
        <f>IF($B61="","",SUMPRODUCT(--(Lineups!$S$4:$S$41=$B61),Lineups!$W$4:$W$41))</f>
        <v>0</v>
      </c>
      <c r="J61" s="5">
        <f t="shared" si="115"/>
        <v>22</v>
      </c>
      <c r="K61" s="43"/>
      <c r="L61" s="5">
        <f t="shared" si="116"/>
        <v>26</v>
      </c>
      <c r="M61" s="43"/>
      <c r="N61" s="43"/>
      <c r="O61" s="5">
        <f>IF($B61="","",SUMPRODUCT(--(Lineups!$C$4:$C$41=$B61),Lineups!$W$4:$W$41))</f>
        <v>4</v>
      </c>
      <c r="P61" s="43"/>
      <c r="Q61" s="5">
        <f t="shared" si="117"/>
        <v>30</v>
      </c>
      <c r="R61" s="43"/>
      <c r="S61" s="43"/>
      <c r="T61" s="5">
        <f t="shared" si="118"/>
        <v>7</v>
      </c>
      <c r="U61" s="629" t="str">
        <f t="shared" ref="U61:V61" si="132">U15</f>
        <v>16</v>
      </c>
      <c r="V61" s="629" t="str">
        <f t="shared" si="132"/>
        <v>Jemerald</v>
      </c>
      <c r="W61" s="5">
        <f>IF($U61="","",SUMPRODUCT(--(Lineups!$AG$4:$AG$41=$U61),--(Lineups!$AB$4:$AB$41=""),Lineups!$AW$4:$AW$41))</f>
        <v>0</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0</v>
      </c>
      <c r="AF61" s="43"/>
      <c r="AG61" s="43"/>
      <c r="AH61" s="5">
        <f>IF($U61="","",SUMPRODUCT(--(Lineups!$AC$4:$AC$41=$U61),Lineups!$AW$4:$AW$41))</f>
        <v>78</v>
      </c>
      <c r="AI61" s="43"/>
      <c r="AJ61" s="5">
        <f t="shared" si="122"/>
        <v>78</v>
      </c>
      <c r="AK61" s="43"/>
    </row>
    <row r="62" ht="12.75" customHeight="1">
      <c r="A62" s="882">
        <f t="shared" si="113"/>
        <v>8</v>
      </c>
      <c r="B62" s="887" t="str">
        <f t="shared" ref="B62:C62" si="133">B16</f>
        <v>3556</v>
      </c>
      <c r="C62" s="887" t="str">
        <f t="shared" si="133"/>
        <v>Crystal Beth</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0</v>
      </c>
      <c r="P62" s="43"/>
      <c r="Q62" s="882">
        <f t="shared" si="117"/>
        <v>0</v>
      </c>
      <c r="R62" s="43"/>
      <c r="S62" s="43"/>
      <c r="T62" s="882">
        <f t="shared" si="118"/>
        <v>8</v>
      </c>
      <c r="U62" s="887" t="str">
        <f t="shared" ref="U62:V62" si="134">U16</f>
        <v>3110</v>
      </c>
      <c r="V62" s="887" t="str">
        <f t="shared" si="134"/>
        <v>Grand DAM</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18</v>
      </c>
      <c r="AB62" s="880">
        <f>IF($U62="","",SUMPRODUCT(--(Lineups!$AS$4:$AS$41=$U62),Lineups!$AW$4:$AW$41))</f>
        <v>27</v>
      </c>
      <c r="AC62" s="882">
        <f t="shared" si="120"/>
        <v>45</v>
      </c>
      <c r="AD62" s="43"/>
      <c r="AE62" s="882">
        <f t="shared" si="121"/>
        <v>45</v>
      </c>
      <c r="AF62" s="43"/>
      <c r="AG62" s="43"/>
      <c r="AH62" s="882">
        <f>IF($U62="","",SUMPRODUCT(--(Lineups!$AC$4:$AC$41=$U62),Lineups!$AW$4:$AW$41))</f>
        <v>0</v>
      </c>
      <c r="AI62" s="43"/>
      <c r="AJ62" s="882">
        <f t="shared" si="122"/>
        <v>45</v>
      </c>
      <c r="AK62" s="43"/>
    </row>
    <row r="63" ht="12.75" customHeight="1">
      <c r="A63" s="5">
        <f t="shared" si="113"/>
        <v>9</v>
      </c>
      <c r="B63" s="629" t="str">
        <f t="shared" ref="B63:C63" si="135">B17</f>
        <v>360</v>
      </c>
      <c r="C63" s="629" t="str">
        <f t="shared" si="135"/>
        <v>Baxter</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9" t="str">
        <f t="shared" ref="U63:V63" si="136">U17</f>
        <v>333</v>
      </c>
      <c r="V63" s="629" t="str">
        <f t="shared" si="136"/>
        <v>Yonic Cyclonic</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2">
        <f t="shared" si="113"/>
        <v>10</v>
      </c>
      <c r="B64" s="887" t="str">
        <f t="shared" ref="B64:C64" si="137">B18</f>
        <v>40</v>
      </c>
      <c r="C64" s="887" t="str">
        <f t="shared" si="137"/>
        <v>Kid</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0</v>
      </c>
      <c r="P64" s="43"/>
      <c r="Q64" s="882">
        <f t="shared" si="117"/>
        <v>0</v>
      </c>
      <c r="R64" s="43"/>
      <c r="S64" s="43"/>
      <c r="T64" s="882">
        <f t="shared" si="118"/>
        <v>10</v>
      </c>
      <c r="U64" s="887" t="str">
        <f t="shared" ref="U64:V64" si="138">U18</f>
        <v>4</v>
      </c>
      <c r="V64" s="887" t="str">
        <f t="shared" si="138"/>
        <v>Stabba</v>
      </c>
      <c r="W64" s="882">
        <f>IF($U64="","",SUMPRODUCT(--(Lineups!$AG$4:$AG$41=$U64),--(Lineups!$AB$4:$AB$41=""),Lineups!$AW$4:$AW$41))</f>
        <v>0</v>
      </c>
      <c r="X64" s="43"/>
      <c r="Y64" s="880">
        <f>IF($U64="","",SUMPRODUCT(--(Lineups!$AG$4:$AG$41=$U64),--(Lineups!$AB$4:$AB$41="X"),Lineups!$AW$4:$AW$41))</f>
        <v>0</v>
      </c>
      <c r="Z64" s="880">
        <f>IF($U64="","",SUMPRODUCT(--(Lineups!$AK$4:$AK$41=$U64),Lineups!$AW$4:$AW$41))</f>
        <v>22</v>
      </c>
      <c r="AA64" s="880">
        <f>IF($U64="","",SUMPRODUCT(--(Lineups!$AO$4:$AO$41=$U64),Lineups!$AW$4:$AW$41))</f>
        <v>18</v>
      </c>
      <c r="AB64" s="880">
        <f>IF($U64="","",SUMPRODUCT(--(Lineups!$AS$4:$AS$41=$U64),Lineups!$AW$4:$AW$41))</f>
        <v>0</v>
      </c>
      <c r="AC64" s="882">
        <f t="shared" si="120"/>
        <v>40</v>
      </c>
      <c r="AD64" s="43"/>
      <c r="AE64" s="882">
        <f t="shared" si="121"/>
        <v>40</v>
      </c>
      <c r="AF64" s="43"/>
      <c r="AG64" s="43"/>
      <c r="AH64" s="882">
        <f>IF($U64="","",SUMPRODUCT(--(Lineups!$AC$4:$AC$41=$U64),Lineups!$AW$4:$AW$41))</f>
        <v>0</v>
      </c>
      <c r="AI64" s="43"/>
      <c r="AJ64" s="882">
        <f t="shared" si="122"/>
        <v>40</v>
      </c>
      <c r="AK64" s="43"/>
    </row>
    <row r="65" ht="12.75" customHeight="1">
      <c r="A65" s="5">
        <f t="shared" si="113"/>
        <v>11</v>
      </c>
      <c r="B65" s="629" t="str">
        <f t="shared" ref="B65:C65" si="139">B19</f>
        <v>42</v>
      </c>
      <c r="C65" s="629" t="str">
        <f t="shared" si="139"/>
        <v>Bosh</v>
      </c>
      <c r="D65" s="5">
        <f>IF($B65="","",SUMPRODUCT(--(Lineups!$G$4:$G$41=$B65),--(Lineups!$B$4:$B$41=""),Lineups!$W$4:$W$41))</f>
        <v>4</v>
      </c>
      <c r="E65" s="43"/>
      <c r="F65" s="880">
        <f>IF($B65="","",SUMPRODUCT(--(Lineups!$G$4:$G$41=$B65),--(Lineups!$B$4:$B$41="X"),Lineups!$W$4:$W$41))</f>
        <v>0</v>
      </c>
      <c r="G65" s="880">
        <f>IF($B65="","",SUMPRODUCT(--(Lineups!$K$4:$K$41=$B65),Lineups!$W$4:$W$41))</f>
        <v>12</v>
      </c>
      <c r="H65" s="880">
        <f>IF($B65="","",SUMPRODUCT(--(Lineups!$O$4:$O$41=$B65),Lineups!$W$4:$W$41))</f>
        <v>4</v>
      </c>
      <c r="I65" s="880">
        <f>IF($B65="","",SUMPRODUCT(--(Lineups!$S$4:$S$41=$B65),Lineups!$W$4:$W$41))</f>
        <v>0</v>
      </c>
      <c r="J65" s="5">
        <f t="shared" si="115"/>
        <v>16</v>
      </c>
      <c r="K65" s="43"/>
      <c r="L65" s="5">
        <f t="shared" si="116"/>
        <v>20</v>
      </c>
      <c r="M65" s="43"/>
      <c r="N65" s="43"/>
      <c r="O65" s="5">
        <f>IF($B65="","",SUMPRODUCT(--(Lineups!$C$4:$C$41=$B65),Lineups!$W$4:$W$41))</f>
        <v>0</v>
      </c>
      <c r="P65" s="43"/>
      <c r="Q65" s="5">
        <f t="shared" si="117"/>
        <v>20</v>
      </c>
      <c r="R65" s="43"/>
      <c r="S65" s="43"/>
      <c r="T65" s="5">
        <f t="shared" si="118"/>
        <v>11</v>
      </c>
      <c r="U65" s="629" t="str">
        <f t="shared" ref="U65:V65" si="140">U19</f>
        <v>42</v>
      </c>
      <c r="V65" s="629" t="str">
        <f t="shared" si="140"/>
        <v>Pretty Carless</v>
      </c>
      <c r="W65" s="5">
        <f>IF($U65="","",SUMPRODUCT(--(Lineups!$AG$4:$AG$41=$U65),--(Lineups!$AB$4:$AB$41=""),Lineups!$AW$4:$AW$41))</f>
        <v>64</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64</v>
      </c>
      <c r="AF65" s="43"/>
      <c r="AG65" s="43"/>
      <c r="AH65" s="5">
        <f>IF($U65="","",SUMPRODUCT(--(Lineups!$AC$4:$AC$41=$U65),Lineups!$AW$4:$AW$41))</f>
        <v>6</v>
      </c>
      <c r="AI65" s="43"/>
      <c r="AJ65" s="5">
        <f t="shared" si="122"/>
        <v>70</v>
      </c>
      <c r="AK65" s="43"/>
    </row>
    <row r="66" ht="12.75" customHeight="1">
      <c r="A66" s="882">
        <f t="shared" si="113"/>
        <v>12</v>
      </c>
      <c r="B66" s="887" t="str">
        <f t="shared" ref="B66:C66" si="141">B20</f>
        <v>44</v>
      </c>
      <c r="C66" s="887" t="str">
        <f t="shared" si="141"/>
        <v>Esparcieux</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0</v>
      </c>
      <c r="P66" s="43"/>
      <c r="Q66" s="882">
        <f t="shared" si="117"/>
        <v>0</v>
      </c>
      <c r="R66" s="43"/>
      <c r="S66" s="43"/>
      <c r="T66" s="882">
        <f t="shared" si="118"/>
        <v>12</v>
      </c>
      <c r="U66" s="887" t="str">
        <f t="shared" ref="U66:V66" si="142">U20</f>
        <v>48</v>
      </c>
      <c r="V66" s="887" t="str">
        <f t="shared" si="142"/>
        <v>Tini from the Bloc</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15</v>
      </c>
      <c r="AB66" s="880">
        <f>IF($U66="","",SUMPRODUCT(--(Lineups!$AS$4:$AS$41=$U66),Lineups!$AW$4:$AW$41))</f>
        <v>34</v>
      </c>
      <c r="AC66" s="882">
        <f t="shared" si="120"/>
        <v>49</v>
      </c>
      <c r="AD66" s="43"/>
      <c r="AE66" s="882">
        <f t="shared" si="121"/>
        <v>49</v>
      </c>
      <c r="AF66" s="43"/>
      <c r="AG66" s="43"/>
      <c r="AH66" s="882">
        <f>IF($U66="","",SUMPRODUCT(--(Lineups!$AC$4:$AC$41=$U66),Lineups!$AW$4:$AW$41))</f>
        <v>0</v>
      </c>
      <c r="AI66" s="43"/>
      <c r="AJ66" s="882">
        <f t="shared" si="122"/>
        <v>49</v>
      </c>
      <c r="AK66" s="43"/>
    </row>
    <row r="67" ht="12.75" customHeight="1">
      <c r="A67" s="5">
        <f t="shared" si="113"/>
        <v>13</v>
      </c>
      <c r="B67" s="629" t="str">
        <f t="shared" ref="B67:C67" si="143">B21</f>
        <v>45</v>
      </c>
      <c r="C67" s="629" t="str">
        <f t="shared" si="143"/>
        <v>Hawk</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0</v>
      </c>
      <c r="M67" s="43"/>
      <c r="N67" s="43"/>
      <c r="O67" s="5">
        <f>IF($B67="","",SUMPRODUCT(--(Lineups!$C$4:$C$41=$B67),Lineups!$W$4:$W$41))</f>
        <v>8</v>
      </c>
      <c r="P67" s="43"/>
      <c r="Q67" s="5">
        <f t="shared" si="117"/>
        <v>8</v>
      </c>
      <c r="R67" s="43"/>
      <c r="S67" s="43"/>
      <c r="T67" s="5">
        <f t="shared" si="118"/>
        <v>13</v>
      </c>
      <c r="U67" s="629" t="str">
        <f t="shared" ref="U67:V67" si="144">U21</f>
        <v>167</v>
      </c>
      <c r="V67" s="629" t="str">
        <f t="shared" si="144"/>
        <v>Rile E Coyote</v>
      </c>
      <c r="W67" s="5">
        <f>IF($U67="","",SUMPRODUCT(--(Lineups!$AG$4:$AG$41=$U67),--(Lineups!$AB$4:$AB$41=""),Lineups!$AW$4:$AW$41))</f>
        <v>0</v>
      </c>
      <c r="X67" s="43"/>
      <c r="Y67" s="880">
        <f>IF($U67="","",SUMPRODUCT(--(Lineups!$AG$4:$AG$41=$U67),--(Lineups!$AB$4:$AB$41="X"),Lineups!$AW$4:$AW$41))</f>
        <v>0</v>
      </c>
      <c r="Z67" s="880">
        <f>IF($U67="","",SUMPRODUCT(--(Lineups!$AK$4:$AK$41=$U67),Lineups!$AW$4:$AW$41))</f>
        <v>26</v>
      </c>
      <c r="AA67" s="880">
        <f>IF($U67="","",SUMPRODUCT(--(Lineups!$AO$4:$AO$41=$U67),Lineups!$AW$4:$AW$41))</f>
        <v>0</v>
      </c>
      <c r="AB67" s="880">
        <f>IF($U67="","",SUMPRODUCT(--(Lineups!$AS$4:$AS$41=$U67),Lineups!$AW$4:$AW$41))</f>
        <v>23</v>
      </c>
      <c r="AC67" s="5">
        <f t="shared" si="120"/>
        <v>49</v>
      </c>
      <c r="AD67" s="43"/>
      <c r="AE67" s="5">
        <f t="shared" si="121"/>
        <v>49</v>
      </c>
      <c r="AF67" s="43"/>
      <c r="AG67" s="43"/>
      <c r="AH67" s="5">
        <f>IF($U67="","",SUMPRODUCT(--(Lineups!$AC$4:$AC$41=$U67),Lineups!$AW$4:$AW$41))</f>
        <v>0</v>
      </c>
      <c r="AI67" s="43"/>
      <c r="AJ67" s="5">
        <f t="shared" si="122"/>
        <v>49</v>
      </c>
      <c r="AK67" s="43"/>
    </row>
    <row r="68" ht="12.75" customHeight="1">
      <c r="A68" s="882">
        <f t="shared" si="113"/>
        <v>14</v>
      </c>
      <c r="B68" s="887" t="str">
        <f t="shared" ref="B68:C68" si="145">B22</f>
        <v>48</v>
      </c>
      <c r="C68" s="887" t="str">
        <f t="shared" si="145"/>
        <v>Ward</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8</v>
      </c>
      <c r="J68" s="882">
        <f t="shared" si="115"/>
        <v>8</v>
      </c>
      <c r="K68" s="43"/>
      <c r="L68" s="882">
        <f t="shared" si="116"/>
        <v>8</v>
      </c>
      <c r="M68" s="43"/>
      <c r="N68" s="43"/>
      <c r="O68" s="882">
        <f>IF($B68="","",SUMPRODUCT(--(Lineups!$C$4:$C$41=$B68),Lineups!$W$4:$W$41))</f>
        <v>0</v>
      </c>
      <c r="P68" s="43"/>
      <c r="Q68" s="882">
        <f t="shared" si="117"/>
        <v>8</v>
      </c>
      <c r="R68" s="43"/>
      <c r="S68" s="43"/>
      <c r="T68" s="882">
        <f t="shared" si="118"/>
        <v>14</v>
      </c>
      <c r="U68" s="887" t="str">
        <f t="shared" ref="U68:V68" si="146">U22</f>
        <v>602</v>
      </c>
      <c r="V68" s="887" t="str">
        <f t="shared" si="146"/>
        <v>Fearidum</v>
      </c>
      <c r="W68" s="882">
        <f>IF($U68="","",SUMPRODUCT(--(Lineups!$AG$4:$AG$41=$U68),--(Lineups!$AB$4:$AB$41=""),Lineups!$AW$4:$AW$41))</f>
        <v>4</v>
      </c>
      <c r="X68" s="43"/>
      <c r="Y68" s="880">
        <f>IF($U68="","",SUMPRODUCT(--(Lineups!$AG$4:$AG$41=$U68),--(Lineups!$AB$4:$AB$41="X"),Lineups!$AW$4:$AW$41))</f>
        <v>0</v>
      </c>
      <c r="Z68" s="880">
        <f>IF($U68="","",SUMPRODUCT(--(Lineups!$AK$4:$AK$41=$U68),Lineups!$AW$4:$AW$41))</f>
        <v>26</v>
      </c>
      <c r="AA68" s="880">
        <f>IF($U68="","",SUMPRODUCT(--(Lineups!$AO$4:$AO$41=$U68),Lineups!$AW$4:$AW$41))</f>
        <v>7</v>
      </c>
      <c r="AB68" s="880">
        <f>IF($U68="","",SUMPRODUCT(--(Lineups!$AS$4:$AS$41=$U68),Lineups!$AW$4:$AW$41))</f>
        <v>3</v>
      </c>
      <c r="AC68" s="882">
        <f t="shared" si="120"/>
        <v>36</v>
      </c>
      <c r="AD68" s="43"/>
      <c r="AE68" s="882">
        <f t="shared" si="121"/>
        <v>40</v>
      </c>
      <c r="AF68" s="43"/>
      <c r="AG68" s="43"/>
      <c r="AH68" s="882">
        <f>IF($U68="","",SUMPRODUCT(--(Lineups!$AC$4:$AC$41=$U68),Lineups!$AW$4:$AW$41))</f>
        <v>0</v>
      </c>
      <c r="AI68" s="43"/>
      <c r="AJ68" s="882">
        <f t="shared" si="122"/>
        <v>40</v>
      </c>
      <c r="AK68" s="43"/>
    </row>
    <row r="69" ht="12.75" customHeight="1">
      <c r="A69" s="5">
        <f t="shared" si="113"/>
        <v>15</v>
      </c>
      <c r="B69" s="629" t="str">
        <f t="shared" ref="B69:C69" si="147">B23</f>
        <v>565</v>
      </c>
      <c r="C69" s="629" t="str">
        <f t="shared" si="147"/>
        <v>Melyn</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20</v>
      </c>
      <c r="I69" s="880">
        <f>IF($B69="","",SUMPRODUCT(--(Lineups!$S$4:$S$41=$B69),Lineups!$W$4:$W$41))</f>
        <v>6</v>
      </c>
      <c r="J69" s="5">
        <f t="shared" si="115"/>
        <v>26</v>
      </c>
      <c r="K69" s="43"/>
      <c r="L69" s="5">
        <f t="shared" si="116"/>
        <v>26</v>
      </c>
      <c r="M69" s="43"/>
      <c r="N69" s="43"/>
      <c r="O69" s="5">
        <f>IF($B69="","",SUMPRODUCT(--(Lineups!$C$4:$C$41=$B69),Lineups!$W$4:$W$41))</f>
        <v>0</v>
      </c>
      <c r="P69" s="43"/>
      <c r="Q69" s="5">
        <f t="shared" si="117"/>
        <v>26</v>
      </c>
      <c r="R69" s="43"/>
      <c r="S69" s="43"/>
      <c r="T69" s="5">
        <f t="shared" si="118"/>
        <v>15</v>
      </c>
      <c r="U69" s="629" t="str">
        <f t="shared" ref="U69:V69" si="148">U23</f>
        <v>777</v>
      </c>
      <c r="V69" s="629" t="str">
        <f t="shared" si="148"/>
        <v>Des</v>
      </c>
      <c r="W69" s="5">
        <f>IF($U69="","",SUMPRODUCT(--(Lineups!$AG$4:$AG$41=$U69),--(Lineups!$AB$4:$AB$41=""),Lineups!$AW$4:$AW$41))</f>
        <v>0</v>
      </c>
      <c r="X69" s="43"/>
      <c r="Y69" s="880">
        <f>IF($U69="","",SUMPRODUCT(--(Lineups!$AG$4:$AG$41=$U69),--(Lineups!$AB$4:$AB$41="X"),Lineups!$AW$4:$AW$41))</f>
        <v>0</v>
      </c>
      <c r="Z69" s="880">
        <f>IF($U69="","",SUMPRODUCT(--(Lineups!$AK$4:$AK$41=$U69),Lineups!$AW$4:$AW$41))</f>
        <v>12</v>
      </c>
      <c r="AA69" s="880">
        <f>IF($U69="","",SUMPRODUCT(--(Lineups!$AO$4:$AO$41=$U69),Lineups!$AW$4:$AW$41))</f>
        <v>64</v>
      </c>
      <c r="AB69" s="880">
        <f>IF($U69="","",SUMPRODUCT(--(Lineups!$AS$4:$AS$41=$U69),Lineups!$AW$4:$AW$41))</f>
        <v>56</v>
      </c>
      <c r="AC69" s="5">
        <f t="shared" si="120"/>
        <v>132</v>
      </c>
      <c r="AD69" s="43"/>
      <c r="AE69" s="5">
        <f t="shared" si="121"/>
        <v>132</v>
      </c>
      <c r="AF69" s="43"/>
      <c r="AG69" s="43"/>
      <c r="AH69" s="5">
        <f>IF($U69="","",SUMPRODUCT(--(Lineups!$AC$4:$AC$41=$U69),Lineups!$AW$4:$AW$41))</f>
        <v>0</v>
      </c>
      <c r="AI69" s="43"/>
      <c r="AJ69" s="5">
        <f t="shared" si="122"/>
        <v>132</v>
      </c>
      <c r="AK69" s="43"/>
    </row>
    <row r="70" ht="12.75" customHeight="1">
      <c r="A70" s="882">
        <f t="shared" si="113"/>
        <v>16</v>
      </c>
      <c r="B70" s="887" t="str">
        <f t="shared" ref="B70:C70" si="149">B24</f>
        <v>50</v>
      </c>
      <c r="C70" s="887" t="str">
        <f t="shared" si="149"/>
        <v>Gray</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0</v>
      </c>
      <c r="I70" s="880">
        <f>IF($B70="","",SUMPRODUCT(--(Lineups!$S$4:$S$41=$B70),Lineups!$W$4:$W$41))</f>
        <v>40</v>
      </c>
      <c r="J70" s="882">
        <f t="shared" si="115"/>
        <v>40</v>
      </c>
      <c r="K70" s="43"/>
      <c r="L70" s="882">
        <f t="shared" si="116"/>
        <v>40</v>
      </c>
      <c r="M70" s="43"/>
      <c r="N70" s="43"/>
      <c r="O70" s="882">
        <f>IF($B70="","",SUMPRODUCT(--(Lineups!$C$4:$C$41=$B70),Lineups!$W$4:$W$41))</f>
        <v>0</v>
      </c>
      <c r="P70" s="43"/>
      <c r="Q70" s="882">
        <f t="shared" si="117"/>
        <v>40</v>
      </c>
      <c r="R70" s="43"/>
      <c r="S70" s="43"/>
      <c r="T70" s="882">
        <f t="shared" si="118"/>
        <v>16</v>
      </c>
      <c r="U70" s="887" t="str">
        <f t="shared" ref="U70:V70" si="150">U24</f>
        <v>88</v>
      </c>
      <c r="V70" s="887" t="str">
        <f t="shared" si="150"/>
        <v>diamond WEAPON</v>
      </c>
      <c r="W70" s="882">
        <f>IF($U70="","",SUMPRODUCT(--(Lineups!$AG$4:$AG$41=$U70),--(Lineups!$AB$4:$AB$41=""),Lineups!$AW$4:$AW$41))</f>
        <v>95</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0</v>
      </c>
      <c r="AC70" s="882">
        <f t="shared" si="120"/>
        <v>0</v>
      </c>
      <c r="AD70" s="43"/>
      <c r="AE70" s="882">
        <f t="shared" si="121"/>
        <v>95</v>
      </c>
      <c r="AF70" s="43"/>
      <c r="AG70" s="43"/>
      <c r="AH70" s="882">
        <f>IF($U70="","",SUMPRODUCT(--(Lineups!$AC$4:$AC$41=$U70),Lineups!$AW$4:$AW$41))</f>
        <v>7</v>
      </c>
      <c r="AI70" s="43"/>
      <c r="AJ70" s="882">
        <f t="shared" si="122"/>
        <v>102</v>
      </c>
      <c r="AK70" s="43"/>
    </row>
    <row r="71" ht="12.75" customHeight="1">
      <c r="A71" s="5">
        <f t="shared" si="113"/>
        <v>17</v>
      </c>
      <c r="B71" s="629" t="str">
        <f t="shared" ref="B71:C71" si="151">B25</f>
        <v>808</v>
      </c>
      <c r="C71" s="629" t="str">
        <f t="shared" si="151"/>
        <v>Morganator</v>
      </c>
      <c r="D71" s="5">
        <f>IF($B71="","",SUMPRODUCT(--(Lineups!$G$4:$G$41=$B71),--(Lineups!$B$4:$B$41=""),Lineups!$W$4:$W$41))</f>
        <v>0</v>
      </c>
      <c r="E71" s="43"/>
      <c r="F71" s="880">
        <f>IF($B71="","",SUMPRODUCT(--(Lineups!$G$4:$G$41=$B71),--(Lineups!$B$4:$B$41="X"),Lineups!$W$4:$W$41))</f>
        <v>0</v>
      </c>
      <c r="G71" s="880">
        <f>IF($B71="","",SUMPRODUCT(--(Lineups!$K$4:$K$41=$B71),Lineups!$W$4:$W$41))</f>
        <v>18</v>
      </c>
      <c r="H71" s="880">
        <f>IF($B71="","",SUMPRODUCT(--(Lineups!$O$4:$O$41=$B71),Lineups!$W$4:$W$41))</f>
        <v>12</v>
      </c>
      <c r="I71" s="880">
        <f>IF($B71="","",SUMPRODUCT(--(Lineups!$S$4:$S$41=$B71),Lineups!$W$4:$W$41))</f>
        <v>0</v>
      </c>
      <c r="J71" s="5">
        <f t="shared" si="115"/>
        <v>30</v>
      </c>
      <c r="K71" s="43"/>
      <c r="L71" s="5">
        <f t="shared" si="116"/>
        <v>30</v>
      </c>
      <c r="M71" s="43"/>
      <c r="N71" s="43"/>
      <c r="O71" s="5">
        <f>IF($B71="","",SUMPRODUCT(--(Lineups!$C$4:$C$41=$B71),Lineups!$W$4:$W$41))</f>
        <v>0</v>
      </c>
      <c r="P71" s="43"/>
      <c r="Q71" s="5">
        <f t="shared" si="117"/>
        <v>30</v>
      </c>
      <c r="R71" s="43"/>
      <c r="S71" s="43"/>
      <c r="T71" s="5">
        <f t="shared" si="118"/>
        <v>17</v>
      </c>
      <c r="U71" s="629" t="str">
        <f t="shared" ref="U71:V71" si="152">U25</f>
        <v/>
      </c>
      <c r="V71" s="629" t="str">
        <f t="shared" si="152"/>
        <v/>
      </c>
      <c r="W71" s="5"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2">
        <f t="shared" si="113"/>
        <v>18</v>
      </c>
      <c r="B72" s="887" t="str">
        <f t="shared" ref="B72:C72" si="153">B26</f>
        <v>912</v>
      </c>
      <c r="C72" s="887" t="str">
        <f t="shared" si="153"/>
        <v>Battered Sausage</v>
      </c>
      <c r="D72" s="882">
        <f>IF($B72="","",SUMPRODUCT(--(Lineups!$G$4:$G$41=$B72),--(Lineups!$B$4:$B$41=""),Lineups!$W$4:$W$41))</f>
        <v>16</v>
      </c>
      <c r="E72" s="43"/>
      <c r="F72" s="880">
        <f>IF($B72="","",SUMPRODUCT(--(Lineups!$G$4:$G$41=$B72),--(Lineups!$B$4:$B$41="X"),Lineups!$W$4:$W$41))</f>
        <v>0</v>
      </c>
      <c r="G72" s="880">
        <f>IF($B72="","",SUMPRODUCT(--(Lineups!$K$4:$K$41=$B72),Lineups!$W$4:$W$41))</f>
        <v>4</v>
      </c>
      <c r="H72" s="880">
        <f>IF($B72="","",SUMPRODUCT(--(Lineups!$O$4:$O$41=$B72),Lineups!$W$4:$W$41))</f>
        <v>0</v>
      </c>
      <c r="I72" s="880">
        <f>IF($B72="","",SUMPRODUCT(--(Lineups!$S$4:$S$41=$B72),Lineups!$W$4:$W$41))</f>
        <v>0</v>
      </c>
      <c r="J72" s="882">
        <f t="shared" si="115"/>
        <v>4</v>
      </c>
      <c r="K72" s="43"/>
      <c r="L72" s="882">
        <f t="shared" si="116"/>
        <v>20</v>
      </c>
      <c r="M72" s="43"/>
      <c r="N72" s="43"/>
      <c r="O72" s="882">
        <f>IF($B72="","",SUMPRODUCT(--(Lineups!$C$4:$C$41=$B72),Lineups!$W$4:$W$41))</f>
        <v>0</v>
      </c>
      <c r="P72" s="43"/>
      <c r="Q72" s="882">
        <f t="shared" si="117"/>
        <v>20</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2.75" customHeight="1">
      <c r="A73" s="5">
        <f t="shared" si="113"/>
        <v>19</v>
      </c>
      <c r="B73" s="629" t="str">
        <f t="shared" ref="B73:C73" si="155">B27</f>
        <v>93</v>
      </c>
      <c r="C73" s="629" t="str">
        <f t="shared" si="155"/>
        <v>Sangria</v>
      </c>
      <c r="D73" s="5">
        <f>IF($B73="","",SUMPRODUCT(--(Lineups!$G$4:$G$41=$B73),--(Lineups!$B$4:$B$41=""),Lineups!$W$4:$W$41))</f>
        <v>0</v>
      </c>
      <c r="E73" s="43"/>
      <c r="F73" s="880">
        <f>IF($B73="","",SUMPRODUCT(--(Lineups!$G$4:$G$41=$B73),--(Lineups!$B$4:$B$41="X"),Lineups!$W$4:$W$41))</f>
        <v>4</v>
      </c>
      <c r="G73" s="880">
        <f>IF($B73="","",SUMPRODUCT(--(Lineups!$K$4:$K$41=$B73),Lineups!$W$4:$W$41))</f>
        <v>0</v>
      </c>
      <c r="H73" s="880">
        <f>IF($B73="","",SUMPRODUCT(--(Lineups!$O$4:$O$41=$B73),Lineups!$W$4:$W$41))</f>
        <v>0</v>
      </c>
      <c r="I73" s="880">
        <f>IF($B73="","",SUMPRODUCT(--(Lineups!$S$4:$S$41=$B73),Lineups!$W$4:$W$41))</f>
        <v>0</v>
      </c>
      <c r="J73" s="5">
        <f t="shared" si="115"/>
        <v>4</v>
      </c>
      <c r="K73" s="43"/>
      <c r="L73" s="5">
        <f t="shared" si="116"/>
        <v>4</v>
      </c>
      <c r="M73" s="43"/>
      <c r="N73" s="43"/>
      <c r="O73" s="5">
        <f>IF($B73="","",SUMPRODUCT(--(Lineups!$C$4:$C$41=$B73),Lineups!$W$4:$W$41))</f>
        <v>12</v>
      </c>
      <c r="P73" s="43"/>
      <c r="Q73" s="5">
        <f t="shared" si="117"/>
        <v>16</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999</v>
      </c>
      <c r="C74" s="887" t="str">
        <f t="shared" si="157"/>
        <v>Angel</v>
      </c>
      <c r="D74" s="882">
        <f>IF($B74="","",SUMPRODUCT(--(Lineups!$G$4:$G$41=$B74),--(Lineups!$B$4:$B$41=""),Lineups!$W$4:$W$41))</f>
        <v>26</v>
      </c>
      <c r="E74" s="43"/>
      <c r="F74" s="880">
        <f>IF($B74="","",SUMPRODUCT(--(Lineups!$G$4:$G$41=$B74),--(Lineups!$B$4:$B$41="X"),Lineups!$W$4:$W$41))</f>
        <v>0</v>
      </c>
      <c r="G74" s="880">
        <f>IF($B74="","",SUMPRODUCT(--(Lineups!$K$4:$K$41=$B74),Lineups!$W$4:$W$41))</f>
        <v>0</v>
      </c>
      <c r="H74" s="880">
        <f>IF($B74="","",SUMPRODUCT(--(Lineups!$O$4:$O$41=$B74),Lineups!$W$4:$W$41))</f>
        <v>0</v>
      </c>
      <c r="I74" s="880">
        <f>IF($B74="","",SUMPRODUCT(--(Lineups!$S$4:$S$41=$B74),Lineups!$W$4:$W$41))</f>
        <v>0</v>
      </c>
      <c r="J74" s="882">
        <f t="shared" si="115"/>
        <v>0</v>
      </c>
      <c r="K74" s="43"/>
      <c r="L74" s="882">
        <f t="shared" si="116"/>
        <v>26</v>
      </c>
      <c r="M74" s="43"/>
      <c r="N74" s="43"/>
      <c r="O74" s="882">
        <f>IF($B74="","",SUMPRODUCT(--(Lineups!$C$4:$C$41=$B74),Lineups!$W$4:$W$41))</f>
        <v>4</v>
      </c>
      <c r="P74" s="43"/>
      <c r="Q74" s="882">
        <f t="shared" si="117"/>
        <v>30</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436</v>
      </c>
      <c r="B76" s="8"/>
      <c r="C76" s="9"/>
      <c r="D76" s="873"/>
      <c r="E76" s="873"/>
      <c r="F76" s="873"/>
      <c r="G76" s="873"/>
      <c r="H76" s="873"/>
      <c r="I76" s="873"/>
      <c r="J76" s="873"/>
      <c r="K76" s="873"/>
      <c r="L76" s="873"/>
      <c r="M76" s="873"/>
      <c r="N76" s="873"/>
      <c r="O76" s="873"/>
      <c r="P76" s="873"/>
      <c r="Q76" s="873"/>
      <c r="R76" s="873"/>
      <c r="S76" s="43"/>
      <c r="T76" s="872" t="s">
        <v>436</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424</v>
      </c>
      <c r="C77" s="874" t="s">
        <v>425</v>
      </c>
      <c r="D77" s="874" t="s">
        <v>282</v>
      </c>
      <c r="E77" s="5"/>
      <c r="F77" s="876" t="s">
        <v>283</v>
      </c>
      <c r="G77" s="876" t="s">
        <v>283</v>
      </c>
      <c r="H77" s="876" t="s">
        <v>283</v>
      </c>
      <c r="I77" s="876" t="s">
        <v>283</v>
      </c>
      <c r="J77" s="874" t="s">
        <v>427</v>
      </c>
      <c r="K77" s="5"/>
      <c r="L77" s="874" t="s">
        <v>429</v>
      </c>
      <c r="M77" s="5"/>
      <c r="N77" s="877" t="s">
        <v>431</v>
      </c>
      <c r="O77" s="874" t="s">
        <v>280</v>
      </c>
      <c r="P77" s="5"/>
      <c r="Q77" s="874" t="s">
        <v>398</v>
      </c>
      <c r="R77" s="5"/>
      <c r="S77" s="5"/>
      <c r="T77" s="874">
        <v>0.0</v>
      </c>
      <c r="U77" s="874" t="s">
        <v>424</v>
      </c>
      <c r="V77" s="874" t="s">
        <v>425</v>
      </c>
      <c r="W77" s="874" t="s">
        <v>282</v>
      </c>
      <c r="X77" s="5"/>
      <c r="Y77" s="876" t="s">
        <v>283</v>
      </c>
      <c r="Z77" s="876" t="s">
        <v>283</v>
      </c>
      <c r="AA77" s="876" t="s">
        <v>283</v>
      </c>
      <c r="AB77" s="876" t="s">
        <v>283</v>
      </c>
      <c r="AC77" s="874" t="s">
        <v>427</v>
      </c>
      <c r="AD77" s="5"/>
      <c r="AE77" s="874" t="s">
        <v>429</v>
      </c>
      <c r="AF77" s="5"/>
      <c r="AG77" s="877" t="s">
        <v>431</v>
      </c>
      <c r="AH77" s="874" t="s">
        <v>280</v>
      </c>
      <c r="AI77" s="5"/>
      <c r="AJ77" s="874" t="s">
        <v>398</v>
      </c>
      <c r="AK77" s="5"/>
    </row>
    <row r="78" ht="12.75" customHeight="1">
      <c r="A78" s="5">
        <f t="shared" ref="A78:A97" si="161">A77+1</f>
        <v>1</v>
      </c>
      <c r="B78" s="629" t="str">
        <f t="shared" ref="B78:C78" si="159">B9</f>
        <v>04</v>
      </c>
      <c r="C78" s="629" t="str">
        <f t="shared" si="159"/>
        <v>Nina</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35</v>
      </c>
      <c r="I78" s="880">
        <f>IF($B78="","",SUMPRODUCT(--(Lineups!$S$4:$S$41=$B78),Lineups!$AW$4:$AW$41) + SUMPRODUCT(--(Lineups!$A$5:$A$42="SP*"),--(Lineups!$S$4:$S$41=$B78),Lineups!$AW$5:$AW$42))</f>
        <v>28</v>
      </c>
      <c r="J78" s="5">
        <f t="shared" ref="J78:J97" si="163">IF(B78="","",SUM(F78:I78))</f>
        <v>63</v>
      </c>
      <c r="K78" s="43"/>
      <c r="L78" s="5">
        <f t="shared" ref="L78:L97" si="164">IF(B78="","",SUM(D78,J78))</f>
        <v>63</v>
      </c>
      <c r="M78" s="43"/>
      <c r="N78" s="43"/>
      <c r="O78" s="5">
        <f>IF($B78="","",SUMPRODUCT(--(Lineups!$C$4:$C$41=$B78),Lineups!$AW$4:$AW$41) + SUMPRODUCT(--(Lineups!$A$5:$A$42="SP*"),--(Lineups!$C$4:$C$41=$B78),Lineups!$AW$5:$AW$42))</f>
        <v>0</v>
      </c>
      <c r="P78" s="43"/>
      <c r="Q78" s="5">
        <f t="shared" ref="Q78:Q97" si="165">IF(B78="","",SUM(L78,O78))</f>
        <v>63</v>
      </c>
      <c r="R78" s="43"/>
      <c r="S78" s="43"/>
      <c r="T78" s="5">
        <f t="shared" ref="T78:T97" si="166">T77+1</f>
        <v>1</v>
      </c>
      <c r="U78" s="629" t="str">
        <f t="shared" ref="U78:V78" si="160">U9</f>
        <v>040</v>
      </c>
      <c r="V78" s="629" t="str">
        <f t="shared" si="160"/>
        <v>Ruff Rackelhahn</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16</v>
      </c>
      <c r="AA78" s="880">
        <f>IF($U78="","",SUMPRODUCT(--(Lineups!$AO$4:$AO$41=$U78),Lineups!$W$4:$W$41) + SUMPRODUCT(--(Lineups!$AA$5:$AA$42="SP*"),--(Lineups!$AO$4:$AO$41=$U78),Lineups!$W$5:$W$42))</f>
        <v>22</v>
      </c>
      <c r="AB78" s="880">
        <f>IF($U78="","",SUMPRODUCT(--(Lineups!$AS$4:$AS$41=$U78),Lineups!$W$4:$W$41) + SUMPRODUCT(--(Lineups!$AA$5:$AA$42="SP*"),--(Lineups!$AS$4:$AS$41=$U78),Lineups!$W$5:$W$42))</f>
        <v>0</v>
      </c>
      <c r="AC78" s="5">
        <f t="shared" ref="AC78:AC97" si="168">IF(U78="","",SUM(Y78:AB78))</f>
        <v>38</v>
      </c>
      <c r="AD78" s="43"/>
      <c r="AE78" s="5">
        <f t="shared" ref="AE78:AE97" si="169">IF(U78="","",SUM(W78,AC78))</f>
        <v>38</v>
      </c>
      <c r="AF78" s="43"/>
      <c r="AG78" s="43"/>
      <c r="AH78" s="5">
        <f>IF($U78="","",SUMPRODUCT(--(Lineups!$AC$4:$AC$41=$U78),Lineups!$W$4:$W$41) + SUMPRODUCT(--(Lineups!$AA$5:$AA$42="SP*"),--(Lineups!$AC$4:$AC$41=$U78),Lineups!$W$5:$W$42))</f>
        <v>0</v>
      </c>
      <c r="AI78" s="43"/>
      <c r="AJ78" s="5">
        <f t="shared" ref="AJ78:AJ97" si="170">IF(U78="","",SUM(AE78,AH78))</f>
        <v>38</v>
      </c>
      <c r="AK78" s="43"/>
    </row>
    <row r="79" ht="12.75" customHeight="1">
      <c r="A79" s="882">
        <f t="shared" si="161"/>
        <v>2</v>
      </c>
      <c r="B79" s="887" t="str">
        <f t="shared" ref="B79:C79" si="162">B10</f>
        <v>16</v>
      </c>
      <c r="C79" s="887" t="str">
        <f t="shared" si="162"/>
        <v>Saabor</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57</v>
      </c>
      <c r="P79" s="43"/>
      <c r="Q79" s="882">
        <f t="shared" si="165"/>
        <v>57</v>
      </c>
      <c r="R79" s="43"/>
      <c r="S79" s="43"/>
      <c r="T79" s="882">
        <f t="shared" si="166"/>
        <v>2</v>
      </c>
      <c r="U79" s="887" t="str">
        <f t="shared" ref="U79:V79" si="167">U10</f>
        <v>101</v>
      </c>
      <c r="V79" s="887" t="str">
        <f t="shared" si="167"/>
        <v>Powell</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22</v>
      </c>
      <c r="AI79" s="43"/>
      <c r="AJ79" s="882">
        <f t="shared" si="170"/>
        <v>22</v>
      </c>
      <c r="AK79" s="43"/>
    </row>
    <row r="80" ht="12.75" customHeight="1">
      <c r="A80" s="5">
        <f t="shared" si="161"/>
        <v>3</v>
      </c>
      <c r="B80" s="629" t="str">
        <f t="shared" ref="B80:C80" si="171">B11</f>
        <v>177</v>
      </c>
      <c r="C80" s="629" t="str">
        <f t="shared" si="171"/>
        <v>Phoenix</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11</v>
      </c>
      <c r="H80" s="880">
        <f>IF($B80="","",SUMPRODUCT(--(Lineups!$O$4:$O$41=$B80),Lineups!$AW$4:$AW$41) + SUMPRODUCT(--(Lineups!$A$5:$A$42="SP*"),--(Lineups!$O$4:$O$41=$B80),Lineups!$AW$5:$AW$42))</f>
        <v>28</v>
      </c>
      <c r="I80" s="880">
        <f>IF($B80="","",SUMPRODUCT(--(Lineups!$S$4:$S$41=$B80),Lineups!$AW$4:$AW$41) + SUMPRODUCT(--(Lineups!$A$5:$A$42="SP*"),--(Lineups!$S$4:$S$41=$B80),Lineups!$AW$5:$AW$42))</f>
        <v>23</v>
      </c>
      <c r="J80" s="5">
        <f t="shared" si="163"/>
        <v>62</v>
      </c>
      <c r="K80" s="43"/>
      <c r="L80" s="5">
        <f t="shared" si="164"/>
        <v>62</v>
      </c>
      <c r="M80" s="43"/>
      <c r="N80" s="43"/>
      <c r="O80" s="5">
        <f>IF($B80="","",SUMPRODUCT(--(Lineups!$C$4:$C$41=$B80),Lineups!$AW$4:$AW$41) + SUMPRODUCT(--(Lineups!$A$5:$A$42="SP*"),--(Lineups!$C$4:$C$41=$B80),Lineups!$AW$5:$AW$42))</f>
        <v>0</v>
      </c>
      <c r="P80" s="43"/>
      <c r="Q80" s="5">
        <f t="shared" si="165"/>
        <v>62</v>
      </c>
      <c r="R80" s="43"/>
      <c r="S80" s="43"/>
      <c r="T80" s="5">
        <f t="shared" si="166"/>
        <v>3</v>
      </c>
      <c r="U80" s="629" t="str">
        <f t="shared" ref="U80:V80" si="172">U11</f>
        <v>11</v>
      </c>
      <c r="V80" s="629" t="str">
        <f t="shared" si="172"/>
        <v>Bambi Deerdevil</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8</v>
      </c>
      <c r="AI80" s="43"/>
      <c r="AJ80" s="5">
        <f t="shared" si="170"/>
        <v>8</v>
      </c>
      <c r="AK80" s="43"/>
    </row>
    <row r="81" ht="12.75" customHeight="1">
      <c r="A81" s="882">
        <f t="shared" si="161"/>
        <v>4</v>
      </c>
      <c r="B81" s="887" t="str">
        <f t="shared" ref="B81:C81" si="173">B12</f>
        <v>215</v>
      </c>
      <c r="C81" s="887" t="str">
        <f t="shared" si="173"/>
        <v>Pollock</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0</v>
      </c>
      <c r="H81" s="880">
        <f>IF($B81="","",SUMPRODUCT(--(Lineups!$O$4:$O$41=$B81),Lineups!$AW$4:$AW$41) + SUMPRODUCT(--(Lineups!$A$5:$A$42="SP*"),--(Lineups!$O$4:$O$41=$B81),Lineups!$AW$5:$AW$42))</f>
        <v>0</v>
      </c>
      <c r="I81" s="880">
        <f>IF($B81="","",SUMPRODUCT(--(Lineups!$S$4:$S$41=$B81),Lineups!$AW$4:$AW$41) + SUMPRODUCT(--(Lineups!$A$5:$A$42="SP*"),--(Lineups!$S$4:$S$41=$B81),Lineups!$AW$5:$AW$42))</f>
        <v>0</v>
      </c>
      <c r="J81" s="882">
        <f t="shared" si="163"/>
        <v>0</v>
      </c>
      <c r="K81" s="43"/>
      <c r="L81" s="882">
        <f t="shared" si="164"/>
        <v>0</v>
      </c>
      <c r="M81" s="43"/>
      <c r="N81" s="43"/>
      <c r="O81" s="882">
        <f>IF($B81="","",SUMPRODUCT(--(Lineups!$C$4:$C$41=$B81),Lineups!$AW$4:$AW$41) + SUMPRODUCT(--(Lineups!$A$5:$A$42="SP*"),--(Lineups!$C$4:$C$41=$B81),Lineups!$AW$5:$AW$42))</f>
        <v>25</v>
      </c>
      <c r="P81" s="43"/>
      <c r="Q81" s="882">
        <f t="shared" si="165"/>
        <v>25</v>
      </c>
      <c r="R81" s="43"/>
      <c r="S81" s="43"/>
      <c r="T81" s="882">
        <f t="shared" si="166"/>
        <v>4</v>
      </c>
      <c r="U81" s="887" t="str">
        <f t="shared" ref="U81:V81" si="174">U12</f>
        <v>33</v>
      </c>
      <c r="V81" s="887" t="str">
        <f t="shared" si="174"/>
        <v>Fox Mauler</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16</v>
      </c>
      <c r="AI81" s="43"/>
      <c r="AJ81" s="882">
        <f t="shared" si="170"/>
        <v>16</v>
      </c>
      <c r="AK81" s="43"/>
    </row>
    <row r="82" ht="12.75" customHeight="1">
      <c r="A82" s="5">
        <f t="shared" si="161"/>
        <v>5</v>
      </c>
      <c r="B82" s="629" t="str">
        <f t="shared" ref="B82:C82" si="175">B13</f>
        <v>27</v>
      </c>
      <c r="C82" s="629" t="str">
        <f t="shared" si="175"/>
        <v>MegaHurtz</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0</v>
      </c>
      <c r="H82" s="880">
        <f>IF($B82="","",SUMPRODUCT(--(Lineups!$O$4:$O$41=$B82),Lineups!$AW$4:$AW$41) + SUMPRODUCT(--(Lineups!$A$5:$A$42="SP*"),--(Lineups!$O$4:$O$41=$B82),Lineups!$AW$5:$AW$42))</f>
        <v>0</v>
      </c>
      <c r="I82" s="880">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9" t="str">
        <f t="shared" ref="U82:V82" si="176">U13</f>
        <v>1337</v>
      </c>
      <c r="V82" s="629" t="str">
        <f t="shared" si="176"/>
        <v>8Bit Betty</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4</v>
      </c>
      <c r="AA82" s="880">
        <f>IF($U82="","",SUMPRODUCT(--(Lineups!$AO$4:$AO$41=$U82),Lineups!$W$4:$W$41) + SUMPRODUCT(--(Lineups!$AA$5:$AA$42="SP*"),--(Lineups!$AO$4:$AO$41=$U82),Lineups!$W$5:$W$42))</f>
        <v>0</v>
      </c>
      <c r="AB82" s="880">
        <f>IF($U82="","",SUMPRODUCT(--(Lineups!$AS$4:$AS$41=$U82),Lineups!$W$4:$W$41) + SUMPRODUCT(--(Lineups!$AA$5:$AA$42="SP*"),--(Lineups!$AS$4:$AS$41=$U82),Lineups!$W$5:$W$42))</f>
        <v>12</v>
      </c>
      <c r="AC82" s="5">
        <f t="shared" si="168"/>
        <v>16</v>
      </c>
      <c r="AD82" s="43"/>
      <c r="AE82" s="5">
        <f t="shared" si="169"/>
        <v>16</v>
      </c>
      <c r="AF82" s="43"/>
      <c r="AG82" s="43"/>
      <c r="AH82" s="5">
        <f>IF($U82="","",SUMPRODUCT(--(Lineups!$AC$4:$AC$41=$U82),Lineups!$W$4:$W$41) + SUMPRODUCT(--(Lineups!$AA$5:$AA$42="SP*"),--(Lineups!$AC$4:$AC$41=$U82),Lineups!$W$5:$W$42))</f>
        <v>0</v>
      </c>
      <c r="AI82" s="43"/>
      <c r="AJ82" s="5">
        <f t="shared" si="170"/>
        <v>16</v>
      </c>
      <c r="AK82" s="43"/>
    </row>
    <row r="83" ht="12.75" customHeight="1">
      <c r="A83" s="882">
        <f t="shared" si="161"/>
        <v>6</v>
      </c>
      <c r="B83" s="887" t="str">
        <f t="shared" ref="B83:C83" si="177">B14</f>
        <v>271</v>
      </c>
      <c r="C83" s="887" t="str">
        <f t="shared" si="177"/>
        <v>Peb Canary</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31</v>
      </c>
      <c r="P83" s="43"/>
      <c r="Q83" s="882">
        <f t="shared" si="165"/>
        <v>31</v>
      </c>
      <c r="R83" s="43"/>
      <c r="S83" s="43"/>
      <c r="T83" s="882">
        <f t="shared" si="166"/>
        <v>6</v>
      </c>
      <c r="U83" s="887" t="str">
        <f t="shared" ref="U83:V83" si="178">U14</f>
        <v>150</v>
      </c>
      <c r="V83" s="887" t="str">
        <f t="shared" si="178"/>
        <v>Cooney</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4</v>
      </c>
      <c r="AB83" s="880">
        <f>IF($U83="","",SUMPRODUCT(--(Lineups!$AS$4:$AS$41=$U83),Lineups!$W$4:$W$41) + SUMPRODUCT(--(Lineups!$AA$5:$AA$42="SP*"),--(Lineups!$AS$4:$AS$41=$U83),Lineups!$W$5:$W$42))</f>
        <v>0</v>
      </c>
      <c r="AC83" s="882">
        <f t="shared" si="168"/>
        <v>4</v>
      </c>
      <c r="AD83" s="43"/>
      <c r="AE83" s="882">
        <f t="shared" si="169"/>
        <v>4</v>
      </c>
      <c r="AF83" s="43"/>
      <c r="AG83" s="43"/>
      <c r="AH83" s="882">
        <f>IF($U83="","",SUMPRODUCT(--(Lineups!$AC$4:$AC$41=$U83),Lineups!$W$4:$W$41) + SUMPRODUCT(--(Lineups!$AA$5:$AA$42="SP*"),--(Lineups!$AC$4:$AC$41=$U83),Lineups!$W$5:$W$42))</f>
        <v>0</v>
      </c>
      <c r="AI83" s="43"/>
      <c r="AJ83" s="882">
        <f t="shared" si="170"/>
        <v>4</v>
      </c>
      <c r="AK83" s="43"/>
    </row>
    <row r="84" ht="12.75" customHeight="1">
      <c r="A84" s="5">
        <f t="shared" si="161"/>
        <v>7</v>
      </c>
      <c r="B84" s="629" t="str">
        <f t="shared" ref="B84:C84" si="179">B15</f>
        <v>220</v>
      </c>
      <c r="C84" s="629" t="str">
        <f t="shared" si="179"/>
        <v>Cerosene</v>
      </c>
      <c r="D84" s="5">
        <f>IF($B84="","",SUMPRODUCT(--(Lineups!$G$4:$G$41=$B84),--(Lineups!$B$4:$B$41=""),Lineups!$AW$4:$AW$41)+SUMPRODUCT(--(Lineups!$A$5:$A$42="SP*"),--(Lineups!$G$4:$G$41=$B84),--(Lineups!$B$4:$B$41=""),Lineups!$AW$5:$AW$42))</f>
        <v>38</v>
      </c>
      <c r="E84" s="43"/>
      <c r="F84" s="880">
        <f>IF($B84="","",SUMPRODUCT(--(Lineups!$G$4:$G$41=$B84),--(Lineups!$B$4:$B$41="X"),Lineups!$AW$4:$AW$41)+SUMPRODUCT(--(Lineups!$A$5:$A$42="SP*"),--(Lineups!$G$4:$G$41=$B84),--(Lineups!$B$4:$B$41="X"),Lineups!$AW$5:$AW$42))</f>
        <v>0</v>
      </c>
      <c r="G84" s="880">
        <f>IF($B84="","",SUMPRODUCT(--(Lineups!$K$4:$K$41=$B84),Lineups!$AW$4:$AW$41) + SUMPRODUCT(--(Lineups!$A$5:$A$42="SP*"),--(Lineups!$K$4:$K$41=$B84),Lineups!$AW$5:$AW$42))</f>
        <v>48</v>
      </c>
      <c r="H84" s="880">
        <f>IF($B84="","",SUMPRODUCT(--(Lineups!$O$4:$O$41=$B84),Lineups!$AW$4:$AW$41) + SUMPRODUCT(--(Lineups!$A$5:$A$42="SP*"),--(Lineups!$O$4:$O$41=$B84),Lineups!$AW$5:$AW$42))</f>
        <v>8</v>
      </c>
      <c r="I84" s="880">
        <f>IF($B84="","",SUMPRODUCT(--(Lineups!$S$4:$S$41=$B84),Lineups!$AW$4:$AW$41) + SUMPRODUCT(--(Lineups!$A$5:$A$42="SP*"),--(Lineups!$S$4:$S$41=$B84),Lineups!$AW$5:$AW$42))</f>
        <v>0</v>
      </c>
      <c r="J84" s="5">
        <f t="shared" si="163"/>
        <v>56</v>
      </c>
      <c r="K84" s="43"/>
      <c r="L84" s="5">
        <f t="shared" si="164"/>
        <v>94</v>
      </c>
      <c r="M84" s="43"/>
      <c r="N84" s="43"/>
      <c r="O84" s="5">
        <f>IF($B84="","",SUMPRODUCT(--(Lineups!$C$4:$C$41=$B84),Lineups!$AW$4:$AW$41) + SUMPRODUCT(--(Lineups!$A$5:$A$42="SP*"),--(Lineups!$C$4:$C$41=$B84),Lineups!$AW$5:$AW$42))</f>
        <v>0</v>
      </c>
      <c r="P84" s="43"/>
      <c r="Q84" s="5">
        <f t="shared" si="165"/>
        <v>94</v>
      </c>
      <c r="R84" s="43"/>
      <c r="S84" s="43"/>
      <c r="T84" s="5">
        <f t="shared" si="166"/>
        <v>7</v>
      </c>
      <c r="U84" s="629" t="str">
        <f t="shared" ref="U84:V84" si="180">U15</f>
        <v>16</v>
      </c>
      <c r="V84" s="629" t="str">
        <f t="shared" si="180"/>
        <v>Jemerald</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12</v>
      </c>
      <c r="AI84" s="43"/>
      <c r="AJ84" s="5">
        <f t="shared" si="170"/>
        <v>12</v>
      </c>
      <c r="AK84" s="43"/>
    </row>
    <row r="85" ht="12.75" customHeight="1">
      <c r="A85" s="882">
        <f t="shared" si="161"/>
        <v>8</v>
      </c>
      <c r="B85" s="887" t="str">
        <f t="shared" ref="B85:C85" si="181">B16</f>
        <v>3556</v>
      </c>
      <c r="C85" s="887" t="str">
        <f t="shared" si="181"/>
        <v>Crystal Beth</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0</v>
      </c>
      <c r="P85" s="43"/>
      <c r="Q85" s="882">
        <f t="shared" si="165"/>
        <v>0</v>
      </c>
      <c r="R85" s="43"/>
      <c r="S85" s="43"/>
      <c r="T85" s="882">
        <f t="shared" si="166"/>
        <v>8</v>
      </c>
      <c r="U85" s="887" t="str">
        <f t="shared" ref="U85:V85" si="182">U16</f>
        <v>3110</v>
      </c>
      <c r="V85" s="887" t="str">
        <f t="shared" si="182"/>
        <v>Grand DAM</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4</v>
      </c>
      <c r="AB85" s="880">
        <f>IF($U85="","",SUMPRODUCT(--(Lineups!$AS$4:$AS$41=$U85),Lineups!$W$4:$W$41) + SUMPRODUCT(--(Lineups!$AA$5:$AA$42="SP*"),--(Lineups!$AS$4:$AS$41=$U85),Lineups!$W$5:$W$42))</f>
        <v>8</v>
      </c>
      <c r="AC85" s="882">
        <f t="shared" si="168"/>
        <v>12</v>
      </c>
      <c r="AD85" s="43"/>
      <c r="AE85" s="882">
        <f t="shared" si="169"/>
        <v>12</v>
      </c>
      <c r="AF85" s="43"/>
      <c r="AG85" s="43"/>
      <c r="AH85" s="882">
        <f>IF($U85="","",SUMPRODUCT(--(Lineups!$AC$4:$AC$41=$U85),Lineups!$W$4:$W$41) + SUMPRODUCT(--(Lineups!$AA$5:$AA$42="SP*"),--(Lineups!$AC$4:$AC$41=$U85),Lineups!$W$5:$W$42))</f>
        <v>0</v>
      </c>
      <c r="AI85" s="43"/>
      <c r="AJ85" s="882">
        <f t="shared" si="170"/>
        <v>12</v>
      </c>
      <c r="AK85" s="43"/>
    </row>
    <row r="86" ht="12.75" customHeight="1">
      <c r="A86" s="5">
        <f t="shared" si="161"/>
        <v>9</v>
      </c>
      <c r="B86" s="629" t="str">
        <f t="shared" ref="B86:C86" si="183">B17</f>
        <v>360</v>
      </c>
      <c r="C86" s="629" t="str">
        <f t="shared" si="183"/>
        <v>Baxter</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9" t="str">
        <f t="shared" ref="U86:V86" si="184">U17</f>
        <v>333</v>
      </c>
      <c r="V86" s="629" t="str">
        <f t="shared" si="184"/>
        <v>Yonic Cyclonic</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2">
        <f t="shared" si="161"/>
        <v>10</v>
      </c>
      <c r="B87" s="887" t="str">
        <f t="shared" ref="B87:C87" si="185">B18</f>
        <v>40</v>
      </c>
      <c r="C87" s="887" t="str">
        <f t="shared" si="185"/>
        <v>Kid</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0</v>
      </c>
      <c r="P87" s="43"/>
      <c r="Q87" s="882">
        <f t="shared" si="165"/>
        <v>0</v>
      </c>
      <c r="R87" s="43"/>
      <c r="S87" s="43"/>
      <c r="T87" s="882">
        <f t="shared" si="166"/>
        <v>10</v>
      </c>
      <c r="U87" s="887" t="str">
        <f t="shared" ref="U87:V87" si="186">U18</f>
        <v>4</v>
      </c>
      <c r="V87" s="887" t="str">
        <f t="shared" si="186"/>
        <v>Stabba</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8</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8</v>
      </c>
      <c r="AD87" s="43"/>
      <c r="AE87" s="882">
        <f t="shared" si="169"/>
        <v>8</v>
      </c>
      <c r="AF87" s="43"/>
      <c r="AG87" s="43"/>
      <c r="AH87" s="882">
        <f>IF($U87="","",SUMPRODUCT(--(Lineups!$AC$4:$AC$41=$U87),Lineups!$W$4:$W$41) + SUMPRODUCT(--(Lineups!$AA$5:$AA$42="SP*"),--(Lineups!$AC$4:$AC$41=$U87),Lineups!$W$5:$W$42))</f>
        <v>0</v>
      </c>
      <c r="AI87" s="43"/>
      <c r="AJ87" s="882">
        <f t="shared" si="170"/>
        <v>8</v>
      </c>
      <c r="AK87" s="43"/>
    </row>
    <row r="88" ht="12.75" customHeight="1">
      <c r="A88" s="5">
        <f t="shared" si="161"/>
        <v>11</v>
      </c>
      <c r="B88" s="629" t="str">
        <f t="shared" ref="B88:C88" si="187">B19</f>
        <v>42</v>
      </c>
      <c r="C88" s="629" t="str">
        <f t="shared" si="187"/>
        <v>Bosh</v>
      </c>
      <c r="D88" s="5">
        <f>IF($B88="","",SUMPRODUCT(--(Lineups!$G$4:$G$41=$B88),--(Lineups!$B$4:$B$41=""),Lineups!$AW$4:$AW$41)+SUMPRODUCT(--(Lineups!$A$5:$A$42="SP*"),--(Lineups!$G$4:$G$41=$B88),--(Lineups!$B$4:$B$41=""),Lineups!$AW$5:$AW$42))</f>
        <v>52</v>
      </c>
      <c r="E88" s="43"/>
      <c r="F88" s="880">
        <f>IF($B88="","",SUMPRODUCT(--(Lineups!$G$4:$G$41=$B88),--(Lineups!$B$4:$B$41="X"),Lineups!$AW$4:$AW$41)+SUMPRODUCT(--(Lineups!$A$5:$A$42="SP*"),--(Lineups!$G$4:$G$41=$B88),--(Lineups!$B$4:$B$41="X"),Lineups!$AW$5:$AW$42))</f>
        <v>0</v>
      </c>
      <c r="G88" s="880">
        <f>IF($B88="","",SUMPRODUCT(--(Lineups!$K$4:$K$41=$B88),Lineups!$AW$4:$AW$41) + SUMPRODUCT(--(Lineups!$A$5:$A$42="SP*"),--(Lineups!$K$4:$K$41=$B88),Lineups!$AW$5:$AW$42))</f>
        <v>17</v>
      </c>
      <c r="H88" s="880">
        <f>IF($B88="","",SUMPRODUCT(--(Lineups!$O$4:$O$41=$B88),Lineups!$AW$4:$AW$41) + SUMPRODUCT(--(Lineups!$A$5:$A$42="SP*"),--(Lineups!$O$4:$O$41=$B88),Lineups!$AW$5:$AW$42))</f>
        <v>3</v>
      </c>
      <c r="I88" s="880">
        <f>IF($B88="","",SUMPRODUCT(--(Lineups!$S$4:$S$41=$B88),Lineups!$AW$4:$AW$41) + SUMPRODUCT(--(Lineups!$A$5:$A$42="SP*"),--(Lineups!$S$4:$S$41=$B88),Lineups!$AW$5:$AW$42))</f>
        <v>10</v>
      </c>
      <c r="J88" s="5">
        <f t="shared" si="163"/>
        <v>30</v>
      </c>
      <c r="K88" s="43"/>
      <c r="L88" s="5">
        <f t="shared" si="164"/>
        <v>82</v>
      </c>
      <c r="M88" s="43"/>
      <c r="N88" s="43"/>
      <c r="O88" s="5">
        <f>IF($B88="","",SUMPRODUCT(--(Lineups!$C$4:$C$41=$B88),Lineups!$AW$4:$AW$41) + SUMPRODUCT(--(Lineups!$A$5:$A$42="SP*"),--(Lineups!$C$4:$C$41=$B88),Lineups!$AW$5:$AW$42))</f>
        <v>0</v>
      </c>
      <c r="P88" s="43"/>
      <c r="Q88" s="5">
        <f t="shared" si="165"/>
        <v>82</v>
      </c>
      <c r="R88" s="43"/>
      <c r="S88" s="43"/>
      <c r="T88" s="5">
        <f t="shared" si="166"/>
        <v>11</v>
      </c>
      <c r="U88" s="629" t="str">
        <f t="shared" ref="U88:V88" si="188">U19</f>
        <v>42</v>
      </c>
      <c r="V88" s="629" t="str">
        <f t="shared" si="188"/>
        <v>Pretty Carless</v>
      </c>
      <c r="W88" s="5">
        <f>IF($U88="","",SUMPRODUCT(--(Lineups!$AG$4:$AG$41=$U88),--(Lineups!$AB$4:$AB$41=""),Lineups!$W$4:$W$41)+SUMPRODUCT(--(Lineups!$AA$5:$AA$42="SP*"),--(Lineups!$AG$4:$AG$41=$U88),--(Lineups!$AB$4:$AB$41=""),Lineups!$W$5:$W$42))</f>
        <v>24</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24</v>
      </c>
      <c r="AF88" s="43"/>
      <c r="AG88" s="43"/>
      <c r="AH88" s="5">
        <f>IF($U88="","",SUMPRODUCT(--(Lineups!$AC$4:$AC$41=$U88),Lineups!$W$4:$W$41) + SUMPRODUCT(--(Lineups!$AA$5:$AA$42="SP*"),--(Lineups!$AC$4:$AC$41=$U88),Lineups!$W$5:$W$42))</f>
        <v>0</v>
      </c>
      <c r="AI88" s="43"/>
      <c r="AJ88" s="5">
        <f t="shared" si="170"/>
        <v>24</v>
      </c>
      <c r="AK88" s="43"/>
    </row>
    <row r="89" ht="12.75" customHeight="1">
      <c r="A89" s="882">
        <f t="shared" si="161"/>
        <v>12</v>
      </c>
      <c r="B89" s="887" t="str">
        <f t="shared" ref="B89:C89" si="189">B20</f>
        <v>44</v>
      </c>
      <c r="C89" s="887" t="str">
        <f t="shared" si="189"/>
        <v>Esparcieux</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0</v>
      </c>
      <c r="P89" s="43"/>
      <c r="Q89" s="882">
        <f t="shared" si="165"/>
        <v>0</v>
      </c>
      <c r="R89" s="43"/>
      <c r="S89" s="43"/>
      <c r="T89" s="882">
        <f t="shared" si="166"/>
        <v>12</v>
      </c>
      <c r="U89" s="887" t="str">
        <f t="shared" ref="U89:V89" si="190">U20</f>
        <v>48</v>
      </c>
      <c r="V89" s="887" t="str">
        <f t="shared" si="190"/>
        <v>Tini from the Bloc</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4</v>
      </c>
      <c r="AB89" s="880">
        <f>IF($U89="","",SUMPRODUCT(--(Lineups!$AS$4:$AS$41=$U89),Lineups!$W$4:$W$41) + SUMPRODUCT(--(Lineups!$AA$5:$AA$42="SP*"),--(Lineups!$AS$4:$AS$41=$U89),Lineups!$W$5:$W$42))</f>
        <v>4</v>
      </c>
      <c r="AC89" s="882">
        <f t="shared" si="168"/>
        <v>8</v>
      </c>
      <c r="AD89" s="43"/>
      <c r="AE89" s="882">
        <f t="shared" si="169"/>
        <v>8</v>
      </c>
      <c r="AF89" s="43"/>
      <c r="AG89" s="43"/>
      <c r="AH89" s="882">
        <f>IF($U89="","",SUMPRODUCT(--(Lineups!$AC$4:$AC$41=$U89),Lineups!$W$4:$W$41) + SUMPRODUCT(--(Lineups!$AA$5:$AA$42="SP*"),--(Lineups!$AC$4:$AC$41=$U89),Lineups!$W$5:$W$42))</f>
        <v>0</v>
      </c>
      <c r="AI89" s="43"/>
      <c r="AJ89" s="882">
        <f t="shared" si="170"/>
        <v>8</v>
      </c>
      <c r="AK89" s="43"/>
    </row>
    <row r="90" ht="12.75" customHeight="1">
      <c r="A90" s="5">
        <f t="shared" si="161"/>
        <v>13</v>
      </c>
      <c r="B90" s="629" t="str">
        <f t="shared" ref="B90:C90" si="191">B21</f>
        <v>45</v>
      </c>
      <c r="C90" s="629" t="str">
        <f t="shared" si="191"/>
        <v>Hawk</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31</v>
      </c>
      <c r="P90" s="43"/>
      <c r="Q90" s="5">
        <f t="shared" si="165"/>
        <v>31</v>
      </c>
      <c r="R90" s="43"/>
      <c r="S90" s="43"/>
      <c r="T90" s="5">
        <f t="shared" si="166"/>
        <v>13</v>
      </c>
      <c r="U90" s="629" t="str">
        <f t="shared" ref="U90:V90" si="192">U21</f>
        <v>167</v>
      </c>
      <c r="V90" s="629" t="str">
        <f t="shared" si="192"/>
        <v>Rile E Coyote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8</v>
      </c>
      <c r="AA90" s="880">
        <f>IF($U90="","",SUMPRODUCT(--(Lineups!$AO$4:$AO$41=$U90),Lineups!$W$4:$W$41) + SUMPRODUCT(--(Lineups!$AA$5:$AA$42="SP*"),--(Lineups!$AO$4:$AO$41=$U90),Lineups!$W$5:$W$42))</f>
        <v>0</v>
      </c>
      <c r="AB90" s="880">
        <f>IF($U90="","",SUMPRODUCT(--(Lineups!$AS$4:$AS$41=$U90),Lineups!$W$4:$W$41) + SUMPRODUCT(--(Lineups!$AA$5:$AA$42="SP*"),--(Lineups!$AS$4:$AS$41=$U90),Lineups!$W$5:$W$42))</f>
        <v>18</v>
      </c>
      <c r="AC90" s="5">
        <f t="shared" si="168"/>
        <v>26</v>
      </c>
      <c r="AD90" s="43"/>
      <c r="AE90" s="5">
        <f t="shared" si="169"/>
        <v>26</v>
      </c>
      <c r="AF90" s="43"/>
      <c r="AG90" s="43"/>
      <c r="AH90" s="5">
        <f>IF($U90="","",SUMPRODUCT(--(Lineups!$AC$4:$AC$41=$U90),Lineups!$W$4:$W$41) + SUMPRODUCT(--(Lineups!$AA$5:$AA$42="SP*"),--(Lineups!$AC$4:$AC$41=$U90),Lineups!$W$5:$W$42))</f>
        <v>0</v>
      </c>
      <c r="AI90" s="43"/>
      <c r="AJ90" s="5">
        <f t="shared" si="170"/>
        <v>26</v>
      </c>
      <c r="AK90" s="43"/>
    </row>
    <row r="91" ht="12.75" customHeight="1">
      <c r="A91" s="882">
        <f t="shared" si="161"/>
        <v>14</v>
      </c>
      <c r="B91" s="887" t="str">
        <f t="shared" ref="B91:C91" si="193">B22</f>
        <v>48</v>
      </c>
      <c r="C91" s="887" t="str">
        <f t="shared" si="193"/>
        <v>Ward</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12</v>
      </c>
      <c r="H91" s="880">
        <f>IF($B91="","",SUMPRODUCT(--(Lineups!$O$4:$O$41=$B91),Lineups!$AW$4:$AW$41) + SUMPRODUCT(--(Lineups!$A$5:$A$42="SP*"),--(Lineups!$O$4:$O$41=$B91),Lineups!$AW$5:$AW$42))</f>
        <v>16</v>
      </c>
      <c r="I91" s="880">
        <f>IF($B91="","",SUMPRODUCT(--(Lineups!$S$4:$S$41=$B91),Lineups!$AW$4:$AW$41) + SUMPRODUCT(--(Lineups!$A$5:$A$42="SP*"),--(Lineups!$S$4:$S$41=$B91),Lineups!$AW$5:$AW$42))</f>
        <v>10</v>
      </c>
      <c r="J91" s="882">
        <f t="shared" si="163"/>
        <v>38</v>
      </c>
      <c r="K91" s="43"/>
      <c r="L91" s="882">
        <f t="shared" si="164"/>
        <v>38</v>
      </c>
      <c r="M91" s="43"/>
      <c r="N91" s="43"/>
      <c r="O91" s="882">
        <f>IF($B91="","",SUMPRODUCT(--(Lineups!$C$4:$C$41=$B91),Lineups!$AW$4:$AW$41) + SUMPRODUCT(--(Lineups!$A$5:$A$42="SP*"),--(Lineups!$C$4:$C$41=$B91),Lineups!$AW$5:$AW$42))</f>
        <v>0</v>
      </c>
      <c r="P91" s="43"/>
      <c r="Q91" s="882">
        <f t="shared" si="165"/>
        <v>38</v>
      </c>
      <c r="R91" s="43"/>
      <c r="S91" s="43"/>
      <c r="T91" s="882">
        <f t="shared" si="166"/>
        <v>14</v>
      </c>
      <c r="U91" s="887" t="str">
        <f t="shared" ref="U91:V91" si="194">U22</f>
        <v>602</v>
      </c>
      <c r="V91" s="887" t="str">
        <f t="shared" si="194"/>
        <v>Fearidum</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14</v>
      </c>
      <c r="AA91" s="880">
        <f>IF($U91="","",SUMPRODUCT(--(Lineups!$AO$4:$AO$41=$U91),Lineups!$W$4:$W$41) + SUMPRODUCT(--(Lineups!$AA$5:$AA$42="SP*"),--(Lineups!$AO$4:$AO$41=$U91),Lineups!$W$5:$W$42))</f>
        <v>4</v>
      </c>
      <c r="AB91" s="880">
        <f>IF($U91="","",SUMPRODUCT(--(Lineups!$AS$4:$AS$41=$U91),Lineups!$W$4:$W$41) + SUMPRODUCT(--(Lineups!$AA$5:$AA$42="SP*"),--(Lineups!$AS$4:$AS$41=$U91),Lineups!$W$5:$W$42))</f>
        <v>4</v>
      </c>
      <c r="AC91" s="882">
        <f t="shared" si="168"/>
        <v>22</v>
      </c>
      <c r="AD91" s="43"/>
      <c r="AE91" s="882">
        <f t="shared" si="169"/>
        <v>22</v>
      </c>
      <c r="AF91" s="43"/>
      <c r="AG91" s="43"/>
      <c r="AH91" s="882">
        <f>IF($U91="","",SUMPRODUCT(--(Lineups!$AC$4:$AC$41=$U91),Lineups!$W$4:$W$41) + SUMPRODUCT(--(Lineups!$AA$5:$AA$42="SP*"),--(Lineups!$AC$4:$AC$41=$U91),Lineups!$W$5:$W$42))</f>
        <v>0</v>
      </c>
      <c r="AI91" s="43"/>
      <c r="AJ91" s="882">
        <f t="shared" si="170"/>
        <v>22</v>
      </c>
      <c r="AK91" s="43"/>
    </row>
    <row r="92" ht="12.75" customHeight="1">
      <c r="A92" s="5">
        <f t="shared" si="161"/>
        <v>15</v>
      </c>
      <c r="B92" s="629" t="str">
        <f t="shared" ref="B92:C92" si="195">B23</f>
        <v>565</v>
      </c>
      <c r="C92" s="629" t="str">
        <f t="shared" si="195"/>
        <v>Melyn</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79</v>
      </c>
      <c r="I92" s="880">
        <f>IF($B92="","",SUMPRODUCT(--(Lineups!$S$4:$S$41=$B92),Lineups!$AW$4:$AW$41) + SUMPRODUCT(--(Lineups!$A$5:$A$42="SP*"),--(Lineups!$S$4:$S$41=$B92),Lineups!$AW$5:$AW$42))</f>
        <v>4</v>
      </c>
      <c r="J92" s="5">
        <f t="shared" si="163"/>
        <v>83</v>
      </c>
      <c r="K92" s="43"/>
      <c r="L92" s="5">
        <f t="shared" si="164"/>
        <v>83</v>
      </c>
      <c r="M92" s="43"/>
      <c r="N92" s="43"/>
      <c r="O92" s="5">
        <f>IF($B92="","",SUMPRODUCT(--(Lineups!$C$4:$C$41=$B92),Lineups!$AW$4:$AW$41) + SUMPRODUCT(--(Lineups!$A$5:$A$42="SP*"),--(Lineups!$C$4:$C$41=$B92),Lineups!$AW$5:$AW$42))</f>
        <v>0</v>
      </c>
      <c r="P92" s="43"/>
      <c r="Q92" s="5">
        <f t="shared" si="165"/>
        <v>83</v>
      </c>
      <c r="R92" s="43"/>
      <c r="S92" s="43"/>
      <c r="T92" s="5">
        <f t="shared" si="166"/>
        <v>15</v>
      </c>
      <c r="U92" s="629" t="str">
        <f t="shared" ref="U92:V92" si="196">U23</f>
        <v>777</v>
      </c>
      <c r="V92" s="629" t="str">
        <f t="shared" si="196"/>
        <v>Des</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8</v>
      </c>
      <c r="AA92" s="880">
        <f>IF($U92="","",SUMPRODUCT(--(Lineups!$AO$4:$AO$41=$U92),Lineups!$W$4:$W$41) + SUMPRODUCT(--(Lineups!$AA$5:$AA$42="SP*"),--(Lineups!$AO$4:$AO$41=$U92),Lineups!$W$5:$W$42))</f>
        <v>20</v>
      </c>
      <c r="AB92" s="880">
        <f>IF($U92="","",SUMPRODUCT(--(Lineups!$AS$4:$AS$41=$U92),Lineups!$W$4:$W$41) + SUMPRODUCT(--(Lineups!$AA$5:$AA$42="SP*"),--(Lineups!$AS$4:$AS$41=$U92),Lineups!$W$5:$W$42))</f>
        <v>12</v>
      </c>
      <c r="AC92" s="5">
        <f t="shared" si="168"/>
        <v>40</v>
      </c>
      <c r="AD92" s="43"/>
      <c r="AE92" s="5">
        <f t="shared" si="169"/>
        <v>40</v>
      </c>
      <c r="AF92" s="43"/>
      <c r="AG92" s="43"/>
      <c r="AH92" s="5">
        <f>IF($U92="","",SUMPRODUCT(--(Lineups!$AC$4:$AC$41=$U92),Lineups!$W$4:$W$41) + SUMPRODUCT(--(Lineups!$AA$5:$AA$42="SP*"),--(Lineups!$AC$4:$AC$41=$U92),Lineups!$W$5:$W$42))</f>
        <v>0</v>
      </c>
      <c r="AI92" s="43"/>
      <c r="AJ92" s="5">
        <f t="shared" si="170"/>
        <v>40</v>
      </c>
      <c r="AK92" s="43"/>
    </row>
    <row r="93" ht="12.75" customHeight="1">
      <c r="A93" s="882">
        <f t="shared" si="161"/>
        <v>16</v>
      </c>
      <c r="B93" s="887" t="str">
        <f t="shared" ref="B93:C93" si="197">B24</f>
        <v>50</v>
      </c>
      <c r="C93" s="887" t="str">
        <f t="shared" si="197"/>
        <v>Gray</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11</v>
      </c>
      <c r="I93" s="880">
        <f>IF($B93="","",SUMPRODUCT(--(Lineups!$S$4:$S$41=$B93),Lineups!$AW$4:$AW$41) + SUMPRODUCT(--(Lineups!$A$5:$A$42="SP*"),--(Lineups!$S$4:$S$41=$B93),Lineups!$AW$5:$AW$42))</f>
        <v>97</v>
      </c>
      <c r="J93" s="882">
        <f t="shared" si="163"/>
        <v>108</v>
      </c>
      <c r="K93" s="43"/>
      <c r="L93" s="882">
        <f t="shared" si="164"/>
        <v>108</v>
      </c>
      <c r="M93" s="43"/>
      <c r="N93" s="43"/>
      <c r="O93" s="882">
        <f>IF($B93="","",SUMPRODUCT(--(Lineups!$C$4:$C$41=$B93),Lineups!$AW$4:$AW$41) + SUMPRODUCT(--(Lineups!$A$5:$A$42="SP*"),--(Lineups!$C$4:$C$41=$B93),Lineups!$AW$5:$AW$42))</f>
        <v>0</v>
      </c>
      <c r="P93" s="43"/>
      <c r="Q93" s="882">
        <f t="shared" si="165"/>
        <v>108</v>
      </c>
      <c r="R93" s="43"/>
      <c r="S93" s="43"/>
      <c r="T93" s="882">
        <f t="shared" si="166"/>
        <v>16</v>
      </c>
      <c r="U93" s="887" t="str">
        <f t="shared" ref="U93:V93" si="198">U24</f>
        <v>88</v>
      </c>
      <c r="V93" s="887" t="str">
        <f t="shared" si="198"/>
        <v>diamond WEAPON</v>
      </c>
      <c r="W93" s="882">
        <f>IF($U93="","",SUMPRODUCT(--(Lineups!$AG$4:$AG$41=$U93),--(Lineups!$AB$4:$AB$41=""),Lineups!$W$4:$W$41)+SUMPRODUCT(--(Lineups!$AA$5:$AA$42="SP*"),--(Lineups!$AG$4:$AG$41=$U93),--(Lineups!$AB$4:$AB$41=""),Lineups!$W$5:$W$42))</f>
        <v>34</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34</v>
      </c>
      <c r="AF93" s="43"/>
      <c r="AG93" s="43"/>
      <c r="AH93" s="882">
        <f>IF($U93="","",SUMPRODUCT(--(Lineups!$AC$4:$AC$41=$U93),Lineups!$W$4:$W$41) + SUMPRODUCT(--(Lineups!$AA$5:$AA$42="SP*"),--(Lineups!$AC$4:$AC$41=$U93),Lineups!$W$5:$W$42))</f>
        <v>0</v>
      </c>
      <c r="AI93" s="43"/>
      <c r="AJ93" s="882">
        <f t="shared" si="170"/>
        <v>34</v>
      </c>
      <c r="AK93" s="43"/>
    </row>
    <row r="94" ht="12.75" customHeight="1">
      <c r="A94" s="5">
        <f t="shared" si="161"/>
        <v>17</v>
      </c>
      <c r="B94" s="629" t="str">
        <f t="shared" ref="B94:C94" si="199">B25</f>
        <v>808</v>
      </c>
      <c r="C94" s="629" t="str">
        <f t="shared" si="199"/>
        <v>Morganator</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60</v>
      </c>
      <c r="H94" s="880">
        <f>IF($B94="","",SUMPRODUCT(--(Lineups!$O$4:$O$41=$B94),Lineups!$AW$4:$AW$41) + SUMPRODUCT(--(Lineups!$A$5:$A$42="SP*"),--(Lineups!$O$4:$O$41=$B94),Lineups!$AW$5:$AW$42))</f>
        <v>8</v>
      </c>
      <c r="I94" s="880">
        <f>IF($B94="","",SUMPRODUCT(--(Lineups!$S$4:$S$41=$B94),Lineups!$AW$4:$AW$41) + SUMPRODUCT(--(Lineups!$A$5:$A$42="SP*"),--(Lineups!$S$4:$S$41=$B94),Lineups!$AW$5:$AW$42))</f>
        <v>4</v>
      </c>
      <c r="J94" s="5">
        <f t="shared" si="163"/>
        <v>72</v>
      </c>
      <c r="K94" s="43"/>
      <c r="L94" s="5">
        <f t="shared" si="164"/>
        <v>72</v>
      </c>
      <c r="M94" s="43"/>
      <c r="N94" s="43"/>
      <c r="O94" s="5">
        <f>IF($B94="","",SUMPRODUCT(--(Lineups!$C$4:$C$41=$B94),Lineups!$AW$4:$AW$41) + SUMPRODUCT(--(Lineups!$A$5:$A$42="SP*"),--(Lineups!$C$4:$C$41=$B94),Lineups!$AW$5:$AW$42))</f>
        <v>0</v>
      </c>
      <c r="P94" s="43"/>
      <c r="Q94" s="5">
        <f t="shared" si="165"/>
        <v>72</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2">
        <f t="shared" si="161"/>
        <v>18</v>
      </c>
      <c r="B95" s="887" t="str">
        <f t="shared" ref="B95:C95" si="201">B26</f>
        <v>912</v>
      </c>
      <c r="C95" s="887" t="str">
        <f t="shared" si="201"/>
        <v>Battered Sausage</v>
      </c>
      <c r="D95" s="882">
        <f>IF($B95="","",SUMPRODUCT(--(Lineups!$G$4:$G$41=$B95),--(Lineups!$B$4:$B$41=""),Lineups!$AW$4:$AW$41)+SUMPRODUCT(--(Lineups!$A$5:$A$42="SP*"),--(Lineups!$G$4:$G$41=$B95),--(Lineups!$B$4:$B$41=""),Lineups!$AW$5:$AW$42))</f>
        <v>30</v>
      </c>
      <c r="E95" s="43"/>
      <c r="F95" s="880">
        <f>IF($B95="","",SUMPRODUCT(--(Lineups!$G$4:$G$41=$B95),--(Lineups!$B$4:$B$41="X"),Lineups!$AW$4:$AW$41)+SUMPRODUCT(--(Lineups!$A$5:$A$42="SP*"),--(Lineups!$G$4:$G$41=$B95),--(Lineups!$B$4:$B$41="X"),Lineups!$AW$5:$AW$42))</f>
        <v>0</v>
      </c>
      <c r="G95" s="880">
        <f>IF($B95="","",SUMPRODUCT(--(Lineups!$K$4:$K$41=$B95),Lineups!$AW$4:$AW$41) + SUMPRODUCT(--(Lineups!$A$5:$A$42="SP*"),--(Lineups!$K$4:$K$41=$B95),Lineups!$AW$5:$AW$42))</f>
        <v>40</v>
      </c>
      <c r="H95" s="880">
        <f>IF($B95="","",SUMPRODUCT(--(Lineups!$O$4:$O$41=$B95),Lineups!$AW$4:$AW$41) + SUMPRODUCT(--(Lineups!$A$5:$A$42="SP*"),--(Lineups!$O$4:$O$41=$B95),Lineups!$AW$5:$AW$42))</f>
        <v>0</v>
      </c>
      <c r="I95" s="880">
        <f>IF($B95="","",SUMPRODUCT(--(Lineups!$S$4:$S$41=$B95),Lineups!$AW$4:$AW$41) + SUMPRODUCT(--(Lineups!$A$5:$A$42="SP*"),--(Lineups!$S$4:$S$41=$B95),Lineups!$AW$5:$AW$42))</f>
        <v>12</v>
      </c>
      <c r="J95" s="882">
        <f t="shared" si="163"/>
        <v>52</v>
      </c>
      <c r="K95" s="43"/>
      <c r="L95" s="882">
        <f t="shared" si="164"/>
        <v>82</v>
      </c>
      <c r="M95" s="43"/>
      <c r="N95" s="43"/>
      <c r="O95" s="882">
        <f>IF($B95="","",SUMPRODUCT(--(Lineups!$C$4:$C$41=$B95),Lineups!$AW$4:$AW$41) + SUMPRODUCT(--(Lineups!$A$5:$A$42="SP*"),--(Lineups!$C$4:$C$41=$B95),Lineups!$AW$5:$AW$42))</f>
        <v>0</v>
      </c>
      <c r="P95" s="43"/>
      <c r="Q95" s="882">
        <f t="shared" si="165"/>
        <v>82</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2.75" customHeight="1">
      <c r="A96" s="5">
        <f t="shared" si="161"/>
        <v>19</v>
      </c>
      <c r="B96" s="629" t="str">
        <f t="shared" ref="B96:C96" si="203">B27</f>
        <v>93</v>
      </c>
      <c r="C96" s="629" t="str">
        <f t="shared" si="203"/>
        <v>Sangria</v>
      </c>
      <c r="D96" s="5">
        <f>IF($B96="","",SUMPRODUCT(--(Lineups!$G$4:$G$41=$B96),--(Lineups!$B$4:$B$41=""),Lineups!$AW$4:$AW$41)+SUMPRODUCT(--(Lineups!$A$5:$A$42="SP*"),--(Lineups!$G$4:$G$41=$B96),--(Lineups!$B$4:$B$41=""),Lineups!$AW$5:$AW$42))</f>
        <v>0</v>
      </c>
      <c r="E96" s="43"/>
      <c r="F96" s="880">
        <f>IF($B96="","",SUMPRODUCT(--(Lineups!$G$4:$G$41=$B96),--(Lineups!$B$4:$B$41="X"),Lineups!$AW$4:$AW$41)+SUMPRODUCT(--(Lineups!$A$5:$A$42="SP*"),--(Lineups!$G$4:$G$41=$B96),--(Lineups!$B$4:$B$41="X"),Lineups!$AW$5:$AW$42))</f>
        <v>0</v>
      </c>
      <c r="G96" s="880">
        <f>IF($B96="","",SUMPRODUCT(--(Lineups!$K$4:$K$41=$B96),Lineups!$AW$4:$AW$41) + SUMPRODUCT(--(Lineups!$A$5:$A$42="SP*"),--(Lineups!$K$4:$K$41=$B96),Lineups!$AW$5:$AW$42))</f>
        <v>0</v>
      </c>
      <c r="H96" s="880">
        <f>IF($B96="","",SUMPRODUCT(--(Lineups!$O$4:$O$41=$B96),Lineups!$AW$4:$AW$41) + SUMPRODUCT(--(Lineups!$A$5:$A$42="SP*"),--(Lineups!$O$4:$O$41=$B96),Lineups!$AW$5:$AW$42))</f>
        <v>0</v>
      </c>
      <c r="I96" s="880">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44</v>
      </c>
      <c r="P96" s="43"/>
      <c r="Q96" s="5">
        <f t="shared" si="165"/>
        <v>44</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999</v>
      </c>
      <c r="C97" s="887" t="str">
        <f t="shared" si="205"/>
        <v>Angel</v>
      </c>
      <c r="D97" s="882">
        <f>IF($B97="","",SUMPRODUCT(--(Lineups!$G$4:$G$41=$B97),--(Lineups!$B$4:$B$41=""),Lineups!$AW$4:$AW$41)+SUMPRODUCT(--(Lineups!$A$5:$A$42="SP*"),--(Lineups!$G$4:$G$41=$B97),--(Lineups!$B$4:$B$41=""),Lineups!$AW$5:$AW$42))</f>
        <v>68</v>
      </c>
      <c r="E97" s="43"/>
      <c r="F97" s="880">
        <f>IF($B97="","",SUMPRODUCT(--(Lineups!$G$4:$G$41=$B97),--(Lineups!$B$4:$B$41="X"),Lineups!$AW$4:$AW$41)+SUMPRODUCT(--(Lineups!$A$5:$A$42="SP*"),--(Lineups!$G$4:$G$41=$B97),--(Lineups!$B$4:$B$41="X"),Lineups!$AW$5:$AW$42))</f>
        <v>0</v>
      </c>
      <c r="G97" s="880">
        <f>IF($B97="","",SUMPRODUCT(--(Lineups!$K$4:$K$41=$B97),Lineups!$AW$4:$AW$41) + SUMPRODUCT(--(Lineups!$A$5:$A$42="SP*"),--(Lineups!$K$4:$K$41=$B97),Lineups!$AW$5:$AW$42))</f>
        <v>0</v>
      </c>
      <c r="H97" s="880">
        <f>IF($B97="","",SUMPRODUCT(--(Lineups!$O$4:$O$41=$B97),Lineups!$AW$4:$AW$41) + SUMPRODUCT(--(Lineups!$A$5:$A$42="SP*"),--(Lineups!$O$4:$O$41=$B97),Lineups!$AW$5:$AW$42))</f>
        <v>0</v>
      </c>
      <c r="I97" s="880">
        <f>IF($B97="","",SUMPRODUCT(--(Lineups!$S$4:$S$41=$B97),Lineups!$AW$4:$AW$41) + SUMPRODUCT(--(Lineups!$A$5:$A$42="SP*"),--(Lineups!$S$4:$S$41=$B97),Lineups!$AW$5:$AW$42))</f>
        <v>0</v>
      </c>
      <c r="J97" s="882">
        <f t="shared" si="163"/>
        <v>0</v>
      </c>
      <c r="K97" s="43"/>
      <c r="L97" s="882">
        <f t="shared" si="164"/>
        <v>68</v>
      </c>
      <c r="M97" s="43"/>
      <c r="N97" s="43"/>
      <c r="O97" s="882">
        <f>IF($B97="","",SUMPRODUCT(--(Lineups!$C$4:$C$41=$B97),Lineups!$AW$4:$AW$41) + SUMPRODUCT(--(Lineups!$A$5:$A$42="SP*"),--(Lineups!$C$4:$C$41=$B97),Lineups!$AW$5:$AW$42))</f>
        <v>0</v>
      </c>
      <c r="P97" s="43"/>
      <c r="Q97" s="882">
        <f t="shared" si="165"/>
        <v>68</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131</v>
      </c>
      <c r="D101" s="43"/>
      <c r="E101" s="43"/>
      <c r="F101" s="43"/>
      <c r="G101" s="43"/>
      <c r="H101" s="43"/>
      <c r="I101" s="43"/>
      <c r="J101" s="43"/>
      <c r="K101" s="43"/>
      <c r="L101" s="43"/>
      <c r="M101" s="43"/>
      <c r="N101" s="43"/>
      <c r="O101" s="43"/>
      <c r="P101" s="43"/>
      <c r="Q101" s="43"/>
      <c r="R101" s="43"/>
      <c r="S101" s="43"/>
      <c r="T101" s="5"/>
      <c r="U101" s="43"/>
      <c r="V101" s="530" t="s">
        <v>131</v>
      </c>
      <c r="W101" s="43"/>
      <c r="X101" s="43"/>
      <c r="Y101" s="43"/>
      <c r="Z101" s="43"/>
      <c r="AA101" s="43"/>
      <c r="AB101" s="43"/>
      <c r="AC101" s="43"/>
      <c r="AD101" s="43"/>
      <c r="AE101" s="43"/>
      <c r="AF101" s="43"/>
      <c r="AG101" s="43"/>
      <c r="AH101" s="43"/>
      <c r="AI101" s="43"/>
      <c r="AJ101" s="43"/>
      <c r="AK101" s="43"/>
    </row>
    <row r="102" ht="12.75" customHeight="1">
      <c r="A102" s="5"/>
      <c r="B102" s="43"/>
      <c r="C102" s="43" t="s">
        <v>418</v>
      </c>
      <c r="D102" s="43">
        <f>MAX(Score!A84,Score!T84)</f>
        <v>23</v>
      </c>
      <c r="E102" s="43"/>
      <c r="F102" s="43"/>
      <c r="G102" s="43"/>
      <c r="H102" s="43"/>
      <c r="I102" s="43"/>
      <c r="J102" s="43"/>
      <c r="K102" s="43"/>
      <c r="L102" s="43"/>
      <c r="M102" s="43"/>
      <c r="N102" s="43"/>
      <c r="O102" s="43"/>
      <c r="P102" s="43"/>
      <c r="Q102" s="43"/>
      <c r="R102" s="43"/>
      <c r="S102" s="43"/>
      <c r="T102" s="5"/>
      <c r="U102" s="43"/>
      <c r="V102" s="43" t="s">
        <v>418</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419</v>
      </c>
      <c r="D103" s="43">
        <f>SK!H164</f>
        <v>4</v>
      </c>
      <c r="E103" s="43"/>
      <c r="F103" s="43"/>
      <c r="G103" s="43"/>
      <c r="H103" s="43"/>
      <c r="I103" s="43"/>
      <c r="J103" s="43"/>
      <c r="K103" s="43"/>
      <c r="L103" s="43"/>
      <c r="M103" s="43"/>
      <c r="N103" s="43"/>
      <c r="O103" s="43"/>
      <c r="P103" s="43"/>
      <c r="Q103" s="43"/>
      <c r="R103" s="43"/>
      <c r="S103" s="43"/>
      <c r="T103" s="5"/>
      <c r="U103" s="43"/>
      <c r="V103" s="43" t="s">
        <v>420</v>
      </c>
      <c r="W103" s="43">
        <f>SK!X164</f>
        <v>19</v>
      </c>
      <c r="X103" s="43"/>
      <c r="Y103" s="43"/>
      <c r="Z103" s="43"/>
      <c r="AA103" s="43"/>
      <c r="AB103" s="43"/>
      <c r="AC103" s="43"/>
      <c r="AD103" s="43"/>
      <c r="AE103" s="43"/>
      <c r="AF103" s="43"/>
      <c r="AG103" s="43"/>
      <c r="AH103" s="43"/>
      <c r="AI103" s="43"/>
      <c r="AJ103" s="43"/>
      <c r="AK103" s="43"/>
    </row>
    <row r="104" ht="12.75" customHeight="1">
      <c r="A104" s="5"/>
      <c r="B104" s="43"/>
      <c r="C104" s="43" t="s">
        <v>421</v>
      </c>
      <c r="D104" s="43">
        <f>COUNTIF(Q108:Q127,"&gt;0")</f>
        <v>14</v>
      </c>
      <c r="E104" s="43"/>
      <c r="F104" s="43"/>
      <c r="G104" s="43"/>
      <c r="H104" s="43"/>
      <c r="I104" s="43"/>
      <c r="J104" s="43"/>
      <c r="K104" s="43"/>
      <c r="L104" s="43"/>
      <c r="M104" s="43"/>
      <c r="N104" s="43"/>
      <c r="O104" s="43"/>
      <c r="P104" s="43"/>
      <c r="Q104" s="43"/>
      <c r="R104" s="43"/>
      <c r="S104" s="43"/>
      <c r="T104" s="5"/>
      <c r="U104" s="43"/>
      <c r="V104" s="43" t="s">
        <v>422</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423</v>
      </c>
      <c r="B106" s="8"/>
      <c r="C106" s="9"/>
      <c r="D106" s="873"/>
      <c r="E106" s="873"/>
      <c r="F106" s="873"/>
      <c r="G106" s="873"/>
      <c r="H106" s="873"/>
      <c r="I106" s="873"/>
      <c r="J106" s="873"/>
      <c r="K106" s="873"/>
      <c r="L106" s="873"/>
      <c r="M106" s="873"/>
      <c r="N106" s="873"/>
      <c r="O106" s="873"/>
      <c r="P106" s="873"/>
      <c r="Q106" s="873"/>
      <c r="R106" s="873"/>
      <c r="S106" s="43"/>
      <c r="T106" s="872" t="s">
        <v>423</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424</v>
      </c>
      <c r="C107" s="874" t="s">
        <v>425</v>
      </c>
      <c r="D107" s="874" t="s">
        <v>282</v>
      </c>
      <c r="E107" s="875" t="s">
        <v>426</v>
      </c>
      <c r="F107" s="876" t="s">
        <v>283</v>
      </c>
      <c r="G107" s="876" t="s">
        <v>283</v>
      </c>
      <c r="H107" s="876" t="s">
        <v>283</v>
      </c>
      <c r="I107" s="876" t="s">
        <v>283</v>
      </c>
      <c r="J107" s="874" t="s">
        <v>427</v>
      </c>
      <c r="K107" s="875" t="s">
        <v>428</v>
      </c>
      <c r="L107" s="874" t="s">
        <v>429</v>
      </c>
      <c r="M107" s="875" t="s">
        <v>430</v>
      </c>
      <c r="N107" s="877" t="s">
        <v>431</v>
      </c>
      <c r="O107" s="874" t="s">
        <v>280</v>
      </c>
      <c r="P107" s="875" t="s">
        <v>432</v>
      </c>
      <c r="Q107" s="874" t="s">
        <v>398</v>
      </c>
      <c r="R107" s="875" t="s">
        <v>433</v>
      </c>
      <c r="S107" s="5"/>
      <c r="T107" s="874">
        <v>0.0</v>
      </c>
      <c r="U107" s="874" t="s">
        <v>424</v>
      </c>
      <c r="V107" s="874" t="s">
        <v>425</v>
      </c>
      <c r="W107" s="874" t="s">
        <v>282</v>
      </c>
      <c r="X107" s="875" t="s">
        <v>426</v>
      </c>
      <c r="Y107" s="876" t="s">
        <v>283</v>
      </c>
      <c r="Z107" s="876" t="s">
        <v>283</v>
      </c>
      <c r="AA107" s="876" t="s">
        <v>283</v>
      </c>
      <c r="AB107" s="876" t="s">
        <v>283</v>
      </c>
      <c r="AC107" s="874" t="s">
        <v>427</v>
      </c>
      <c r="AD107" s="875" t="s">
        <v>428</v>
      </c>
      <c r="AE107" s="874" t="s">
        <v>429</v>
      </c>
      <c r="AF107" s="875" t="s">
        <v>430</v>
      </c>
      <c r="AG107" s="877" t="s">
        <v>431</v>
      </c>
      <c r="AH107" s="874" t="s">
        <v>280</v>
      </c>
      <c r="AI107" s="875" t="s">
        <v>432</v>
      </c>
      <c r="AJ107" s="874" t="s">
        <v>398</v>
      </c>
      <c r="AK107" s="875" t="s">
        <v>433</v>
      </c>
    </row>
    <row r="108" ht="12.75" customHeight="1">
      <c r="A108" s="5">
        <f t="shared" ref="A108:A127" si="209">A107+1</f>
        <v>1</v>
      </c>
      <c r="B108" s="878" t="str">
        <f t="shared" ref="B108:C108" si="207">B9</f>
        <v>04</v>
      </c>
      <c r="C108" s="878" t="str">
        <f t="shared" si="207"/>
        <v>Nina</v>
      </c>
      <c r="D108" s="43">
        <f>IF($B108="","",SUMPRODUCT(--(Lineups!G$46:G$83=$B108),--(Lineups!B$46:B$83="")))</f>
        <v>0</v>
      </c>
      <c r="E108" s="879">
        <f t="shared" ref="E108:E127" si="211">IF($B108="","",IF($D$102=0,"",D108/$D$102))</f>
        <v>0</v>
      </c>
      <c r="F108" s="880">
        <f>IF($B108="","",SUMPRODUCT(--(Lineups!G$46:G$83=$B108),--(Lineups!B$46:B$83="X")))</f>
        <v>0</v>
      </c>
      <c r="G108" s="880">
        <f>IF($B108="","",SUMPRODUCT(--(Lineups!K$46:K$83=$B108),--(Lineups!A$46:A$83&lt;&gt;"SP")))</f>
        <v>1</v>
      </c>
      <c r="H108" s="880">
        <f>IF($B108="","",SUMPRODUCT(--(Lineups!O$46:O$83=$B108),--(Lineups!A$46:A$83&lt;&gt;"SP")))</f>
        <v>3</v>
      </c>
      <c r="I108" s="880">
        <f>IF($B108="","",SUMPRODUCT(--(Lineups!S$46:S$83=$B108),--(Lineups!A$46:A$83&lt;&gt;"SP")))</f>
        <v>2</v>
      </c>
      <c r="J108" s="43">
        <f t="shared" ref="J108:J127" si="212">IF(B108="","",SUM(F108:I108))</f>
        <v>6</v>
      </c>
      <c r="K108" s="879">
        <f t="shared" ref="K108:K127" si="213">IF($B108="","",IF($D$102=0,"",J108/$D$102))</f>
        <v>0.2608695652</v>
      </c>
      <c r="L108" s="43">
        <f t="shared" ref="L108:L127" si="214">IF(B108="","",SUM(D108,J108))</f>
        <v>6</v>
      </c>
      <c r="M108" s="879">
        <f t="shared" ref="M108:M127" si="215">IF($B108="","",IF($D$102=0,"",L108/$D$102))</f>
        <v>0.2608695652</v>
      </c>
      <c r="N108" s="881" t="str">
        <f>IF(B108="","",IF(OR(SK!E173="",SK!E173=0),"",SK!H173))</f>
        <v/>
      </c>
      <c r="O108" s="43">
        <f>IF($B108="","",SUMPRODUCT(--(Lineups!C$46:C$83=$B108)))</f>
        <v>0</v>
      </c>
      <c r="P108" s="879">
        <f t="shared" ref="P108:P127" si="216">IF($B108="","",IF($D$102=0,"",O108/$D$102))</f>
        <v>0</v>
      </c>
      <c r="Q108" s="43">
        <f t="shared" ref="Q108:Q127" si="217">IF(B108="","",SUM(L108,O108))</f>
        <v>6</v>
      </c>
      <c r="R108" s="879">
        <f t="shared" ref="R108:R127" si="218">IF($B108="","",IF($D$102=0,"",Q108/$D$102))</f>
        <v>0.2608695652</v>
      </c>
      <c r="S108" s="43"/>
      <c r="T108" s="5">
        <f t="shared" ref="T108:T127" si="219">T107+1</f>
        <v>1</v>
      </c>
      <c r="U108" s="878" t="str">
        <f t="shared" ref="U108:V108" si="208">U9</f>
        <v>040</v>
      </c>
      <c r="V108" s="878" t="str">
        <f t="shared" si="208"/>
        <v>Ruff Rackelhahn</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1</v>
      </c>
      <c r="AA108" s="880">
        <f>IF($U108="","",SUMPRODUCT(--(Lineups!AO$46:AO$83=$U108),--(Lineups!AA$46:AA$83&lt;&gt;"SP")))</f>
        <v>2</v>
      </c>
      <c r="AB108" s="880">
        <f>IF($U108="","",SUMPRODUCT(--(Lineups!AS$46:AS$83=$U108),--(Lineups!AA$46:AA$83&lt;&gt;"SP")))</f>
        <v>8</v>
      </c>
      <c r="AC108" s="43">
        <f t="shared" ref="AC108:AC127" si="222">IF(U108="","",SUM(Y108:AB108))</f>
        <v>11</v>
      </c>
      <c r="AD108" s="879">
        <f t="shared" ref="AD108:AD127" si="223">IF($U108="","",IF($W$102=0,"",AC108/$W$102))</f>
        <v>0.4782608696</v>
      </c>
      <c r="AE108" s="43">
        <f t="shared" ref="AE108:AE127" si="224">IF(U108="","",SUM(W108,AC108))</f>
        <v>11</v>
      </c>
      <c r="AF108" s="879">
        <f t="shared" ref="AF108:AF127" si="225">IF($U108="","",IF($W$102=0,"",AE108/$W$102))</f>
        <v>0.4782608696</v>
      </c>
      <c r="AG108" s="881" t="str">
        <f>IF(U108="","",IF(OR(SK!U173="",SK!U173=0),"",SK!X173))</f>
        <v/>
      </c>
      <c r="AH108" s="43">
        <f>IF($U108="","",SUMPRODUCT(--(Lineups!AC$46:AC$83=$U108)))</f>
        <v>0</v>
      </c>
      <c r="AI108" s="879">
        <f t="shared" ref="AI108:AI127" si="226">IF($U108="","",IF($W$102=0,"",AH108/$W$102))</f>
        <v>0</v>
      </c>
      <c r="AJ108" s="43">
        <f t="shared" ref="AJ108:AJ127" si="227">IF(U108="","",SUM(AE108,AH108))</f>
        <v>11</v>
      </c>
      <c r="AK108" s="879">
        <f t="shared" ref="AK108:AK127" si="228">IF($U108="","",IF($W$102=0,"",AJ108/$W$102))</f>
        <v>0.4782608696</v>
      </c>
    </row>
    <row r="109" ht="12.75" customHeight="1">
      <c r="A109" s="882">
        <f t="shared" si="209"/>
        <v>2</v>
      </c>
      <c r="B109" s="883" t="str">
        <f t="shared" ref="B109:C109" si="210">B10</f>
        <v>16</v>
      </c>
      <c r="C109" s="883" t="str">
        <f t="shared" si="210"/>
        <v>Saabor</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f>IF(B109="","",IF(OR(SK!E176="",SK!E176=0),"",SK!H176))</f>
        <v>1</v>
      </c>
      <c r="O109" s="884">
        <f>IF($B109="","",SUMPRODUCT(--(Lineups!C$46:C$83=$B109)))</f>
        <v>5</v>
      </c>
      <c r="P109" s="885">
        <f t="shared" si="216"/>
        <v>0.2173913043</v>
      </c>
      <c r="Q109" s="884">
        <f t="shared" si="217"/>
        <v>5</v>
      </c>
      <c r="R109" s="885">
        <f t="shared" si="218"/>
        <v>0.2173913043</v>
      </c>
      <c r="S109" s="43"/>
      <c r="T109" s="882">
        <f t="shared" si="219"/>
        <v>2</v>
      </c>
      <c r="U109" s="883" t="str">
        <f t="shared" ref="U109:V109" si="220">U10</f>
        <v>101</v>
      </c>
      <c r="V109" s="883" t="str">
        <f t="shared" si="220"/>
        <v>Powell</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0</v>
      </c>
      <c r="AF109" s="885">
        <f t="shared" si="225"/>
        <v>0</v>
      </c>
      <c r="AG109" s="886">
        <f>IF(U109="","",IF(OR(SK!U176="",SK!U176=0),"",SK!X176))</f>
        <v>7</v>
      </c>
      <c r="AH109" s="884">
        <f>IF($U109="","",SUMPRODUCT(--(Lineups!AC$46:AC$83=$U109)))</f>
        <v>8</v>
      </c>
      <c r="AI109" s="885">
        <f t="shared" si="226"/>
        <v>0.347826087</v>
      </c>
      <c r="AJ109" s="884">
        <f t="shared" si="227"/>
        <v>8</v>
      </c>
      <c r="AK109" s="885">
        <f t="shared" si="228"/>
        <v>0.347826087</v>
      </c>
    </row>
    <row r="110" ht="12.75" customHeight="1">
      <c r="A110" s="5">
        <f t="shared" si="209"/>
        <v>3</v>
      </c>
      <c r="B110" s="878" t="str">
        <f t="shared" ref="B110:C110" si="229">B11</f>
        <v>177</v>
      </c>
      <c r="C110" s="878" t="str">
        <f t="shared" si="229"/>
        <v>Phoenix</v>
      </c>
      <c r="D110" s="43">
        <f>IF($B110="","",SUMPRODUCT(--(Lineups!G$46:G$83=$B110),--(Lineups!B$46:B$83="")))</f>
        <v>0</v>
      </c>
      <c r="E110" s="879">
        <f t="shared" si="211"/>
        <v>0</v>
      </c>
      <c r="F110" s="880">
        <f>IF($B110="","",SUMPRODUCT(--(Lineups!G$46:G$83=$B110),--(Lineups!B$46:B$83="X")))</f>
        <v>0</v>
      </c>
      <c r="G110" s="880">
        <f>IF($B110="","",SUMPRODUCT(--(Lineups!K$46:K$83=$B110),--(Lineups!A$46:A$83&lt;&gt;"SP")))</f>
        <v>3</v>
      </c>
      <c r="H110" s="880">
        <f>IF($B110="","",SUMPRODUCT(--(Lineups!O$46:O$83=$B110),--(Lineups!A$46:A$83&lt;&gt;"SP")))</f>
        <v>3</v>
      </c>
      <c r="I110" s="880">
        <f>IF($B110="","",SUMPRODUCT(--(Lineups!S$46:S$83=$B110),--(Lineups!A$46:A$83&lt;&gt;"SP")))</f>
        <v>4</v>
      </c>
      <c r="J110" s="43">
        <f t="shared" si="212"/>
        <v>10</v>
      </c>
      <c r="K110" s="879">
        <f t="shared" si="213"/>
        <v>0.4347826087</v>
      </c>
      <c r="L110" s="43">
        <f t="shared" si="214"/>
        <v>10</v>
      </c>
      <c r="M110" s="879">
        <f t="shared" si="215"/>
        <v>0.4347826087</v>
      </c>
      <c r="N110" s="881" t="str">
        <f>IF(B110="","",IF(OR(SK!E179="",SK!E179=0),"",SK!H179))</f>
        <v/>
      </c>
      <c r="O110" s="43">
        <f>IF($B110="","",SUMPRODUCT(--(Lineups!C$46:C$83=$B110)))</f>
        <v>0</v>
      </c>
      <c r="P110" s="879">
        <f t="shared" si="216"/>
        <v>0</v>
      </c>
      <c r="Q110" s="43">
        <f t="shared" si="217"/>
        <v>10</v>
      </c>
      <c r="R110" s="879">
        <f t="shared" si="218"/>
        <v>0.4347826087</v>
      </c>
      <c r="S110" s="43"/>
      <c r="T110" s="5">
        <f t="shared" si="219"/>
        <v>3</v>
      </c>
      <c r="U110" s="878" t="str">
        <f t="shared" ref="U110:V110" si="230">U11</f>
        <v>11</v>
      </c>
      <c r="V110" s="878" t="str">
        <f t="shared" si="230"/>
        <v>Bambi Deerdevil</v>
      </c>
      <c r="W110" s="43">
        <f>IF($U110="","",SUMPRODUCT(--(Lineups!AG$46:AG$83=$U110),--(Lineups!AB$46:AB$83="")))</f>
        <v>0</v>
      </c>
      <c r="X110" s="879">
        <f t="shared" si="221"/>
        <v>0</v>
      </c>
      <c r="Y110" s="880">
        <f>IF($U110="","",SUMPRODUCT(--(Lineups!AG$46:AG$83=$U110),--(Lineups!AB$46:AB$83="X")))</f>
        <v>2</v>
      </c>
      <c r="Z110" s="880">
        <f>IF($U110="","",SUMPRODUCT(--(Lineups!AK$46:AK$83=$U110),--(Lineups!AA$46:AA$83&lt;&gt;"SP")))</f>
        <v>0</v>
      </c>
      <c r="AA110" s="880">
        <f>IF($U110="","",SUMPRODUCT(--(Lineups!AO$46:AO$83=$U110),--(Lineups!AA$46:AA$83&lt;&gt;"SP")))</f>
        <v>0</v>
      </c>
      <c r="AB110" s="880">
        <f>IF($U110="","",SUMPRODUCT(--(Lineups!AS$46:AS$83=$U110),--(Lineups!AA$46:AA$83&lt;&gt;"SP")))</f>
        <v>0</v>
      </c>
      <c r="AC110" s="43">
        <f t="shared" si="222"/>
        <v>2</v>
      </c>
      <c r="AD110" s="879">
        <f t="shared" si="223"/>
        <v>0.08695652174</v>
      </c>
      <c r="AE110" s="43">
        <f t="shared" si="224"/>
        <v>2</v>
      </c>
      <c r="AF110" s="879">
        <f t="shared" si="225"/>
        <v>0.08695652174</v>
      </c>
      <c r="AG110" s="881">
        <f>IF(U110="","",IF(OR(SK!U179="",SK!U179=0),"",SK!X179))</f>
        <v>5</v>
      </c>
      <c r="AH110" s="43">
        <f>IF($U110="","",SUMPRODUCT(--(Lineups!AC$46:AC$83=$U110)))</f>
        <v>7</v>
      </c>
      <c r="AI110" s="879">
        <f t="shared" si="226"/>
        <v>0.3043478261</v>
      </c>
      <c r="AJ110" s="43">
        <f t="shared" si="227"/>
        <v>9</v>
      </c>
      <c r="AK110" s="879">
        <f t="shared" si="228"/>
        <v>0.3913043478</v>
      </c>
    </row>
    <row r="111" ht="12.75" customHeight="1">
      <c r="A111" s="882">
        <f t="shared" si="209"/>
        <v>4</v>
      </c>
      <c r="B111" s="883" t="str">
        <f t="shared" ref="B111:C111" si="231">B12</f>
        <v>215</v>
      </c>
      <c r="C111" s="883" t="str">
        <f t="shared" si="231"/>
        <v>Pollock</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0</v>
      </c>
      <c r="I111" s="880">
        <f>IF($B111="","",SUMPRODUCT(--(Lineups!S$46:S$83=$B111),--(Lineups!A$46:A$83&lt;&gt;"SP")))</f>
        <v>0</v>
      </c>
      <c r="J111" s="884">
        <f t="shared" si="212"/>
        <v>0</v>
      </c>
      <c r="K111" s="885">
        <f t="shared" si="213"/>
        <v>0</v>
      </c>
      <c r="L111" s="884">
        <f t="shared" si="214"/>
        <v>0</v>
      </c>
      <c r="M111" s="885">
        <f t="shared" si="215"/>
        <v>0</v>
      </c>
      <c r="N111" s="886" t="str">
        <f>IF(B111="","",IF(OR(SK!E182="",SK!E182=0),"",SK!H182))</f>
        <v/>
      </c>
      <c r="O111" s="884">
        <f>IF($B111="","",SUMPRODUCT(--(Lineups!C$46:C$83=$B111)))</f>
        <v>0</v>
      </c>
      <c r="P111" s="885">
        <f t="shared" si="216"/>
        <v>0</v>
      </c>
      <c r="Q111" s="884">
        <f t="shared" si="217"/>
        <v>0</v>
      </c>
      <c r="R111" s="885">
        <f t="shared" si="218"/>
        <v>0</v>
      </c>
      <c r="S111" s="43"/>
      <c r="T111" s="882">
        <f t="shared" si="219"/>
        <v>4</v>
      </c>
      <c r="U111" s="883" t="str">
        <f t="shared" ref="U111:V111" si="232">U12</f>
        <v>33</v>
      </c>
      <c r="V111" s="883" t="str">
        <f t="shared" si="232"/>
        <v>Fox Mauler</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0</v>
      </c>
      <c r="AF111" s="885">
        <f t="shared" si="225"/>
        <v>0</v>
      </c>
      <c r="AG111" s="886" t="str">
        <f>IF(U111="","",IF(OR(SK!U182="",SK!U182=0),"",SK!X182))</f>
        <v/>
      </c>
      <c r="AH111" s="884">
        <f>IF($U111="","",SUMPRODUCT(--(Lineups!AC$46:AC$83=$U111)))</f>
        <v>0</v>
      </c>
      <c r="AI111" s="885">
        <f t="shared" si="226"/>
        <v>0</v>
      </c>
      <c r="AJ111" s="884">
        <f t="shared" si="227"/>
        <v>0</v>
      </c>
      <c r="AK111" s="885">
        <f t="shared" si="228"/>
        <v>0</v>
      </c>
    </row>
    <row r="112" ht="12.75" customHeight="1">
      <c r="A112" s="5">
        <f t="shared" si="209"/>
        <v>5</v>
      </c>
      <c r="B112" s="878" t="str">
        <f t="shared" ref="B112:C112" si="233">B13</f>
        <v>27</v>
      </c>
      <c r="C112" s="878" t="str">
        <f t="shared" si="233"/>
        <v>MegaHurtz</v>
      </c>
      <c r="D112" s="43">
        <f>IF($B112="","",SUMPRODUCT(--(Lineups!G$46:G$83=$B112),--(Lineups!B$46:B$83="")))</f>
        <v>0</v>
      </c>
      <c r="E112" s="879">
        <f t="shared" si="211"/>
        <v>0</v>
      </c>
      <c r="F112" s="880">
        <f>IF($B112="","",SUMPRODUCT(--(Lineups!G$46:G$83=$B112),--(Lineups!B$46:B$83="X")))</f>
        <v>0</v>
      </c>
      <c r="G112" s="880">
        <f>IF($B112="","",SUMPRODUCT(--(Lineups!K$46:K$83=$B112),--(Lineups!A$46:A$83&lt;&gt;"SP")))</f>
        <v>0</v>
      </c>
      <c r="H112" s="880">
        <f>IF($B112="","",SUMPRODUCT(--(Lineups!O$46:O$83=$B112),--(Lineups!A$46:A$83&lt;&gt;"SP")))</f>
        <v>0</v>
      </c>
      <c r="I112" s="880">
        <f>IF($B112="","",SUMPRODUCT(--(Lineups!S$46:S$83=$B112),--(Lineups!A$46:A$83&lt;&gt;"SP")))</f>
        <v>0</v>
      </c>
      <c r="J112" s="43">
        <f t="shared" si="212"/>
        <v>0</v>
      </c>
      <c r="K112" s="879">
        <f t="shared" si="213"/>
        <v>0</v>
      </c>
      <c r="L112" s="43">
        <f t="shared" si="214"/>
        <v>0</v>
      </c>
      <c r="M112" s="879">
        <f t="shared" si="215"/>
        <v>0</v>
      </c>
      <c r="N112" s="881" t="str">
        <f>IF(B112="","",IF(OR(SK!E185="",SK!E185=0),"",SK!H185))</f>
        <v/>
      </c>
      <c r="O112" s="43">
        <f>IF($B112="","",SUMPRODUCT(--(Lineups!C$46:C$83=$B112)))</f>
        <v>0</v>
      </c>
      <c r="P112" s="879">
        <f t="shared" si="216"/>
        <v>0</v>
      </c>
      <c r="Q112" s="43">
        <f t="shared" si="217"/>
        <v>0</v>
      </c>
      <c r="R112" s="879">
        <f t="shared" si="218"/>
        <v>0</v>
      </c>
      <c r="S112" s="43"/>
      <c r="T112" s="5">
        <f t="shared" si="219"/>
        <v>5</v>
      </c>
      <c r="U112" s="878" t="str">
        <f t="shared" ref="U112:V112" si="234">U13</f>
        <v>1337</v>
      </c>
      <c r="V112" s="878" t="str">
        <f t="shared" si="234"/>
        <v>8Bit Betty</v>
      </c>
      <c r="W112" s="43">
        <f>IF($U112="","",SUMPRODUCT(--(Lineups!AG$46:AG$83=$U112),--(Lineups!AB$46:AB$83="")))</f>
        <v>6</v>
      </c>
      <c r="X112" s="879">
        <f t="shared" si="221"/>
        <v>0.2608695652</v>
      </c>
      <c r="Y112" s="880">
        <f>IF($U112="","",SUMPRODUCT(--(Lineups!AG$46:AG$83=$U112),--(Lineups!AB$46:AB$83="X")))</f>
        <v>0</v>
      </c>
      <c r="Z112" s="880">
        <f>IF($U112="","",SUMPRODUCT(--(Lineups!AK$46:AK$83=$U112),--(Lineups!AA$46:AA$83&lt;&gt;"SP")))</f>
        <v>1</v>
      </c>
      <c r="AA112" s="880">
        <f>IF($U112="","",SUMPRODUCT(--(Lineups!AO$46:AO$83=$U112),--(Lineups!AA$46:AA$83&lt;&gt;"SP")))</f>
        <v>1</v>
      </c>
      <c r="AB112" s="880">
        <f>IF($U112="","",SUMPRODUCT(--(Lineups!AS$46:AS$83=$U112),--(Lineups!AA$46:AA$83&lt;&gt;"SP")))</f>
        <v>1</v>
      </c>
      <c r="AC112" s="43">
        <f t="shared" si="222"/>
        <v>3</v>
      </c>
      <c r="AD112" s="879">
        <f t="shared" si="223"/>
        <v>0.1304347826</v>
      </c>
      <c r="AE112" s="43">
        <f t="shared" si="224"/>
        <v>9</v>
      </c>
      <c r="AF112" s="879">
        <f t="shared" si="225"/>
        <v>0.3913043478</v>
      </c>
      <c r="AG112" s="881" t="str">
        <f>IF(U112="","",IF(OR(SK!U185="",SK!U185=0),"",SK!X185))</f>
        <v/>
      </c>
      <c r="AH112" s="43">
        <f>IF($U112="","",SUMPRODUCT(--(Lineups!AC$46:AC$83=$U112)))</f>
        <v>0</v>
      </c>
      <c r="AI112" s="879">
        <f t="shared" si="226"/>
        <v>0</v>
      </c>
      <c r="AJ112" s="43">
        <f t="shared" si="227"/>
        <v>9</v>
      </c>
      <c r="AK112" s="879">
        <f t="shared" si="228"/>
        <v>0.3913043478</v>
      </c>
    </row>
    <row r="113" ht="12.75" customHeight="1">
      <c r="A113" s="882">
        <f t="shared" si="209"/>
        <v>6</v>
      </c>
      <c r="B113" s="883" t="str">
        <f t="shared" ref="B113:C113" si="235">B14</f>
        <v>271</v>
      </c>
      <c r="C113" s="883" t="str">
        <f t="shared" si="235"/>
        <v>Peb Canary</v>
      </c>
      <c r="D113" s="884">
        <f>IF($B113="","",SUMPRODUCT(--(Lineups!G$46:G$83=$B113),--(Lineups!B$46:B$83="")))</f>
        <v>0</v>
      </c>
      <c r="E113" s="885">
        <f t="shared" si="211"/>
        <v>0</v>
      </c>
      <c r="F113" s="880">
        <f>IF($B113="","",SUMPRODUCT(--(Lineups!G$46:G$83=$B113),--(Lineups!B$46:B$83="X")))</f>
        <v>1</v>
      </c>
      <c r="G113" s="880">
        <f>IF($B113="","",SUMPRODUCT(--(Lineups!K$46:K$83=$B113),--(Lineups!A$46:A$83&lt;&gt;"SP")))</f>
        <v>0</v>
      </c>
      <c r="H113" s="880">
        <f>IF($B113="","",SUMPRODUCT(--(Lineups!O$46:O$83=$B113),--(Lineups!A$46:A$83&lt;&gt;"SP")))</f>
        <v>0</v>
      </c>
      <c r="I113" s="880">
        <f>IF($B113="","",SUMPRODUCT(--(Lineups!S$46:S$83=$B113),--(Lineups!A$46:A$83&lt;&gt;"SP")))</f>
        <v>0</v>
      </c>
      <c r="J113" s="884">
        <f t="shared" si="212"/>
        <v>1</v>
      </c>
      <c r="K113" s="885">
        <f t="shared" si="213"/>
        <v>0.04347826087</v>
      </c>
      <c r="L113" s="884">
        <f t="shared" si="214"/>
        <v>1</v>
      </c>
      <c r="M113" s="885">
        <f t="shared" si="215"/>
        <v>0.04347826087</v>
      </c>
      <c r="N113" s="886">
        <f>IF(B113="","",IF(OR(SK!E188="",SK!E188=0),"",SK!H188))</f>
        <v>2</v>
      </c>
      <c r="O113" s="884">
        <f>IF($B113="","",SUMPRODUCT(--(Lineups!C$46:C$83=$B113)))</f>
        <v>6</v>
      </c>
      <c r="P113" s="885">
        <f t="shared" si="216"/>
        <v>0.2608695652</v>
      </c>
      <c r="Q113" s="884">
        <f t="shared" si="217"/>
        <v>7</v>
      </c>
      <c r="R113" s="885">
        <f t="shared" si="218"/>
        <v>0.3043478261</v>
      </c>
      <c r="S113" s="43"/>
      <c r="T113" s="882">
        <f t="shared" si="219"/>
        <v>6</v>
      </c>
      <c r="U113" s="883" t="str">
        <f t="shared" ref="U113:V113" si="236">U14</f>
        <v>150</v>
      </c>
      <c r="V113" s="883" t="str">
        <f t="shared" si="236"/>
        <v>Cooney</v>
      </c>
      <c r="W113" s="884">
        <f>IF($U113="","",SUMPRODUCT(--(Lineups!AG$46:AG$83=$U113),--(Lineups!AB$46:AB$83="")))</f>
        <v>0</v>
      </c>
      <c r="X113" s="885">
        <f t="shared" si="221"/>
        <v>0</v>
      </c>
      <c r="Y113" s="880">
        <f>IF($U113="","",SUMPRODUCT(--(Lineups!AG$46:AG$83=$U113),--(Lineups!AB$46:AB$83="X")))</f>
        <v>0</v>
      </c>
      <c r="Z113" s="880">
        <f>IF($U113="","",SUMPRODUCT(--(Lineups!AK$46:AK$83=$U113),--(Lineups!AA$46:AA$83&lt;&gt;"SP")))</f>
        <v>3</v>
      </c>
      <c r="AA113" s="880">
        <f>IF($U113="","",SUMPRODUCT(--(Lineups!AO$46:AO$83=$U113),--(Lineups!AA$46:AA$83&lt;&gt;"SP")))</f>
        <v>2</v>
      </c>
      <c r="AB113" s="880">
        <f>IF($U113="","",SUMPRODUCT(--(Lineups!AS$46:AS$83=$U113),--(Lineups!AA$46:AA$83&lt;&gt;"SP")))</f>
        <v>1</v>
      </c>
      <c r="AC113" s="884">
        <f t="shared" si="222"/>
        <v>6</v>
      </c>
      <c r="AD113" s="885">
        <f t="shared" si="223"/>
        <v>0.2608695652</v>
      </c>
      <c r="AE113" s="884">
        <f t="shared" si="224"/>
        <v>6</v>
      </c>
      <c r="AF113" s="885">
        <f t="shared" si="225"/>
        <v>0.2608695652</v>
      </c>
      <c r="AG113" s="886" t="str">
        <f>IF(U113="","",IF(OR(SK!U188="",SK!U188=0),"",SK!X188))</f>
        <v/>
      </c>
      <c r="AH113" s="884">
        <f>IF($U113="","",SUMPRODUCT(--(Lineups!AC$46:AC$83=$U113)))</f>
        <v>0</v>
      </c>
      <c r="AI113" s="885">
        <f t="shared" si="226"/>
        <v>0</v>
      </c>
      <c r="AJ113" s="884">
        <f t="shared" si="227"/>
        <v>6</v>
      </c>
      <c r="AK113" s="885">
        <f t="shared" si="228"/>
        <v>0.2608695652</v>
      </c>
    </row>
    <row r="114" ht="12.75" customHeight="1">
      <c r="A114" s="5">
        <f t="shared" si="209"/>
        <v>7</v>
      </c>
      <c r="B114" s="878" t="str">
        <f t="shared" ref="B114:C114" si="237">B15</f>
        <v>220</v>
      </c>
      <c r="C114" s="878" t="str">
        <f t="shared" si="237"/>
        <v>Cerosene</v>
      </c>
      <c r="D114" s="43">
        <f>IF($B114="","",SUMPRODUCT(--(Lineups!G$46:G$83=$B114),--(Lineups!B$46:B$83="")))</f>
        <v>0</v>
      </c>
      <c r="E114" s="879">
        <f t="shared" si="211"/>
        <v>0</v>
      </c>
      <c r="F114" s="880">
        <f>IF($B114="","",SUMPRODUCT(--(Lineups!G$46:G$83=$B114),--(Lineups!B$46:B$83="X")))</f>
        <v>0</v>
      </c>
      <c r="G114" s="880">
        <f>IF($B114="","",SUMPRODUCT(--(Lineups!K$46:K$83=$B114),--(Lineups!A$46:A$83&lt;&gt;"SP")))</f>
        <v>1</v>
      </c>
      <c r="H114" s="880">
        <f>IF($B114="","",SUMPRODUCT(--(Lineups!O$46:O$83=$B114),--(Lineups!A$46:A$83&lt;&gt;"SP")))</f>
        <v>5</v>
      </c>
      <c r="I114" s="880">
        <f>IF($B114="","",SUMPRODUCT(--(Lineups!S$46:S$83=$B114),--(Lineups!A$46:A$83&lt;&gt;"SP")))</f>
        <v>5</v>
      </c>
      <c r="J114" s="43">
        <f t="shared" si="212"/>
        <v>11</v>
      </c>
      <c r="K114" s="879">
        <f t="shared" si="213"/>
        <v>0.4782608696</v>
      </c>
      <c r="L114" s="43">
        <f t="shared" si="214"/>
        <v>11</v>
      </c>
      <c r="M114" s="879">
        <f t="shared" si="215"/>
        <v>0.4782608696</v>
      </c>
      <c r="N114" s="881" t="str">
        <f>IF(B114="","",IF(OR(SK!E191="",SK!E191=0),"",SK!H191))</f>
        <v/>
      </c>
      <c r="O114" s="43">
        <f>IF($B114="","",SUMPRODUCT(--(Lineups!C$46:C$83=$B114)))</f>
        <v>0</v>
      </c>
      <c r="P114" s="879">
        <f t="shared" si="216"/>
        <v>0</v>
      </c>
      <c r="Q114" s="43">
        <f t="shared" si="217"/>
        <v>11</v>
      </c>
      <c r="R114" s="879">
        <f t="shared" si="218"/>
        <v>0.4782608696</v>
      </c>
      <c r="S114" s="43"/>
      <c r="T114" s="5">
        <f t="shared" si="219"/>
        <v>7</v>
      </c>
      <c r="U114" s="878" t="str">
        <f t="shared" ref="U114:V114" si="238">U15</f>
        <v>16</v>
      </c>
      <c r="V114" s="878" t="str">
        <f t="shared" si="238"/>
        <v>Jemerald</v>
      </c>
      <c r="W114" s="43">
        <f>IF($U114="","",SUMPRODUCT(--(Lineups!AG$46:AG$83=$U114),--(Lineups!AB$46:AB$83="")))</f>
        <v>0</v>
      </c>
      <c r="X114" s="879">
        <f t="shared" si="221"/>
        <v>0</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0</v>
      </c>
      <c r="AF114" s="879">
        <f t="shared" si="225"/>
        <v>0</v>
      </c>
      <c r="AG114" s="881">
        <f>IF(U114="","",IF(OR(SK!U191="",SK!U191=0),"",SK!X191))</f>
        <v>7</v>
      </c>
      <c r="AH114" s="43">
        <f>IF($U114="","",SUMPRODUCT(--(Lineups!AC$46:AC$83=$U114)))</f>
        <v>8</v>
      </c>
      <c r="AI114" s="879">
        <f t="shared" si="226"/>
        <v>0.347826087</v>
      </c>
      <c r="AJ114" s="43">
        <f t="shared" si="227"/>
        <v>8</v>
      </c>
      <c r="AK114" s="879">
        <f t="shared" si="228"/>
        <v>0.347826087</v>
      </c>
    </row>
    <row r="115" ht="12.75" customHeight="1">
      <c r="A115" s="882">
        <f t="shared" si="209"/>
        <v>8</v>
      </c>
      <c r="B115" s="883" t="str">
        <f t="shared" ref="B115:C115" si="239">B16</f>
        <v>3556</v>
      </c>
      <c r="C115" s="883" t="str">
        <f t="shared" si="239"/>
        <v>Crystal Beth</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t="str">
        <f>IF(B115="","",IF(OR(SK!E194="",SK!E194=0),"",SK!H194))</f>
        <v/>
      </c>
      <c r="O115" s="884">
        <f>IF($B115="","",SUMPRODUCT(--(Lineups!C$46:C$83=$B115)))</f>
        <v>0</v>
      </c>
      <c r="P115" s="885">
        <f t="shared" si="216"/>
        <v>0</v>
      </c>
      <c r="Q115" s="884">
        <f t="shared" si="217"/>
        <v>0</v>
      </c>
      <c r="R115" s="885">
        <f t="shared" si="218"/>
        <v>0</v>
      </c>
      <c r="S115" s="43"/>
      <c r="T115" s="882">
        <f t="shared" si="219"/>
        <v>8</v>
      </c>
      <c r="U115" s="883" t="str">
        <f t="shared" ref="U115:V115" si="240">U16</f>
        <v>3110</v>
      </c>
      <c r="V115" s="883" t="str">
        <f t="shared" si="240"/>
        <v>Grand DAM</v>
      </c>
      <c r="W115" s="884">
        <f>IF($U115="","",SUMPRODUCT(--(Lineups!AG$46:AG$83=$U115),--(Lineups!AB$46:AB$83="")))</f>
        <v>0</v>
      </c>
      <c r="X115" s="885">
        <f t="shared" si="221"/>
        <v>0</v>
      </c>
      <c r="Y115" s="880">
        <f>IF($U115="","",SUMPRODUCT(--(Lineups!AG$46:AG$83=$U115),--(Lineups!AB$46:AB$83="X")))</f>
        <v>0</v>
      </c>
      <c r="Z115" s="880">
        <f>IF($U115="","",SUMPRODUCT(--(Lineups!AK$46:AK$83=$U115),--(Lineups!AA$46:AA$83&lt;&gt;"SP")))</f>
        <v>2</v>
      </c>
      <c r="AA115" s="880">
        <f>IF($U115="","",SUMPRODUCT(--(Lineups!AO$46:AO$83=$U115),--(Lineups!AA$46:AA$83&lt;&gt;"SP")))</f>
        <v>7</v>
      </c>
      <c r="AB115" s="880">
        <f>IF($U115="","",SUMPRODUCT(--(Lineups!AS$46:AS$83=$U115),--(Lineups!AA$46:AA$83&lt;&gt;"SP")))</f>
        <v>1</v>
      </c>
      <c r="AC115" s="884">
        <f t="shared" si="222"/>
        <v>10</v>
      </c>
      <c r="AD115" s="885">
        <f t="shared" si="223"/>
        <v>0.4347826087</v>
      </c>
      <c r="AE115" s="884">
        <f t="shared" si="224"/>
        <v>10</v>
      </c>
      <c r="AF115" s="885">
        <f t="shared" si="225"/>
        <v>0.4347826087</v>
      </c>
      <c r="AG115" s="886" t="str">
        <f>IF(U115="","",IF(OR(SK!U194="",SK!U194=0),"",SK!X194))</f>
        <v/>
      </c>
      <c r="AH115" s="884">
        <f>IF($U115="","",SUMPRODUCT(--(Lineups!AC$46:AC$83=$U115)))</f>
        <v>0</v>
      </c>
      <c r="AI115" s="885">
        <f t="shared" si="226"/>
        <v>0</v>
      </c>
      <c r="AJ115" s="884">
        <f t="shared" si="227"/>
        <v>10</v>
      </c>
      <c r="AK115" s="885">
        <f t="shared" si="228"/>
        <v>0.4347826087</v>
      </c>
    </row>
    <row r="116" ht="12.75" customHeight="1">
      <c r="A116" s="5">
        <f t="shared" si="209"/>
        <v>9</v>
      </c>
      <c r="B116" s="878" t="str">
        <f t="shared" ref="B116:C116" si="241">B17</f>
        <v>360</v>
      </c>
      <c r="C116" s="878" t="str">
        <f t="shared" si="241"/>
        <v>Baxter</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0</v>
      </c>
      <c r="I116" s="880">
        <f>IF($B116="","",SUMPRODUCT(--(Lineups!S$46:S$83=$B116),--(Lineups!A$46:A$83&lt;&gt;"SP")))</f>
        <v>0</v>
      </c>
      <c r="J116" s="43">
        <f t="shared" si="212"/>
        <v>0</v>
      </c>
      <c r="K116" s="879">
        <f t="shared" si="213"/>
        <v>0</v>
      </c>
      <c r="L116" s="43">
        <f t="shared" si="214"/>
        <v>0</v>
      </c>
      <c r="M116" s="879">
        <f t="shared" si="215"/>
        <v>0</v>
      </c>
      <c r="N116" s="881" t="str">
        <f>IF(B116="","",IF(OR(SK!E197="",SK!E197=0),"",SK!H197))</f>
        <v/>
      </c>
      <c r="O116" s="43">
        <f>IF($B116="","",SUMPRODUCT(--(Lineups!C$46:C$83=$B116)))</f>
        <v>0</v>
      </c>
      <c r="P116" s="879">
        <f t="shared" si="216"/>
        <v>0</v>
      </c>
      <c r="Q116" s="43">
        <f t="shared" si="217"/>
        <v>0</v>
      </c>
      <c r="R116" s="879">
        <f t="shared" si="218"/>
        <v>0</v>
      </c>
      <c r="S116" s="43"/>
      <c r="T116" s="5">
        <f t="shared" si="219"/>
        <v>9</v>
      </c>
      <c r="U116" s="878" t="str">
        <f t="shared" ref="U116:V116" si="242">U17</f>
        <v>333</v>
      </c>
      <c r="V116" s="878" t="str">
        <f t="shared" si="242"/>
        <v>Yonic Cyclonic</v>
      </c>
      <c r="W116" s="43">
        <f>IF($U116="","",SUMPRODUCT(--(Lineups!AG$46:AG$83=$U116),--(Lineups!AB$46:AB$83="")))</f>
        <v>0</v>
      </c>
      <c r="X116" s="879">
        <f t="shared" si="221"/>
        <v>0</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0</v>
      </c>
      <c r="AC116" s="43">
        <f t="shared" si="222"/>
        <v>0</v>
      </c>
      <c r="AD116" s="879">
        <f t="shared" si="223"/>
        <v>0</v>
      </c>
      <c r="AE116" s="43">
        <f t="shared" si="224"/>
        <v>0</v>
      </c>
      <c r="AF116" s="879">
        <f t="shared" si="225"/>
        <v>0</v>
      </c>
      <c r="AG116" s="881" t="str">
        <f>IF(U116="","",IF(OR(SK!U197="",SK!U197=0),"",SK!X197))</f>
        <v/>
      </c>
      <c r="AH116" s="43">
        <f>IF($U116="","",SUMPRODUCT(--(Lineups!AC$46:AC$83=$U116)))</f>
        <v>0</v>
      </c>
      <c r="AI116" s="879">
        <f t="shared" si="226"/>
        <v>0</v>
      </c>
      <c r="AJ116" s="43">
        <f t="shared" si="227"/>
        <v>0</v>
      </c>
      <c r="AK116" s="879">
        <f t="shared" si="228"/>
        <v>0</v>
      </c>
    </row>
    <row r="117" ht="12.75" customHeight="1">
      <c r="A117" s="882">
        <f t="shared" si="209"/>
        <v>10</v>
      </c>
      <c r="B117" s="883" t="str">
        <f t="shared" ref="B117:C117" si="243">B18</f>
        <v>40</v>
      </c>
      <c r="C117" s="883" t="str">
        <f t="shared" si="243"/>
        <v>Kid</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0</v>
      </c>
      <c r="J117" s="884">
        <f t="shared" si="212"/>
        <v>0</v>
      </c>
      <c r="K117" s="885">
        <f t="shared" si="213"/>
        <v>0</v>
      </c>
      <c r="L117" s="884">
        <f t="shared" si="214"/>
        <v>0</v>
      </c>
      <c r="M117" s="885">
        <f t="shared" si="215"/>
        <v>0</v>
      </c>
      <c r="N117" s="886" t="str">
        <f>IF(B117="","",IF(OR(SK!E200="",SK!E200=0),"",SK!H200))</f>
        <v/>
      </c>
      <c r="O117" s="884">
        <f>IF($B117="","",SUMPRODUCT(--(Lineups!C$46:C$83=$B117)))</f>
        <v>0</v>
      </c>
      <c r="P117" s="885">
        <f t="shared" si="216"/>
        <v>0</v>
      </c>
      <c r="Q117" s="884">
        <f t="shared" si="217"/>
        <v>0</v>
      </c>
      <c r="R117" s="885">
        <f t="shared" si="218"/>
        <v>0</v>
      </c>
      <c r="S117" s="43"/>
      <c r="T117" s="882">
        <f t="shared" si="219"/>
        <v>10</v>
      </c>
      <c r="U117" s="883" t="str">
        <f t="shared" ref="U117:V117" si="244">U18</f>
        <v>4</v>
      </c>
      <c r="V117" s="883" t="str">
        <f t="shared" si="244"/>
        <v>Stabba</v>
      </c>
      <c r="W117" s="884">
        <f>IF($U117="","",SUMPRODUCT(--(Lineups!AG$46:AG$83=$U117),--(Lineups!AB$46:AB$83="")))</f>
        <v>0</v>
      </c>
      <c r="X117" s="885">
        <f t="shared" si="221"/>
        <v>0</v>
      </c>
      <c r="Y117" s="880">
        <f>IF($U117="","",SUMPRODUCT(--(Lineups!AG$46:AG$83=$U117),--(Lineups!AB$46:AB$83="X")))</f>
        <v>0</v>
      </c>
      <c r="Z117" s="880">
        <f>IF($U117="","",SUMPRODUCT(--(Lineups!AK$46:AK$83=$U117),--(Lineups!AA$46:AA$83&lt;&gt;"SP")))</f>
        <v>1</v>
      </c>
      <c r="AA117" s="880">
        <f>IF($U117="","",SUMPRODUCT(--(Lineups!AO$46:AO$83=$U117),--(Lineups!AA$46:AA$83&lt;&gt;"SP")))</f>
        <v>2</v>
      </c>
      <c r="AB117" s="880">
        <f>IF($U117="","",SUMPRODUCT(--(Lineups!AS$46:AS$83=$U117),--(Lineups!AA$46:AA$83&lt;&gt;"SP")))</f>
        <v>3</v>
      </c>
      <c r="AC117" s="884">
        <f t="shared" si="222"/>
        <v>6</v>
      </c>
      <c r="AD117" s="885">
        <f t="shared" si="223"/>
        <v>0.2608695652</v>
      </c>
      <c r="AE117" s="884">
        <f t="shared" si="224"/>
        <v>6</v>
      </c>
      <c r="AF117" s="885">
        <f t="shared" si="225"/>
        <v>0.2608695652</v>
      </c>
      <c r="AG117" s="886" t="str">
        <f>IF(U117="","",IF(OR(SK!U200="",SK!U200=0),"",SK!X200))</f>
        <v/>
      </c>
      <c r="AH117" s="884">
        <f>IF($U117="","",SUMPRODUCT(--(Lineups!AC$46:AC$83=$U117)))</f>
        <v>0</v>
      </c>
      <c r="AI117" s="885">
        <f t="shared" si="226"/>
        <v>0</v>
      </c>
      <c r="AJ117" s="884">
        <f t="shared" si="227"/>
        <v>6</v>
      </c>
      <c r="AK117" s="885">
        <f t="shared" si="228"/>
        <v>0.2608695652</v>
      </c>
    </row>
    <row r="118" ht="12.75" customHeight="1">
      <c r="A118" s="5">
        <f t="shared" si="209"/>
        <v>11</v>
      </c>
      <c r="B118" s="878" t="str">
        <f t="shared" ref="B118:C118" si="245">B19</f>
        <v>42</v>
      </c>
      <c r="C118" s="878" t="str">
        <f t="shared" si="245"/>
        <v>Bosh</v>
      </c>
      <c r="D118" s="43">
        <f>IF($B118="","",SUMPRODUCT(--(Lineups!G$46:G$83=$B118),--(Lineups!B$46:B$83="")))</f>
        <v>8</v>
      </c>
      <c r="E118" s="879">
        <f t="shared" si="211"/>
        <v>0.347826087</v>
      </c>
      <c r="F118" s="880">
        <f>IF($B118="","",SUMPRODUCT(--(Lineups!G$46:G$83=$B118),--(Lineups!B$46:B$83="X")))</f>
        <v>0</v>
      </c>
      <c r="G118" s="880">
        <f>IF($B118="","",SUMPRODUCT(--(Lineups!K$46:K$83=$B118),--(Lineups!A$46:A$83&lt;&gt;"SP")))</f>
        <v>4</v>
      </c>
      <c r="H118" s="880">
        <f>IF($B118="","",SUMPRODUCT(--(Lineups!O$46:O$83=$B118),--(Lineups!A$46:A$83&lt;&gt;"SP")))</f>
        <v>1</v>
      </c>
      <c r="I118" s="880">
        <f>IF($B118="","",SUMPRODUCT(--(Lineups!S$46:S$83=$B118),--(Lineups!A$46:A$83&lt;&gt;"SP")))</f>
        <v>1</v>
      </c>
      <c r="J118" s="43">
        <f t="shared" si="212"/>
        <v>6</v>
      </c>
      <c r="K118" s="879">
        <f t="shared" si="213"/>
        <v>0.2608695652</v>
      </c>
      <c r="L118" s="43">
        <f t="shared" si="214"/>
        <v>14</v>
      </c>
      <c r="M118" s="879">
        <f t="shared" si="215"/>
        <v>0.6086956522</v>
      </c>
      <c r="N118" s="881" t="str">
        <f>IF(B118="","",IF(OR(SK!E203="",SK!E203=0),"",SK!H203))</f>
        <v/>
      </c>
      <c r="O118" s="43">
        <f>IF($B118="","",SUMPRODUCT(--(Lineups!C$46:C$83=$B118)))</f>
        <v>0</v>
      </c>
      <c r="P118" s="879">
        <f t="shared" si="216"/>
        <v>0</v>
      </c>
      <c r="Q118" s="43">
        <f t="shared" si="217"/>
        <v>14</v>
      </c>
      <c r="R118" s="879">
        <f t="shared" si="218"/>
        <v>0.6086956522</v>
      </c>
      <c r="S118" s="43"/>
      <c r="T118" s="5">
        <f t="shared" si="219"/>
        <v>11</v>
      </c>
      <c r="U118" s="878" t="str">
        <f t="shared" ref="U118:V118" si="246">U19</f>
        <v>42</v>
      </c>
      <c r="V118" s="878" t="str">
        <f t="shared" si="246"/>
        <v>Pretty Carless</v>
      </c>
      <c r="W118" s="43">
        <f>IF($U118="","",SUMPRODUCT(--(Lineups!AG$46:AG$83=$U118),--(Lineups!AB$46:AB$83="")))</f>
        <v>6</v>
      </c>
      <c r="X118" s="879">
        <f t="shared" si="221"/>
        <v>0.2608695652</v>
      </c>
      <c r="Y118" s="880">
        <f>IF($U118="","",SUMPRODUCT(--(Lineups!AG$46:AG$83=$U118),--(Lineups!AB$46:AB$83="X")))</f>
        <v>0</v>
      </c>
      <c r="Z118" s="880">
        <f>IF($U118="","",SUMPRODUCT(--(Lineups!AK$46:AK$83=$U118),--(Lineups!AA$46:AA$83&lt;&gt;"SP")))</f>
        <v>1</v>
      </c>
      <c r="AA118" s="880">
        <f>IF($U118="","",SUMPRODUCT(--(Lineups!AO$46:AO$83=$U118),--(Lineups!AA$46:AA$83&lt;&gt;"SP")))</f>
        <v>0</v>
      </c>
      <c r="AB118" s="880">
        <f>IF($U118="","",SUMPRODUCT(--(Lineups!AS$46:AS$83=$U118),--(Lineups!AA$46:AA$83&lt;&gt;"SP")))</f>
        <v>1</v>
      </c>
      <c r="AC118" s="43">
        <f t="shared" si="222"/>
        <v>2</v>
      </c>
      <c r="AD118" s="879">
        <f t="shared" si="223"/>
        <v>0.08695652174</v>
      </c>
      <c r="AE118" s="43">
        <f t="shared" si="224"/>
        <v>8</v>
      </c>
      <c r="AF118" s="879">
        <f t="shared" si="225"/>
        <v>0.347826087</v>
      </c>
      <c r="AG118" s="881" t="str">
        <f>IF(U118="","",IF(OR(SK!U203="",SK!U203=0),"",SK!X203))</f>
        <v/>
      </c>
      <c r="AH118" s="43">
        <f>IF($U118="","",SUMPRODUCT(--(Lineups!AC$46:AC$83=$U118)))</f>
        <v>0</v>
      </c>
      <c r="AI118" s="879">
        <f t="shared" si="226"/>
        <v>0</v>
      </c>
      <c r="AJ118" s="43">
        <f t="shared" si="227"/>
        <v>8</v>
      </c>
      <c r="AK118" s="879">
        <f t="shared" si="228"/>
        <v>0.347826087</v>
      </c>
    </row>
    <row r="119" ht="12.75" customHeight="1">
      <c r="A119" s="882">
        <f t="shared" si="209"/>
        <v>12</v>
      </c>
      <c r="B119" s="883" t="str">
        <f t="shared" ref="B119:C119" si="247">B20</f>
        <v>44</v>
      </c>
      <c r="C119" s="883" t="str">
        <f t="shared" si="247"/>
        <v>Esparcieux</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0</v>
      </c>
      <c r="M119" s="885">
        <f t="shared" si="215"/>
        <v>0</v>
      </c>
      <c r="N119" s="886" t="str">
        <f>IF(B119="","",IF(OR(SK!E206="",SK!E206=0),"",SK!H206))</f>
        <v/>
      </c>
      <c r="O119" s="884">
        <f>IF($B119="","",SUMPRODUCT(--(Lineups!C$46:C$83=$B119)))</f>
        <v>0</v>
      </c>
      <c r="P119" s="885">
        <f t="shared" si="216"/>
        <v>0</v>
      </c>
      <c r="Q119" s="884">
        <f t="shared" si="217"/>
        <v>0</v>
      </c>
      <c r="R119" s="885">
        <f t="shared" si="218"/>
        <v>0</v>
      </c>
      <c r="S119" s="43"/>
      <c r="T119" s="882">
        <f t="shared" si="219"/>
        <v>12</v>
      </c>
      <c r="U119" s="883" t="str">
        <f t="shared" ref="U119:V119" si="248">U20</f>
        <v>48</v>
      </c>
      <c r="V119" s="883" t="str">
        <f t="shared" si="248"/>
        <v>Tini from the Bloc</v>
      </c>
      <c r="W119" s="884">
        <f>IF($U119="","",SUMPRODUCT(--(Lineups!AG$46:AG$83=$U119),--(Lineups!AB$46:AB$83="")))</f>
        <v>0</v>
      </c>
      <c r="X119" s="885">
        <f t="shared" si="221"/>
        <v>0</v>
      </c>
      <c r="Y119" s="880">
        <f>IF($U119="","",SUMPRODUCT(--(Lineups!AG$46:AG$83=$U119),--(Lineups!AB$46:AB$83="X")))</f>
        <v>0</v>
      </c>
      <c r="Z119" s="880">
        <f>IF($U119="","",SUMPRODUCT(--(Lineups!AK$46:AK$83=$U119),--(Lineups!AA$46:AA$83&lt;&gt;"SP")))</f>
        <v>3</v>
      </c>
      <c r="AA119" s="880">
        <f>IF($U119="","",SUMPRODUCT(--(Lineups!AO$46:AO$83=$U119),--(Lineups!AA$46:AA$83&lt;&gt;"SP")))</f>
        <v>2</v>
      </c>
      <c r="AB119" s="880">
        <f>IF($U119="","",SUMPRODUCT(--(Lineups!AS$46:AS$83=$U119),--(Lineups!AA$46:AA$83&lt;&gt;"SP")))</f>
        <v>2</v>
      </c>
      <c r="AC119" s="884">
        <f t="shared" si="222"/>
        <v>7</v>
      </c>
      <c r="AD119" s="885">
        <f t="shared" si="223"/>
        <v>0.3043478261</v>
      </c>
      <c r="AE119" s="884">
        <f t="shared" si="224"/>
        <v>7</v>
      </c>
      <c r="AF119" s="885">
        <f t="shared" si="225"/>
        <v>0.3043478261</v>
      </c>
      <c r="AG119" s="886" t="str">
        <f>IF(U119="","",IF(OR(SK!U206="",SK!U206=0),"",SK!X206))</f>
        <v/>
      </c>
      <c r="AH119" s="884">
        <f>IF($U119="","",SUMPRODUCT(--(Lineups!AC$46:AC$83=$U119)))</f>
        <v>0</v>
      </c>
      <c r="AI119" s="885">
        <f t="shared" si="226"/>
        <v>0</v>
      </c>
      <c r="AJ119" s="884">
        <f t="shared" si="227"/>
        <v>7</v>
      </c>
      <c r="AK119" s="885">
        <f t="shared" si="228"/>
        <v>0.3043478261</v>
      </c>
    </row>
    <row r="120" ht="12.75" customHeight="1">
      <c r="A120" s="5">
        <f t="shared" si="209"/>
        <v>13</v>
      </c>
      <c r="B120" s="878" t="str">
        <f t="shared" ref="B120:C120" si="249">B21</f>
        <v>45</v>
      </c>
      <c r="C120" s="878" t="str">
        <f t="shared" si="249"/>
        <v>Hawk</v>
      </c>
      <c r="D120" s="43">
        <f>IF($B120="","",SUMPRODUCT(--(Lineups!G$46:G$83=$B120),--(Lineups!B$46:B$83="")))</f>
        <v>0</v>
      </c>
      <c r="E120" s="879">
        <f t="shared" si="211"/>
        <v>0</v>
      </c>
      <c r="F120" s="880">
        <f>IF($B120="","",SUMPRODUCT(--(Lineups!G$46:G$83=$B120),--(Lineups!B$46:B$83="X")))</f>
        <v>1</v>
      </c>
      <c r="G120" s="880">
        <f>IF($B120="","",SUMPRODUCT(--(Lineups!K$46:K$83=$B120),--(Lineups!A$46:A$83&lt;&gt;"SP")))</f>
        <v>0</v>
      </c>
      <c r="H120" s="880">
        <f>IF($B120="","",SUMPRODUCT(--(Lineups!O$46:O$83=$B120),--(Lineups!A$46:A$83&lt;&gt;"SP")))</f>
        <v>0</v>
      </c>
      <c r="I120" s="880">
        <f>IF($B120="","",SUMPRODUCT(--(Lineups!S$46:S$83=$B120),--(Lineups!A$46:A$83&lt;&gt;"SP")))</f>
        <v>0</v>
      </c>
      <c r="J120" s="43">
        <f t="shared" si="212"/>
        <v>1</v>
      </c>
      <c r="K120" s="879">
        <f t="shared" si="213"/>
        <v>0.04347826087</v>
      </c>
      <c r="L120" s="43">
        <f t="shared" si="214"/>
        <v>1</v>
      </c>
      <c r="M120" s="879">
        <f t="shared" si="215"/>
        <v>0.04347826087</v>
      </c>
      <c r="N120" s="881">
        <f>IF(B120="","",IF(OR(SK!E209="",SK!E209=0),"",SK!H209))</f>
        <v>1</v>
      </c>
      <c r="O120" s="43">
        <f>IF($B120="","",SUMPRODUCT(--(Lineups!C$46:C$83=$B120)))</f>
        <v>6</v>
      </c>
      <c r="P120" s="879">
        <f t="shared" si="216"/>
        <v>0.2608695652</v>
      </c>
      <c r="Q120" s="43">
        <f t="shared" si="217"/>
        <v>7</v>
      </c>
      <c r="R120" s="879">
        <f t="shared" si="218"/>
        <v>0.3043478261</v>
      </c>
      <c r="S120" s="43"/>
      <c r="T120" s="5">
        <f t="shared" si="219"/>
        <v>13</v>
      </c>
      <c r="U120" s="878" t="str">
        <f t="shared" ref="U120:V120" si="250">U21</f>
        <v>167</v>
      </c>
      <c r="V120" s="878" t="str">
        <f t="shared" si="250"/>
        <v>Rile E Coyote</v>
      </c>
      <c r="W120" s="43">
        <f>IF($U120="","",SUMPRODUCT(--(Lineups!AG$46:AG$83=$U120),--(Lineups!AB$46:AB$83="")))</f>
        <v>0</v>
      </c>
      <c r="X120" s="879">
        <f t="shared" si="221"/>
        <v>0</v>
      </c>
      <c r="Y120" s="880">
        <f>IF($U120="","",SUMPRODUCT(--(Lineups!AG$46:AG$83=$U120),--(Lineups!AB$46:AB$83="X")))</f>
        <v>0</v>
      </c>
      <c r="Z120" s="880">
        <f>IF($U120="","",SUMPRODUCT(--(Lineups!AK$46:AK$83=$U120),--(Lineups!AA$46:AA$83&lt;&gt;"SP")))</f>
        <v>5</v>
      </c>
      <c r="AA120" s="880">
        <f>IF($U120="","",SUMPRODUCT(--(Lineups!AO$46:AO$83=$U120),--(Lineups!AA$46:AA$83&lt;&gt;"SP")))</f>
        <v>2</v>
      </c>
      <c r="AB120" s="880">
        <f>IF($U120="","",SUMPRODUCT(--(Lineups!AS$46:AS$83=$U120),--(Lineups!AA$46:AA$83&lt;&gt;"SP")))</f>
        <v>2</v>
      </c>
      <c r="AC120" s="43">
        <f t="shared" si="222"/>
        <v>9</v>
      </c>
      <c r="AD120" s="879">
        <f t="shared" si="223"/>
        <v>0.3913043478</v>
      </c>
      <c r="AE120" s="43">
        <f t="shared" si="224"/>
        <v>9</v>
      </c>
      <c r="AF120" s="879">
        <f t="shared" si="225"/>
        <v>0.3913043478</v>
      </c>
      <c r="AG120" s="881" t="str">
        <f>IF(U120="","",IF(OR(SK!U209="",SK!U209=0),"",SK!X209))</f>
        <v/>
      </c>
      <c r="AH120" s="43">
        <f>IF($U120="","",SUMPRODUCT(--(Lineups!AC$46:AC$83=$U120)))</f>
        <v>0</v>
      </c>
      <c r="AI120" s="879">
        <f t="shared" si="226"/>
        <v>0</v>
      </c>
      <c r="AJ120" s="43">
        <f t="shared" si="227"/>
        <v>9</v>
      </c>
      <c r="AK120" s="879">
        <f t="shared" si="228"/>
        <v>0.3913043478</v>
      </c>
    </row>
    <row r="121" ht="12.75" customHeight="1">
      <c r="A121" s="882">
        <f t="shared" si="209"/>
        <v>14</v>
      </c>
      <c r="B121" s="883" t="str">
        <f t="shared" ref="B121:C121" si="251">B22</f>
        <v>48</v>
      </c>
      <c r="C121" s="883" t="str">
        <f t="shared" si="251"/>
        <v>Ward</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3</v>
      </c>
      <c r="I121" s="880">
        <f>IF($B121="","",SUMPRODUCT(--(Lineups!S$46:S$83=$B121),--(Lineups!A$46:A$83&lt;&gt;"SP")))</f>
        <v>5</v>
      </c>
      <c r="J121" s="884">
        <f t="shared" si="212"/>
        <v>8</v>
      </c>
      <c r="K121" s="885">
        <f t="shared" si="213"/>
        <v>0.347826087</v>
      </c>
      <c r="L121" s="884">
        <f t="shared" si="214"/>
        <v>8</v>
      </c>
      <c r="M121" s="885">
        <f t="shared" si="215"/>
        <v>0.347826087</v>
      </c>
      <c r="N121" s="886" t="str">
        <f>IF(B121="","",IF(OR(SK!E212="",SK!E212=0),"",SK!H212))</f>
        <v/>
      </c>
      <c r="O121" s="884">
        <f>IF($B121="","",SUMPRODUCT(--(Lineups!C$46:C$83=$B121)))</f>
        <v>0</v>
      </c>
      <c r="P121" s="885">
        <f t="shared" si="216"/>
        <v>0</v>
      </c>
      <c r="Q121" s="884">
        <f t="shared" si="217"/>
        <v>8</v>
      </c>
      <c r="R121" s="885">
        <f t="shared" si="218"/>
        <v>0.347826087</v>
      </c>
      <c r="S121" s="43"/>
      <c r="T121" s="882">
        <f t="shared" si="219"/>
        <v>14</v>
      </c>
      <c r="U121" s="883" t="str">
        <f t="shared" ref="U121:V121" si="252">U22</f>
        <v>602</v>
      </c>
      <c r="V121" s="883" t="str">
        <f t="shared" si="252"/>
        <v>Fearidum</v>
      </c>
      <c r="W121" s="884">
        <f>IF($U121="","",SUMPRODUCT(--(Lineups!AG$46:AG$83=$U121),--(Lineups!AB$46:AB$83="")))</f>
        <v>0</v>
      </c>
      <c r="X121" s="885">
        <f t="shared" si="221"/>
        <v>0</v>
      </c>
      <c r="Y121" s="880">
        <f>IF($U121="","",SUMPRODUCT(--(Lineups!AG$46:AG$83=$U121),--(Lineups!AB$46:AB$83="X")))</f>
        <v>0</v>
      </c>
      <c r="Z121" s="880">
        <f>IF($U121="","",SUMPRODUCT(--(Lineups!AK$46:AK$83=$U121),--(Lineups!AA$46:AA$83&lt;&gt;"SP")))</f>
        <v>1</v>
      </c>
      <c r="AA121" s="880">
        <f>IF($U121="","",SUMPRODUCT(--(Lineups!AO$46:AO$83=$U121),--(Lineups!AA$46:AA$83&lt;&gt;"SP")))</f>
        <v>2</v>
      </c>
      <c r="AB121" s="880">
        <f>IF($U121="","",SUMPRODUCT(--(Lineups!AS$46:AS$83=$U121),--(Lineups!AA$46:AA$83&lt;&gt;"SP")))</f>
        <v>3</v>
      </c>
      <c r="AC121" s="884">
        <f t="shared" si="222"/>
        <v>6</v>
      </c>
      <c r="AD121" s="885">
        <f t="shared" si="223"/>
        <v>0.2608695652</v>
      </c>
      <c r="AE121" s="884">
        <f t="shared" si="224"/>
        <v>6</v>
      </c>
      <c r="AF121" s="885">
        <f t="shared" si="225"/>
        <v>0.2608695652</v>
      </c>
      <c r="AG121" s="886" t="str">
        <f>IF(U121="","",IF(OR(SK!U212="",SK!U212=0),"",SK!X212))</f>
        <v/>
      </c>
      <c r="AH121" s="884">
        <f>IF($U121="","",SUMPRODUCT(--(Lineups!AC$46:AC$83=$U121)))</f>
        <v>0</v>
      </c>
      <c r="AI121" s="885">
        <f t="shared" si="226"/>
        <v>0</v>
      </c>
      <c r="AJ121" s="884">
        <f t="shared" si="227"/>
        <v>6</v>
      </c>
      <c r="AK121" s="885">
        <f t="shared" si="228"/>
        <v>0.2608695652</v>
      </c>
    </row>
    <row r="122" ht="12.75" customHeight="1">
      <c r="A122" s="5">
        <f t="shared" si="209"/>
        <v>15</v>
      </c>
      <c r="B122" s="878" t="str">
        <f t="shared" ref="B122:C122" si="253">B23</f>
        <v>565</v>
      </c>
      <c r="C122" s="878" t="str">
        <f t="shared" si="253"/>
        <v>Melyn</v>
      </c>
      <c r="D122" s="43">
        <f>IF($B122="","",SUMPRODUCT(--(Lineups!G$46:G$83=$B122),--(Lineups!B$46:B$83="")))</f>
        <v>0</v>
      </c>
      <c r="E122" s="879">
        <f t="shared" si="211"/>
        <v>0</v>
      </c>
      <c r="F122" s="880">
        <f>IF($B122="","",SUMPRODUCT(--(Lineups!G$46:G$83=$B122),--(Lineups!B$46:B$83="X")))</f>
        <v>0</v>
      </c>
      <c r="G122" s="880">
        <f>IF($B122="","",SUMPRODUCT(--(Lineups!K$46:K$83=$B122),--(Lineups!A$46:A$83&lt;&gt;"SP")))</f>
        <v>3</v>
      </c>
      <c r="H122" s="880">
        <f>IF($B122="","",SUMPRODUCT(--(Lineups!O$46:O$83=$B122),--(Lineups!A$46:A$83&lt;&gt;"SP")))</f>
        <v>3</v>
      </c>
      <c r="I122" s="880">
        <f>IF($B122="","",SUMPRODUCT(--(Lineups!S$46:S$83=$B122),--(Lineups!A$46:A$83&lt;&gt;"SP")))</f>
        <v>0</v>
      </c>
      <c r="J122" s="43">
        <f t="shared" si="212"/>
        <v>6</v>
      </c>
      <c r="K122" s="879">
        <f t="shared" si="213"/>
        <v>0.2608695652</v>
      </c>
      <c r="L122" s="43">
        <f t="shared" si="214"/>
        <v>6</v>
      </c>
      <c r="M122" s="879">
        <f t="shared" si="215"/>
        <v>0.2608695652</v>
      </c>
      <c r="N122" s="881" t="str">
        <f>IF(B122="","",IF(OR(SK!E215="",SK!E215=0),"",SK!H215))</f>
        <v/>
      </c>
      <c r="O122" s="43">
        <f>IF($B122="","",SUMPRODUCT(--(Lineups!C$46:C$83=$B122)))</f>
        <v>0</v>
      </c>
      <c r="P122" s="879">
        <f t="shared" si="216"/>
        <v>0</v>
      </c>
      <c r="Q122" s="43">
        <f t="shared" si="217"/>
        <v>6</v>
      </c>
      <c r="R122" s="879">
        <f t="shared" si="218"/>
        <v>0.2608695652</v>
      </c>
      <c r="S122" s="43"/>
      <c r="T122" s="5">
        <f t="shared" si="219"/>
        <v>15</v>
      </c>
      <c r="U122" s="878" t="str">
        <f t="shared" ref="U122:V122" si="254">U23</f>
        <v>777</v>
      </c>
      <c r="V122" s="878" t="str">
        <f t="shared" si="254"/>
        <v>Des</v>
      </c>
      <c r="W122" s="43">
        <f>IF($U122="","",SUMPRODUCT(--(Lineups!AG$46:AG$83=$U122),--(Lineups!AB$46:AB$83="")))</f>
        <v>0</v>
      </c>
      <c r="X122" s="879">
        <f t="shared" si="221"/>
        <v>0</v>
      </c>
      <c r="Y122" s="880">
        <f>IF($U122="","",SUMPRODUCT(--(Lineups!AG$46:AG$83=$U122),--(Lineups!AB$46:AB$83="X")))</f>
        <v>0</v>
      </c>
      <c r="Z122" s="880">
        <f>IF($U122="","",SUMPRODUCT(--(Lineups!AK$46:AK$83=$U122),--(Lineups!AA$46:AA$83&lt;&gt;"SP")))</f>
        <v>4</v>
      </c>
      <c r="AA122" s="880">
        <f>IF($U122="","",SUMPRODUCT(--(Lineups!AO$46:AO$83=$U122),--(Lineups!AA$46:AA$83&lt;&gt;"SP")))</f>
        <v>3</v>
      </c>
      <c r="AB122" s="880">
        <f>IF($U122="","",SUMPRODUCT(--(Lineups!AS$46:AS$83=$U122),--(Lineups!AA$46:AA$83&lt;&gt;"SP")))</f>
        <v>1</v>
      </c>
      <c r="AC122" s="43">
        <f t="shared" si="222"/>
        <v>8</v>
      </c>
      <c r="AD122" s="879">
        <f t="shared" si="223"/>
        <v>0.347826087</v>
      </c>
      <c r="AE122" s="43">
        <f t="shared" si="224"/>
        <v>8</v>
      </c>
      <c r="AF122" s="879">
        <f t="shared" si="225"/>
        <v>0.347826087</v>
      </c>
      <c r="AG122" s="881" t="str">
        <f>IF(U122="","",IF(OR(SK!U215="",SK!U215=0),"",SK!X215))</f>
        <v/>
      </c>
      <c r="AH122" s="43">
        <f>IF($U122="","",SUMPRODUCT(--(Lineups!AC$46:AC$83=$U122)))</f>
        <v>0</v>
      </c>
      <c r="AI122" s="879">
        <f t="shared" si="226"/>
        <v>0</v>
      </c>
      <c r="AJ122" s="43">
        <f t="shared" si="227"/>
        <v>8</v>
      </c>
      <c r="AK122" s="879">
        <f t="shared" si="228"/>
        <v>0.347826087</v>
      </c>
    </row>
    <row r="123" ht="12.75" customHeight="1">
      <c r="A123" s="882">
        <f t="shared" si="209"/>
        <v>16</v>
      </c>
      <c r="B123" s="883" t="str">
        <f t="shared" ref="B123:C123" si="255">B24</f>
        <v>50</v>
      </c>
      <c r="C123" s="883" t="str">
        <f t="shared" si="255"/>
        <v>Gray</v>
      </c>
      <c r="D123" s="884">
        <f>IF($B123="","",SUMPRODUCT(--(Lineups!G$46:G$83=$B123),--(Lineups!B$46:B$83="")))</f>
        <v>0</v>
      </c>
      <c r="E123" s="885">
        <f t="shared" si="211"/>
        <v>0</v>
      </c>
      <c r="F123" s="880">
        <f>IF($B123="","",SUMPRODUCT(--(Lineups!G$46:G$83=$B123),--(Lineups!B$46:B$83="X")))</f>
        <v>0</v>
      </c>
      <c r="G123" s="880">
        <f>IF($B123="","",SUMPRODUCT(--(Lineups!K$46:K$83=$B123),--(Lineups!A$46:A$83&lt;&gt;"SP")))</f>
        <v>2</v>
      </c>
      <c r="H123" s="880">
        <f>IF($B123="","",SUMPRODUCT(--(Lineups!O$46:O$83=$B123),--(Lineups!A$46:A$83&lt;&gt;"SP")))</f>
        <v>4</v>
      </c>
      <c r="I123" s="880">
        <f>IF($B123="","",SUMPRODUCT(--(Lineups!S$46:S$83=$B123),--(Lineups!A$46:A$83&lt;&gt;"SP")))</f>
        <v>4</v>
      </c>
      <c r="J123" s="884">
        <f t="shared" si="212"/>
        <v>10</v>
      </c>
      <c r="K123" s="885">
        <f t="shared" si="213"/>
        <v>0.4347826087</v>
      </c>
      <c r="L123" s="884">
        <f t="shared" si="214"/>
        <v>10</v>
      </c>
      <c r="M123" s="885">
        <f t="shared" si="215"/>
        <v>0.4347826087</v>
      </c>
      <c r="N123" s="886" t="str">
        <f>IF(B123="","",IF(OR(SK!E218="",SK!E218=0),"",SK!H218))</f>
        <v/>
      </c>
      <c r="O123" s="884">
        <f>IF($B123="","",SUMPRODUCT(--(Lineups!C$46:C$83=$B123)))</f>
        <v>0</v>
      </c>
      <c r="P123" s="885">
        <f t="shared" si="216"/>
        <v>0</v>
      </c>
      <c r="Q123" s="884">
        <f t="shared" si="217"/>
        <v>10</v>
      </c>
      <c r="R123" s="885">
        <f t="shared" si="218"/>
        <v>0.4347826087</v>
      </c>
      <c r="S123" s="43"/>
      <c r="T123" s="882">
        <f t="shared" si="219"/>
        <v>16</v>
      </c>
      <c r="U123" s="883" t="str">
        <f t="shared" ref="U123:V123" si="256">U24</f>
        <v>88</v>
      </c>
      <c r="V123" s="883" t="str">
        <f t="shared" si="256"/>
        <v>diamond WEAPON</v>
      </c>
      <c r="W123" s="884">
        <f>IF($U123="","",SUMPRODUCT(--(Lineups!AG$46:AG$83=$U123),--(Lineups!AB$46:AB$83="")))</f>
        <v>11</v>
      </c>
      <c r="X123" s="885">
        <f t="shared" si="221"/>
        <v>0.4782608696</v>
      </c>
      <c r="Y123" s="880">
        <f>IF($U123="","",SUMPRODUCT(--(Lineups!AG$46:AG$83=$U123),--(Lineups!AB$46:AB$83="X")))</f>
        <v>0</v>
      </c>
      <c r="Z123" s="880">
        <f>IF($U123="","",SUMPRODUCT(--(Lineups!AK$46:AK$83=$U123),--(Lineups!AA$46:AA$83&lt;&gt;"SP")))</f>
        <v>1</v>
      </c>
      <c r="AA123" s="880">
        <f>IF($U123="","",SUMPRODUCT(--(Lineups!AO$46:AO$83=$U123),--(Lineups!AA$46:AA$83&lt;&gt;"SP")))</f>
        <v>0</v>
      </c>
      <c r="AB123" s="880">
        <f>IF($U123="","",SUMPRODUCT(--(Lineups!AS$46:AS$83=$U123),--(Lineups!AA$46:AA$83&lt;&gt;"SP")))</f>
        <v>0</v>
      </c>
      <c r="AC123" s="884">
        <f t="shared" si="222"/>
        <v>1</v>
      </c>
      <c r="AD123" s="885">
        <f t="shared" si="223"/>
        <v>0.04347826087</v>
      </c>
      <c r="AE123" s="884">
        <f t="shared" si="224"/>
        <v>12</v>
      </c>
      <c r="AF123" s="885">
        <f t="shared" si="225"/>
        <v>0.5217391304</v>
      </c>
      <c r="AG123" s="886">
        <f>IF(U123="","",IF(OR(SK!U218="",SK!U218=0),"",SK!X218))</f>
        <v>0</v>
      </c>
      <c r="AH123" s="884">
        <f>IF($U123="","",SUMPRODUCT(--(Lineups!AC$46:AC$83=$U123)))</f>
        <v>2</v>
      </c>
      <c r="AI123" s="885">
        <f t="shared" si="226"/>
        <v>0.08695652174</v>
      </c>
      <c r="AJ123" s="884">
        <f t="shared" si="227"/>
        <v>14</v>
      </c>
      <c r="AK123" s="885">
        <f t="shared" si="228"/>
        <v>0.6086956522</v>
      </c>
    </row>
    <row r="124" ht="12.75" customHeight="1">
      <c r="A124" s="5">
        <f t="shared" si="209"/>
        <v>17</v>
      </c>
      <c r="B124" s="878" t="str">
        <f t="shared" ref="B124:C124" si="257">B25</f>
        <v>808</v>
      </c>
      <c r="C124" s="878" t="str">
        <f t="shared" si="257"/>
        <v>Morganator</v>
      </c>
      <c r="D124" s="43">
        <f>IF($B124="","",SUMPRODUCT(--(Lineups!G$46:G$83=$B124),--(Lineups!B$46:B$83="")))</f>
        <v>0</v>
      </c>
      <c r="E124" s="879">
        <f t="shared" si="211"/>
        <v>0</v>
      </c>
      <c r="F124" s="880">
        <f>IF($B124="","",SUMPRODUCT(--(Lineups!G$46:G$83=$B124),--(Lineups!B$46:B$83="X")))</f>
        <v>0</v>
      </c>
      <c r="G124" s="880">
        <f>IF($B124="","",SUMPRODUCT(--(Lineups!K$46:K$83=$B124),--(Lineups!A$46:A$83&lt;&gt;"SP")))</f>
        <v>5</v>
      </c>
      <c r="H124" s="880">
        <f>IF($B124="","",SUMPRODUCT(--(Lineups!O$46:O$83=$B124),--(Lineups!A$46:A$83&lt;&gt;"SP")))</f>
        <v>0</v>
      </c>
      <c r="I124" s="880">
        <f>IF($B124="","",SUMPRODUCT(--(Lineups!S$46:S$83=$B124),--(Lineups!A$46:A$83&lt;&gt;"SP")))</f>
        <v>0</v>
      </c>
      <c r="J124" s="43">
        <f t="shared" si="212"/>
        <v>5</v>
      </c>
      <c r="K124" s="879">
        <f t="shared" si="213"/>
        <v>0.2173913043</v>
      </c>
      <c r="L124" s="43">
        <f t="shared" si="214"/>
        <v>5</v>
      </c>
      <c r="M124" s="879">
        <f t="shared" si="215"/>
        <v>0.2173913043</v>
      </c>
      <c r="N124" s="881" t="str">
        <f>IF(B124="","",IF(OR(SK!E221="",SK!E221=0),"",SK!H221))</f>
        <v/>
      </c>
      <c r="O124" s="43">
        <f>IF($B124="","",SUMPRODUCT(--(Lineups!C$46:C$83=$B124)))</f>
        <v>0</v>
      </c>
      <c r="P124" s="879">
        <f t="shared" si="216"/>
        <v>0</v>
      </c>
      <c r="Q124" s="43">
        <f t="shared" si="217"/>
        <v>5</v>
      </c>
      <c r="R124" s="879">
        <f t="shared" si="218"/>
        <v>0.2173913043</v>
      </c>
      <c r="S124" s="43"/>
      <c r="T124" s="5">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2.75" customHeight="1">
      <c r="A125" s="882">
        <f t="shared" si="209"/>
        <v>18</v>
      </c>
      <c r="B125" s="883" t="str">
        <f t="shared" ref="B125:C125" si="259">B26</f>
        <v>912</v>
      </c>
      <c r="C125" s="883" t="str">
        <f t="shared" si="259"/>
        <v>Battered Sausage</v>
      </c>
      <c r="D125" s="884">
        <f>IF($B125="","",SUMPRODUCT(--(Lineups!G$46:G$83=$B125),--(Lineups!B$46:B$83="")))</f>
        <v>5</v>
      </c>
      <c r="E125" s="885">
        <f t="shared" si="211"/>
        <v>0.2173913043</v>
      </c>
      <c r="F125" s="880">
        <f>IF($B125="","",SUMPRODUCT(--(Lineups!G$46:G$83=$B125),--(Lineups!B$46:B$83="X")))</f>
        <v>0</v>
      </c>
      <c r="G125" s="880">
        <f>IF($B125="","",SUMPRODUCT(--(Lineups!K$46:K$83=$B125),--(Lineups!A$46:A$83&lt;&gt;"SP")))</f>
        <v>3</v>
      </c>
      <c r="H125" s="880">
        <f>IF($B125="","",SUMPRODUCT(--(Lineups!O$46:O$83=$B125),--(Lineups!A$46:A$83&lt;&gt;"SP")))</f>
        <v>1</v>
      </c>
      <c r="I125" s="880">
        <f>IF($B125="","",SUMPRODUCT(--(Lineups!S$46:S$83=$B125),--(Lineups!A$46:A$83&lt;&gt;"SP")))</f>
        <v>2</v>
      </c>
      <c r="J125" s="884">
        <f t="shared" si="212"/>
        <v>6</v>
      </c>
      <c r="K125" s="885">
        <f t="shared" si="213"/>
        <v>0.2608695652</v>
      </c>
      <c r="L125" s="884">
        <f t="shared" si="214"/>
        <v>11</v>
      </c>
      <c r="M125" s="885">
        <f t="shared" si="215"/>
        <v>0.4782608696</v>
      </c>
      <c r="N125" s="886">
        <f>IF(B125="","",IF(OR(SK!E224="",SK!E224=0),"",SK!H224))</f>
        <v>0</v>
      </c>
      <c r="O125" s="884">
        <f>IF($B125="","",SUMPRODUCT(--(Lineups!C$46:C$83=$B125)))</f>
        <v>1</v>
      </c>
      <c r="P125" s="885">
        <f t="shared" si="216"/>
        <v>0.04347826087</v>
      </c>
      <c r="Q125" s="884">
        <f t="shared" si="217"/>
        <v>12</v>
      </c>
      <c r="R125" s="885">
        <f t="shared" si="218"/>
        <v>0.5217391304</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2.75" customHeight="1">
      <c r="A126" s="5">
        <f t="shared" si="209"/>
        <v>19</v>
      </c>
      <c r="B126" s="878" t="str">
        <f t="shared" ref="B126:C126" si="261">B27</f>
        <v>93</v>
      </c>
      <c r="C126" s="878" t="str">
        <f t="shared" si="261"/>
        <v>Sangria</v>
      </c>
      <c r="D126" s="43">
        <f>IF($B126="","",SUMPRODUCT(--(Lineups!G$46:G$83=$B126),--(Lineups!B$46:B$83="")))</f>
        <v>0</v>
      </c>
      <c r="E126" s="879">
        <f t="shared" si="211"/>
        <v>0</v>
      </c>
      <c r="F126" s="880">
        <f>IF($B126="","",SUMPRODUCT(--(Lineups!G$46:G$83=$B126),--(Lineups!B$46:B$83="X")))</f>
        <v>0</v>
      </c>
      <c r="G126" s="880">
        <f>IF($B126="","",SUMPRODUCT(--(Lineups!K$46:K$83=$B126),--(Lineups!A$46:A$83&lt;&gt;"SP")))</f>
        <v>0</v>
      </c>
      <c r="H126" s="880">
        <f>IF($B126="","",SUMPRODUCT(--(Lineups!O$46:O$83=$B126),--(Lineups!A$46:A$83&lt;&gt;"SP")))</f>
        <v>0</v>
      </c>
      <c r="I126" s="880">
        <f>IF($B126="","",SUMPRODUCT(--(Lineups!S$46:S$83=$B126),--(Lineups!A$46:A$83&lt;&gt;"SP")))</f>
        <v>0</v>
      </c>
      <c r="J126" s="43">
        <f t="shared" si="212"/>
        <v>0</v>
      </c>
      <c r="K126" s="879">
        <f t="shared" si="213"/>
        <v>0</v>
      </c>
      <c r="L126" s="43">
        <f t="shared" si="214"/>
        <v>0</v>
      </c>
      <c r="M126" s="879">
        <f t="shared" si="215"/>
        <v>0</v>
      </c>
      <c r="N126" s="881">
        <f>IF(B126="","",IF(OR(SK!E227="",SK!E227=0),"",SK!H227))</f>
        <v>0</v>
      </c>
      <c r="O126" s="43">
        <f>IF($B126="","",SUMPRODUCT(--(Lineups!C$46:C$83=$B126)))</f>
        <v>6</v>
      </c>
      <c r="P126" s="879">
        <f t="shared" si="216"/>
        <v>0.2608695652</v>
      </c>
      <c r="Q126" s="43">
        <f t="shared" si="217"/>
        <v>6</v>
      </c>
      <c r="R126" s="879">
        <f t="shared" si="218"/>
        <v>0.2608695652</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999</v>
      </c>
      <c r="C127" s="883" t="str">
        <f t="shared" si="263"/>
        <v>Angel</v>
      </c>
      <c r="D127" s="884">
        <f>IF($B127="","",SUMPRODUCT(--(Lineups!G$46:G$83=$B127),--(Lineups!B$46:B$83="")))</f>
        <v>10</v>
      </c>
      <c r="E127" s="885">
        <f t="shared" si="211"/>
        <v>0.4347826087</v>
      </c>
      <c r="F127" s="880">
        <f>IF($B127="","",SUMPRODUCT(--(Lineups!G$46:G$83=$B127),--(Lineups!B$46:B$83="X")))</f>
        <v>0</v>
      </c>
      <c r="G127" s="880">
        <f>IF($B127="","",SUMPRODUCT(--(Lineups!K$46:K$83=$B127),--(Lineups!A$46:A$83&lt;&gt;"SP")))</f>
        <v>1</v>
      </c>
      <c r="H127" s="880">
        <f>IF($B127="","",SUMPRODUCT(--(Lineups!O$46:O$83=$B127),--(Lineups!A$46:A$83&lt;&gt;"SP")))</f>
        <v>0</v>
      </c>
      <c r="I127" s="880">
        <f>IF($B127="","",SUMPRODUCT(--(Lineups!S$46:S$83=$B127),--(Lineups!A$46:A$83&lt;&gt;"SP")))</f>
        <v>0</v>
      </c>
      <c r="J127" s="884">
        <f t="shared" si="212"/>
        <v>1</v>
      </c>
      <c r="K127" s="885">
        <f t="shared" si="213"/>
        <v>0.04347826087</v>
      </c>
      <c r="L127" s="884">
        <f t="shared" si="214"/>
        <v>11</v>
      </c>
      <c r="M127" s="885">
        <f t="shared" si="215"/>
        <v>0.4782608696</v>
      </c>
      <c r="N127" s="886">
        <f>IF(B127="","",IF(OR(SK!E230="",SK!E230=0),"",SK!H230))</f>
        <v>0</v>
      </c>
      <c r="O127" s="884">
        <f>IF($B127="","",SUMPRODUCT(--(Lineups!C$46:C$83=$B127)))</f>
        <v>1</v>
      </c>
      <c r="P127" s="885">
        <f t="shared" si="216"/>
        <v>0.04347826087</v>
      </c>
      <c r="Q127" s="884">
        <f t="shared" si="217"/>
        <v>12</v>
      </c>
      <c r="R127" s="885">
        <f t="shared" si="218"/>
        <v>0.5217391304</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434</v>
      </c>
      <c r="B129" s="8"/>
      <c r="C129" s="9"/>
      <c r="D129" s="873"/>
      <c r="E129" s="873"/>
      <c r="F129" s="873"/>
      <c r="G129" s="873"/>
      <c r="H129" s="873"/>
      <c r="I129" s="873"/>
      <c r="J129" s="873"/>
      <c r="K129" s="873"/>
      <c r="L129" s="873"/>
      <c r="M129" s="873"/>
      <c r="N129" s="873"/>
      <c r="O129" s="873"/>
      <c r="P129" s="873"/>
      <c r="Q129" s="873"/>
      <c r="R129" s="873"/>
      <c r="S129" s="43"/>
      <c r="T129" s="872" t="s">
        <v>434</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424</v>
      </c>
      <c r="C130" s="874" t="s">
        <v>425</v>
      </c>
      <c r="D130" s="874" t="s">
        <v>282</v>
      </c>
      <c r="E130" s="5"/>
      <c r="F130" s="876" t="s">
        <v>283</v>
      </c>
      <c r="G130" s="876" t="s">
        <v>283</v>
      </c>
      <c r="H130" s="876" t="s">
        <v>283</v>
      </c>
      <c r="I130" s="876" t="s">
        <v>283</v>
      </c>
      <c r="J130" s="874" t="s">
        <v>427</v>
      </c>
      <c r="K130" s="5"/>
      <c r="L130" s="874" t="s">
        <v>429</v>
      </c>
      <c r="M130" s="5"/>
      <c r="N130" s="877" t="s">
        <v>431</v>
      </c>
      <c r="O130" s="874" t="s">
        <v>280</v>
      </c>
      <c r="P130" s="5"/>
      <c r="Q130" s="874" t="s">
        <v>398</v>
      </c>
      <c r="R130" s="5"/>
      <c r="S130" s="43"/>
      <c r="T130" s="874">
        <v>0.0</v>
      </c>
      <c r="U130" s="874" t="s">
        <v>424</v>
      </c>
      <c r="V130" s="874" t="s">
        <v>425</v>
      </c>
      <c r="W130" s="874" t="s">
        <v>282</v>
      </c>
      <c r="X130" s="5"/>
      <c r="Y130" s="876" t="s">
        <v>283</v>
      </c>
      <c r="Z130" s="876" t="s">
        <v>283</v>
      </c>
      <c r="AA130" s="876" t="s">
        <v>283</v>
      </c>
      <c r="AB130" s="876" t="s">
        <v>283</v>
      </c>
      <c r="AC130" s="874" t="s">
        <v>427</v>
      </c>
      <c r="AD130" s="5"/>
      <c r="AE130" s="874" t="s">
        <v>429</v>
      </c>
      <c r="AF130" s="5"/>
      <c r="AG130" s="877" t="s">
        <v>431</v>
      </c>
      <c r="AH130" s="874" t="s">
        <v>280</v>
      </c>
      <c r="AI130" s="5"/>
      <c r="AJ130" s="874" t="s">
        <v>398</v>
      </c>
      <c r="AK130" s="5"/>
    </row>
    <row r="131" ht="12.75" customHeight="1">
      <c r="A131" s="5">
        <f t="shared" ref="A131:A150" si="269">A130+1</f>
        <v>1</v>
      </c>
      <c r="B131" s="629" t="str">
        <f t="shared" ref="B131:C131" si="265">B108</f>
        <v>04</v>
      </c>
      <c r="C131" s="629" t="str">
        <f t="shared" si="265"/>
        <v>Nina</v>
      </c>
      <c r="D131" s="5">
        <f t="shared" ref="D131:D150" si="271">IF($B131="","",D154-D177)</f>
        <v>0</v>
      </c>
      <c r="E131" s="43"/>
      <c r="F131" s="880">
        <f t="shared" ref="F131:I131" si="266">IF($B131="","",F154-F177)</f>
        <v>0</v>
      </c>
      <c r="G131" s="880">
        <f t="shared" si="266"/>
        <v>-16</v>
      </c>
      <c r="H131" s="880">
        <f t="shared" si="266"/>
        <v>-24</v>
      </c>
      <c r="I131" s="880">
        <f t="shared" si="266"/>
        <v>-8</v>
      </c>
      <c r="J131" s="5">
        <f t="shared" ref="J131:J150" si="273">IF(B131="","",SUM(F131:I131))</f>
        <v>-48</v>
      </c>
      <c r="K131" s="43"/>
      <c r="L131" s="5">
        <f t="shared" ref="L131:L150" si="274">IF(B131="","",SUM(D131,J131))</f>
        <v>-48</v>
      </c>
      <c r="M131" s="43"/>
      <c r="N131" s="43"/>
      <c r="O131" s="5">
        <f t="shared" ref="O131:O150" si="275">IF($B131="","",O154-O177)</f>
        <v>0</v>
      </c>
      <c r="P131" s="43"/>
      <c r="Q131" s="5">
        <f t="shared" ref="Q131:Q150" si="276">IF(B131="","",SUM(L131,O131))</f>
        <v>-48</v>
      </c>
      <c r="R131" s="43"/>
      <c r="S131" s="43"/>
      <c r="T131" s="5">
        <f t="shared" ref="T131:T150" si="277">T130+1</f>
        <v>1</v>
      </c>
      <c r="U131" s="629" t="str">
        <f t="shared" ref="U131:V131" si="267">U108</f>
        <v>040</v>
      </c>
      <c r="V131" s="629" t="str">
        <f t="shared" si="267"/>
        <v>Ruff Rackelhahn</v>
      </c>
      <c r="W131" s="5">
        <f t="shared" ref="W131:W150" si="279">IF($U131="","",W154-W177)</f>
        <v>0</v>
      </c>
      <c r="X131" s="43"/>
      <c r="Y131" s="880">
        <f t="shared" ref="Y131:AB131" si="268">IF($U131="","",Y154-Y177)</f>
        <v>0</v>
      </c>
      <c r="Z131" s="880">
        <f t="shared" si="268"/>
        <v>4</v>
      </c>
      <c r="AA131" s="880">
        <f t="shared" si="268"/>
        <v>8</v>
      </c>
      <c r="AB131" s="880">
        <f t="shared" si="268"/>
        <v>33</v>
      </c>
      <c r="AC131" s="5">
        <f t="shared" ref="AC131:AC150" si="281">IF(U131="","",SUM(Y131:AB131))</f>
        <v>45</v>
      </c>
      <c r="AD131" s="43"/>
      <c r="AE131" s="5">
        <f t="shared" ref="AE131:AE150" si="282">IF(U131="","",SUM(W131,AC131))</f>
        <v>45</v>
      </c>
      <c r="AF131" s="43"/>
      <c r="AG131" s="43"/>
      <c r="AH131" s="5">
        <f t="shared" ref="AH131:AH150" si="283">IF($U131="","",AH154-AH177)</f>
        <v>0</v>
      </c>
      <c r="AI131" s="43"/>
      <c r="AJ131" s="5">
        <f t="shared" ref="AJ131:AJ150" si="284">IF(U131="","",SUM(AE131,AH131))</f>
        <v>45</v>
      </c>
      <c r="AK131" s="43"/>
    </row>
    <row r="132" ht="12.75" customHeight="1">
      <c r="A132" s="882">
        <f t="shared" si="269"/>
        <v>2</v>
      </c>
      <c r="B132" s="887" t="str">
        <f t="shared" ref="B132:C132" si="270">B109</f>
        <v>16</v>
      </c>
      <c r="C132" s="887" t="str">
        <f t="shared" si="270"/>
        <v>Saabor</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3</v>
      </c>
      <c r="P132" s="43"/>
      <c r="Q132" s="882">
        <f t="shared" si="276"/>
        <v>3</v>
      </c>
      <c r="R132" s="43"/>
      <c r="S132" s="43"/>
      <c r="T132" s="882">
        <f t="shared" si="277"/>
        <v>2</v>
      </c>
      <c r="U132" s="887" t="str">
        <f t="shared" ref="U132:V132" si="278">U109</f>
        <v>101</v>
      </c>
      <c r="V132" s="887" t="str">
        <f t="shared" si="278"/>
        <v>Powell</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45</v>
      </c>
      <c r="AI132" s="43"/>
      <c r="AJ132" s="882">
        <f t="shared" si="284"/>
        <v>45</v>
      </c>
      <c r="AK132" s="43"/>
    </row>
    <row r="133" ht="12.75" customHeight="1">
      <c r="A133" s="5">
        <f t="shared" si="269"/>
        <v>3</v>
      </c>
      <c r="B133" s="629" t="str">
        <f t="shared" ref="B133:C133" si="285">B110</f>
        <v>177</v>
      </c>
      <c r="C133" s="629" t="str">
        <f t="shared" si="285"/>
        <v>Phoenix</v>
      </c>
      <c r="D133" s="5">
        <f t="shared" si="271"/>
        <v>0</v>
      </c>
      <c r="E133" s="43"/>
      <c r="F133" s="880">
        <f t="shared" ref="F133:I133" si="286">IF($B133="","",F156-F179)</f>
        <v>0</v>
      </c>
      <c r="G133" s="880">
        <f t="shared" si="286"/>
        <v>-7</v>
      </c>
      <c r="H133" s="880">
        <f t="shared" si="286"/>
        <v>-12</v>
      </c>
      <c r="I133" s="880">
        <f t="shared" si="286"/>
        <v>-16</v>
      </c>
      <c r="J133" s="5">
        <f t="shared" si="273"/>
        <v>-35</v>
      </c>
      <c r="K133" s="43"/>
      <c r="L133" s="5">
        <f t="shared" si="274"/>
        <v>-35</v>
      </c>
      <c r="M133" s="43"/>
      <c r="N133" s="43"/>
      <c r="O133" s="5">
        <f t="shared" si="275"/>
        <v>0</v>
      </c>
      <c r="P133" s="43"/>
      <c r="Q133" s="5">
        <f t="shared" si="276"/>
        <v>-35</v>
      </c>
      <c r="R133" s="43"/>
      <c r="S133" s="43"/>
      <c r="T133" s="5">
        <f t="shared" si="277"/>
        <v>3</v>
      </c>
      <c r="U133" s="629" t="str">
        <f t="shared" ref="U133:V133" si="287">U110</f>
        <v>11</v>
      </c>
      <c r="V133" s="629" t="str">
        <f t="shared" si="287"/>
        <v>Bambi Deerdevil</v>
      </c>
      <c r="W133" s="5">
        <f t="shared" si="279"/>
        <v>0</v>
      </c>
      <c r="X133" s="43"/>
      <c r="Y133" s="880">
        <f t="shared" ref="Y133:AB133" si="288">IF($U133="","",Y156-Y179)</f>
        <v>4</v>
      </c>
      <c r="Z133" s="880">
        <f t="shared" si="288"/>
        <v>0</v>
      </c>
      <c r="AA133" s="880">
        <f t="shared" si="288"/>
        <v>0</v>
      </c>
      <c r="AB133" s="880">
        <f t="shared" si="288"/>
        <v>0</v>
      </c>
      <c r="AC133" s="5">
        <f t="shared" si="281"/>
        <v>4</v>
      </c>
      <c r="AD133" s="43"/>
      <c r="AE133" s="5">
        <f t="shared" si="282"/>
        <v>4</v>
      </c>
      <c r="AF133" s="43"/>
      <c r="AG133" s="43"/>
      <c r="AH133" s="5">
        <f t="shared" si="283"/>
        <v>0</v>
      </c>
      <c r="AI133" s="43"/>
      <c r="AJ133" s="5">
        <f t="shared" si="284"/>
        <v>4</v>
      </c>
      <c r="AK133" s="43"/>
    </row>
    <row r="134" ht="12.75" customHeight="1">
      <c r="A134" s="882">
        <f t="shared" si="269"/>
        <v>4</v>
      </c>
      <c r="B134" s="887" t="str">
        <f t="shared" ref="B134:C134" si="289">B111</f>
        <v>215</v>
      </c>
      <c r="C134" s="887" t="str">
        <f t="shared" si="289"/>
        <v>Pollock</v>
      </c>
      <c r="D134" s="882">
        <f t="shared" si="271"/>
        <v>0</v>
      </c>
      <c r="E134" s="43"/>
      <c r="F134" s="880">
        <f t="shared" ref="F134:I134" si="290">IF($B134="","",F157-F180)</f>
        <v>0</v>
      </c>
      <c r="G134" s="880">
        <f t="shared" si="290"/>
        <v>0</v>
      </c>
      <c r="H134" s="880">
        <f t="shared" si="290"/>
        <v>0</v>
      </c>
      <c r="I134" s="880">
        <f t="shared" si="290"/>
        <v>0</v>
      </c>
      <c r="J134" s="882">
        <f t="shared" si="273"/>
        <v>0</v>
      </c>
      <c r="K134" s="43"/>
      <c r="L134" s="882">
        <f t="shared" si="274"/>
        <v>0</v>
      </c>
      <c r="M134" s="43"/>
      <c r="N134" s="43"/>
      <c r="O134" s="882">
        <f t="shared" si="275"/>
        <v>0</v>
      </c>
      <c r="P134" s="43"/>
      <c r="Q134" s="882">
        <f t="shared" si="276"/>
        <v>0</v>
      </c>
      <c r="R134" s="43"/>
      <c r="S134" s="43"/>
      <c r="T134" s="882">
        <f t="shared" si="277"/>
        <v>4</v>
      </c>
      <c r="U134" s="887" t="str">
        <f t="shared" ref="U134:V134" si="291">U111</f>
        <v>33</v>
      </c>
      <c r="V134" s="887" t="str">
        <f t="shared" si="291"/>
        <v>Fox Mauler</v>
      </c>
      <c r="W134" s="882">
        <f t="shared" si="279"/>
        <v>0</v>
      </c>
      <c r="X134" s="43"/>
      <c r="Y134" s="880">
        <f t="shared" ref="Y134:AB134" si="292">IF($U134="","",Y157-Y180)</f>
        <v>0</v>
      </c>
      <c r="Z134" s="880">
        <f t="shared" si="292"/>
        <v>0</v>
      </c>
      <c r="AA134" s="880">
        <f t="shared" si="292"/>
        <v>0</v>
      </c>
      <c r="AB134" s="880">
        <f t="shared" si="292"/>
        <v>0</v>
      </c>
      <c r="AC134" s="882">
        <f t="shared" si="281"/>
        <v>0</v>
      </c>
      <c r="AD134" s="43"/>
      <c r="AE134" s="882">
        <f t="shared" si="282"/>
        <v>0</v>
      </c>
      <c r="AF134" s="43"/>
      <c r="AG134" s="43"/>
      <c r="AH134" s="882">
        <f t="shared" si="283"/>
        <v>0</v>
      </c>
      <c r="AI134" s="43"/>
      <c r="AJ134" s="882">
        <f t="shared" si="284"/>
        <v>0</v>
      </c>
      <c r="AK134" s="43"/>
    </row>
    <row r="135" ht="12.75" customHeight="1">
      <c r="A135" s="5">
        <f t="shared" si="269"/>
        <v>5</v>
      </c>
      <c r="B135" s="629" t="str">
        <f t="shared" ref="B135:C135" si="293">B112</f>
        <v>27</v>
      </c>
      <c r="C135" s="629" t="str">
        <f t="shared" si="293"/>
        <v>MegaHurtz</v>
      </c>
      <c r="D135" s="5">
        <f t="shared" si="271"/>
        <v>0</v>
      </c>
      <c r="E135" s="43"/>
      <c r="F135" s="880">
        <f t="shared" ref="F135:I135" si="294">IF($B135="","",F158-F181)</f>
        <v>0</v>
      </c>
      <c r="G135" s="880">
        <f t="shared" si="294"/>
        <v>0</v>
      </c>
      <c r="H135" s="880">
        <f t="shared" si="294"/>
        <v>0</v>
      </c>
      <c r="I135" s="880">
        <f t="shared" si="294"/>
        <v>0</v>
      </c>
      <c r="J135" s="5">
        <f t="shared" si="273"/>
        <v>0</v>
      </c>
      <c r="K135" s="43"/>
      <c r="L135" s="5">
        <f t="shared" si="274"/>
        <v>0</v>
      </c>
      <c r="M135" s="43"/>
      <c r="N135" s="43"/>
      <c r="O135" s="5">
        <f t="shared" si="275"/>
        <v>0</v>
      </c>
      <c r="P135" s="43"/>
      <c r="Q135" s="5">
        <f t="shared" si="276"/>
        <v>0</v>
      </c>
      <c r="R135" s="43"/>
      <c r="S135" s="43"/>
      <c r="T135" s="5">
        <f t="shared" si="277"/>
        <v>5</v>
      </c>
      <c r="U135" s="629" t="str">
        <f t="shared" ref="U135:V135" si="295">U112</f>
        <v>1337</v>
      </c>
      <c r="V135" s="629" t="str">
        <f t="shared" si="295"/>
        <v>8Bit Betty</v>
      </c>
      <c r="W135" s="5">
        <f t="shared" si="279"/>
        <v>35</v>
      </c>
      <c r="X135" s="43"/>
      <c r="Y135" s="880">
        <f t="shared" ref="Y135:AB135" si="296">IF($U135="","",Y158-Y181)</f>
        <v>0</v>
      </c>
      <c r="Z135" s="880">
        <f t="shared" si="296"/>
        <v>4</v>
      </c>
      <c r="AA135" s="880">
        <f t="shared" si="296"/>
        <v>-12</v>
      </c>
      <c r="AB135" s="880">
        <f t="shared" si="296"/>
        <v>4</v>
      </c>
      <c r="AC135" s="5">
        <f t="shared" si="281"/>
        <v>-4</v>
      </c>
      <c r="AD135" s="43"/>
      <c r="AE135" s="5">
        <f t="shared" si="282"/>
        <v>31</v>
      </c>
      <c r="AF135" s="43"/>
      <c r="AG135" s="43"/>
      <c r="AH135" s="5">
        <f t="shared" si="283"/>
        <v>0</v>
      </c>
      <c r="AI135" s="43"/>
      <c r="AJ135" s="5">
        <f t="shared" si="284"/>
        <v>31</v>
      </c>
      <c r="AK135" s="43"/>
    </row>
    <row r="136" ht="12.75" customHeight="1">
      <c r="A136" s="882">
        <f t="shared" si="269"/>
        <v>6</v>
      </c>
      <c r="B136" s="887" t="str">
        <f t="shared" ref="B136:C136" si="297">B113</f>
        <v>271</v>
      </c>
      <c r="C136" s="887" t="str">
        <f t="shared" si="297"/>
        <v>Peb Canary</v>
      </c>
      <c r="D136" s="882">
        <f t="shared" si="271"/>
        <v>0</v>
      </c>
      <c r="E136" s="43"/>
      <c r="F136" s="880">
        <f t="shared" ref="F136:I136" si="298">IF($B136="","",F159-F182)</f>
        <v>0</v>
      </c>
      <c r="G136" s="880">
        <f t="shared" si="298"/>
        <v>0</v>
      </c>
      <c r="H136" s="880">
        <f t="shared" si="298"/>
        <v>0</v>
      </c>
      <c r="I136" s="880">
        <f t="shared" si="298"/>
        <v>0</v>
      </c>
      <c r="J136" s="882">
        <f t="shared" si="273"/>
        <v>0</v>
      </c>
      <c r="K136" s="43"/>
      <c r="L136" s="882">
        <f t="shared" si="274"/>
        <v>0</v>
      </c>
      <c r="M136" s="43"/>
      <c r="N136" s="43"/>
      <c r="O136" s="882">
        <f t="shared" si="275"/>
        <v>-3</v>
      </c>
      <c r="P136" s="43"/>
      <c r="Q136" s="882">
        <f t="shared" si="276"/>
        <v>-3</v>
      </c>
      <c r="R136" s="43"/>
      <c r="S136" s="43"/>
      <c r="T136" s="882">
        <f t="shared" si="277"/>
        <v>6</v>
      </c>
      <c r="U136" s="887" t="str">
        <f t="shared" ref="U136:V136" si="299">U113</f>
        <v>150</v>
      </c>
      <c r="V136" s="887" t="str">
        <f t="shared" si="299"/>
        <v>Cooney</v>
      </c>
      <c r="W136" s="882">
        <f t="shared" si="279"/>
        <v>0</v>
      </c>
      <c r="X136" s="43"/>
      <c r="Y136" s="880">
        <f t="shared" ref="Y136:AB136" si="300">IF($U136="","",Y159-Y182)</f>
        <v>0</v>
      </c>
      <c r="Z136" s="880">
        <f t="shared" si="300"/>
        <v>16</v>
      </c>
      <c r="AA136" s="880">
        <f t="shared" si="300"/>
        <v>17</v>
      </c>
      <c r="AB136" s="880">
        <f t="shared" si="300"/>
        <v>0</v>
      </c>
      <c r="AC136" s="882">
        <f t="shared" si="281"/>
        <v>33</v>
      </c>
      <c r="AD136" s="43"/>
      <c r="AE136" s="882">
        <f t="shared" si="282"/>
        <v>33</v>
      </c>
      <c r="AF136" s="43"/>
      <c r="AG136" s="43"/>
      <c r="AH136" s="882">
        <f t="shared" si="283"/>
        <v>0</v>
      </c>
      <c r="AI136" s="43"/>
      <c r="AJ136" s="882">
        <f t="shared" si="284"/>
        <v>33</v>
      </c>
      <c r="AK136" s="43"/>
    </row>
    <row r="137" ht="12.75" customHeight="1">
      <c r="A137" s="5">
        <f t="shared" si="269"/>
        <v>7</v>
      </c>
      <c r="B137" s="629" t="str">
        <f t="shared" ref="B137:C137" si="301">B114</f>
        <v>220</v>
      </c>
      <c r="C137" s="629" t="str">
        <f t="shared" si="301"/>
        <v>Cerosene</v>
      </c>
      <c r="D137" s="5">
        <f t="shared" si="271"/>
        <v>0</v>
      </c>
      <c r="E137" s="43"/>
      <c r="F137" s="880">
        <f t="shared" ref="F137:I137" si="302">IF($B137="","",F160-F183)</f>
        <v>0</v>
      </c>
      <c r="G137" s="880">
        <f t="shared" si="302"/>
        <v>-3</v>
      </c>
      <c r="H137" s="880">
        <f t="shared" si="302"/>
        <v>-25</v>
      </c>
      <c r="I137" s="880">
        <f t="shared" si="302"/>
        <v>-4</v>
      </c>
      <c r="J137" s="5">
        <f t="shared" si="273"/>
        <v>-32</v>
      </c>
      <c r="K137" s="43"/>
      <c r="L137" s="5">
        <f t="shared" si="274"/>
        <v>-32</v>
      </c>
      <c r="M137" s="43"/>
      <c r="N137" s="43"/>
      <c r="O137" s="5">
        <f t="shared" si="275"/>
        <v>0</v>
      </c>
      <c r="P137" s="43"/>
      <c r="Q137" s="5">
        <f t="shared" si="276"/>
        <v>-32</v>
      </c>
      <c r="R137" s="43"/>
      <c r="S137" s="43"/>
      <c r="T137" s="5">
        <f t="shared" si="277"/>
        <v>7</v>
      </c>
      <c r="U137" s="629" t="str">
        <f t="shared" ref="U137:V137" si="303">U114</f>
        <v>16</v>
      </c>
      <c r="V137" s="629" t="str">
        <f t="shared" si="303"/>
        <v>Jemerald</v>
      </c>
      <c r="W137" s="5">
        <f t="shared" si="279"/>
        <v>0</v>
      </c>
      <c r="X137" s="43"/>
      <c r="Y137" s="880">
        <f t="shared" ref="Y137:AB137" si="304">IF($U137="","",Y160-Y183)</f>
        <v>0</v>
      </c>
      <c r="Z137" s="880">
        <f t="shared" si="304"/>
        <v>0</v>
      </c>
      <c r="AA137" s="880">
        <f t="shared" si="304"/>
        <v>0</v>
      </c>
      <c r="AB137" s="880">
        <f t="shared" si="304"/>
        <v>0</v>
      </c>
      <c r="AC137" s="5">
        <f t="shared" si="281"/>
        <v>0</v>
      </c>
      <c r="AD137" s="43"/>
      <c r="AE137" s="5">
        <f t="shared" si="282"/>
        <v>0</v>
      </c>
      <c r="AF137" s="43"/>
      <c r="AG137" s="43"/>
      <c r="AH137" s="5">
        <f t="shared" si="283"/>
        <v>38</v>
      </c>
      <c r="AI137" s="43"/>
      <c r="AJ137" s="5">
        <f t="shared" si="284"/>
        <v>38</v>
      </c>
      <c r="AK137" s="43"/>
    </row>
    <row r="138" ht="12.75" customHeight="1">
      <c r="A138" s="882">
        <f t="shared" si="269"/>
        <v>8</v>
      </c>
      <c r="B138" s="887" t="str">
        <f t="shared" ref="B138:C138" si="305">B115</f>
        <v>3556</v>
      </c>
      <c r="C138" s="887" t="str">
        <f t="shared" si="305"/>
        <v>Crystal Beth</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3110</v>
      </c>
      <c r="V138" s="887" t="str">
        <f t="shared" si="307"/>
        <v>Grand DAM</v>
      </c>
      <c r="W138" s="882">
        <f t="shared" si="279"/>
        <v>0</v>
      </c>
      <c r="X138" s="43"/>
      <c r="Y138" s="880">
        <f t="shared" ref="Y138:AB138" si="308">IF($U138="","",Y161-Y184)</f>
        <v>0</v>
      </c>
      <c r="Z138" s="880">
        <f t="shared" si="308"/>
        <v>16</v>
      </c>
      <c r="AA138" s="880">
        <f t="shared" si="308"/>
        <v>21</v>
      </c>
      <c r="AB138" s="880">
        <f t="shared" si="308"/>
        <v>4</v>
      </c>
      <c r="AC138" s="882">
        <f t="shared" si="281"/>
        <v>41</v>
      </c>
      <c r="AD138" s="43"/>
      <c r="AE138" s="882">
        <f t="shared" si="282"/>
        <v>41</v>
      </c>
      <c r="AF138" s="43"/>
      <c r="AG138" s="43"/>
      <c r="AH138" s="882">
        <f t="shared" si="283"/>
        <v>0</v>
      </c>
      <c r="AI138" s="43"/>
      <c r="AJ138" s="882">
        <f t="shared" si="284"/>
        <v>41</v>
      </c>
      <c r="AK138" s="43"/>
    </row>
    <row r="139" ht="12.75" customHeight="1">
      <c r="A139" s="5">
        <f t="shared" si="269"/>
        <v>9</v>
      </c>
      <c r="B139" s="629" t="str">
        <f t="shared" ref="B139:C139" si="309">B116</f>
        <v>360</v>
      </c>
      <c r="C139" s="629" t="str">
        <f t="shared" si="309"/>
        <v>Baxter</v>
      </c>
      <c r="D139" s="5">
        <f t="shared" si="271"/>
        <v>0</v>
      </c>
      <c r="E139" s="43"/>
      <c r="F139" s="880">
        <f t="shared" ref="F139:I139" si="310">IF($B139="","",F162-F185)</f>
        <v>0</v>
      </c>
      <c r="G139" s="880">
        <f t="shared" si="310"/>
        <v>0</v>
      </c>
      <c r="H139" s="880">
        <f t="shared" si="310"/>
        <v>0</v>
      </c>
      <c r="I139" s="880">
        <f t="shared" si="310"/>
        <v>0</v>
      </c>
      <c r="J139" s="5">
        <f t="shared" si="273"/>
        <v>0</v>
      </c>
      <c r="K139" s="43"/>
      <c r="L139" s="5">
        <f t="shared" si="274"/>
        <v>0</v>
      </c>
      <c r="M139" s="43"/>
      <c r="N139" s="43"/>
      <c r="O139" s="5">
        <f t="shared" si="275"/>
        <v>0</v>
      </c>
      <c r="P139" s="43"/>
      <c r="Q139" s="5">
        <f t="shared" si="276"/>
        <v>0</v>
      </c>
      <c r="R139" s="43"/>
      <c r="S139" s="43"/>
      <c r="T139" s="5">
        <f t="shared" si="277"/>
        <v>9</v>
      </c>
      <c r="U139" s="629" t="str">
        <f t="shared" ref="U139:V139" si="311">U116</f>
        <v>333</v>
      </c>
      <c r="V139" s="629" t="str">
        <f t="shared" si="311"/>
        <v>Yonic Cyclonic</v>
      </c>
      <c r="W139" s="5">
        <f t="shared" si="279"/>
        <v>0</v>
      </c>
      <c r="X139" s="43"/>
      <c r="Y139" s="880">
        <f t="shared" ref="Y139:AB139" si="312">IF($U139="","",Y162-Y185)</f>
        <v>0</v>
      </c>
      <c r="Z139" s="880">
        <f t="shared" si="312"/>
        <v>0</v>
      </c>
      <c r="AA139" s="880">
        <f t="shared" si="312"/>
        <v>0</v>
      </c>
      <c r="AB139" s="880">
        <f t="shared" si="312"/>
        <v>0</v>
      </c>
      <c r="AC139" s="5">
        <f t="shared" si="281"/>
        <v>0</v>
      </c>
      <c r="AD139" s="43"/>
      <c r="AE139" s="5">
        <f t="shared" si="282"/>
        <v>0</v>
      </c>
      <c r="AF139" s="43"/>
      <c r="AG139" s="43"/>
      <c r="AH139" s="5">
        <f t="shared" si="283"/>
        <v>0</v>
      </c>
      <c r="AI139" s="43"/>
      <c r="AJ139" s="5">
        <f t="shared" si="284"/>
        <v>0</v>
      </c>
      <c r="AK139" s="43"/>
    </row>
    <row r="140" ht="12.75" customHeight="1">
      <c r="A140" s="882">
        <f t="shared" si="269"/>
        <v>10</v>
      </c>
      <c r="B140" s="887" t="str">
        <f t="shared" ref="B140:C140" si="313">B117</f>
        <v>40</v>
      </c>
      <c r="C140" s="887" t="str">
        <f t="shared" si="313"/>
        <v>Kid</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0</v>
      </c>
      <c r="P140" s="43"/>
      <c r="Q140" s="882">
        <f t="shared" si="276"/>
        <v>0</v>
      </c>
      <c r="R140" s="43"/>
      <c r="S140" s="43"/>
      <c r="T140" s="882">
        <f t="shared" si="277"/>
        <v>10</v>
      </c>
      <c r="U140" s="887" t="str">
        <f t="shared" ref="U140:V140" si="315">U117</f>
        <v>4</v>
      </c>
      <c r="V140" s="887" t="str">
        <f t="shared" si="315"/>
        <v>Stabba</v>
      </c>
      <c r="W140" s="882">
        <f t="shared" si="279"/>
        <v>0</v>
      </c>
      <c r="X140" s="43"/>
      <c r="Y140" s="880">
        <f t="shared" ref="Y140:AB140" si="316">IF($U140="","",Y163-Y186)</f>
        <v>0</v>
      </c>
      <c r="Z140" s="880">
        <f t="shared" si="316"/>
        <v>3</v>
      </c>
      <c r="AA140" s="880">
        <f t="shared" si="316"/>
        <v>4</v>
      </c>
      <c r="AB140" s="880">
        <f t="shared" si="316"/>
        <v>17</v>
      </c>
      <c r="AC140" s="882">
        <f t="shared" si="281"/>
        <v>24</v>
      </c>
      <c r="AD140" s="43"/>
      <c r="AE140" s="882">
        <f t="shared" si="282"/>
        <v>24</v>
      </c>
      <c r="AF140" s="43"/>
      <c r="AG140" s="43"/>
      <c r="AH140" s="882">
        <f t="shared" si="283"/>
        <v>0</v>
      </c>
      <c r="AI140" s="43"/>
      <c r="AJ140" s="882">
        <f t="shared" si="284"/>
        <v>24</v>
      </c>
      <c r="AK140" s="43"/>
    </row>
    <row r="141" ht="12.75" customHeight="1">
      <c r="A141" s="5">
        <f t="shared" si="269"/>
        <v>11</v>
      </c>
      <c r="B141" s="629" t="str">
        <f t="shared" ref="B141:C141" si="317">B118</f>
        <v>42</v>
      </c>
      <c r="C141" s="629" t="str">
        <f t="shared" si="317"/>
        <v>Bosh</v>
      </c>
      <c r="D141" s="5">
        <f t="shared" si="271"/>
        <v>-49</v>
      </c>
      <c r="E141" s="43"/>
      <c r="F141" s="880">
        <f t="shared" ref="F141:I141" si="318">IF($B141="","",F164-F187)</f>
        <v>0</v>
      </c>
      <c r="G141" s="880">
        <f t="shared" si="318"/>
        <v>-22</v>
      </c>
      <c r="H141" s="880">
        <f t="shared" si="318"/>
        <v>-10</v>
      </c>
      <c r="I141" s="880">
        <f t="shared" si="318"/>
        <v>9</v>
      </c>
      <c r="J141" s="5">
        <f t="shared" si="273"/>
        <v>-23</v>
      </c>
      <c r="K141" s="43"/>
      <c r="L141" s="5">
        <f t="shared" si="274"/>
        <v>-72</v>
      </c>
      <c r="M141" s="43"/>
      <c r="N141" s="43"/>
      <c r="O141" s="5">
        <f t="shared" si="275"/>
        <v>0</v>
      </c>
      <c r="P141" s="43"/>
      <c r="Q141" s="5">
        <f t="shared" si="276"/>
        <v>-72</v>
      </c>
      <c r="R141" s="43"/>
      <c r="S141" s="43"/>
      <c r="T141" s="5">
        <f t="shared" si="277"/>
        <v>11</v>
      </c>
      <c r="U141" s="629" t="str">
        <f t="shared" ref="U141:V141" si="319">U118</f>
        <v>42</v>
      </c>
      <c r="V141" s="629" t="str">
        <f t="shared" si="319"/>
        <v>Pretty Carless</v>
      </c>
      <c r="W141" s="5">
        <f t="shared" si="279"/>
        <v>7</v>
      </c>
      <c r="X141" s="43"/>
      <c r="Y141" s="880">
        <f t="shared" ref="Y141:AB141" si="320">IF($U141="","",Y164-Y187)</f>
        <v>0</v>
      </c>
      <c r="Z141" s="880">
        <f t="shared" si="320"/>
        <v>0</v>
      </c>
      <c r="AA141" s="880">
        <f t="shared" si="320"/>
        <v>0</v>
      </c>
      <c r="AB141" s="880">
        <f t="shared" si="320"/>
        <v>8</v>
      </c>
      <c r="AC141" s="5">
        <f t="shared" si="281"/>
        <v>8</v>
      </c>
      <c r="AD141" s="43"/>
      <c r="AE141" s="5">
        <f t="shared" si="282"/>
        <v>15</v>
      </c>
      <c r="AF141" s="43"/>
      <c r="AG141" s="43"/>
      <c r="AH141" s="5">
        <f t="shared" si="283"/>
        <v>0</v>
      </c>
      <c r="AI141" s="43"/>
      <c r="AJ141" s="5">
        <f t="shared" si="284"/>
        <v>15</v>
      </c>
      <c r="AK141" s="43"/>
    </row>
    <row r="142" ht="12.75" customHeight="1">
      <c r="A142" s="882">
        <f t="shared" si="269"/>
        <v>12</v>
      </c>
      <c r="B142" s="887" t="str">
        <f t="shared" ref="B142:C142" si="321">B119</f>
        <v>44</v>
      </c>
      <c r="C142" s="887" t="str">
        <f t="shared" si="321"/>
        <v>Esparcieux</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0</v>
      </c>
      <c r="P142" s="43"/>
      <c r="Q142" s="882">
        <f t="shared" si="276"/>
        <v>0</v>
      </c>
      <c r="R142" s="43"/>
      <c r="S142" s="43"/>
      <c r="T142" s="882">
        <f t="shared" si="277"/>
        <v>12</v>
      </c>
      <c r="U142" s="887" t="str">
        <f t="shared" ref="U142:V142" si="323">U119</f>
        <v>48</v>
      </c>
      <c r="V142" s="887" t="str">
        <f t="shared" si="323"/>
        <v>Tini from the Bloc</v>
      </c>
      <c r="W142" s="882">
        <f t="shared" si="279"/>
        <v>0</v>
      </c>
      <c r="X142" s="43"/>
      <c r="Y142" s="880">
        <f t="shared" ref="Y142:AB142" si="324">IF($U142="","",Y165-Y188)</f>
        <v>0</v>
      </c>
      <c r="Z142" s="880">
        <f t="shared" si="324"/>
        <v>5</v>
      </c>
      <c r="AA142" s="880">
        <f t="shared" si="324"/>
        <v>4</v>
      </c>
      <c r="AB142" s="880">
        <f t="shared" si="324"/>
        <v>7</v>
      </c>
      <c r="AC142" s="882">
        <f t="shared" si="281"/>
        <v>16</v>
      </c>
      <c r="AD142" s="43"/>
      <c r="AE142" s="882">
        <f t="shared" si="282"/>
        <v>16</v>
      </c>
      <c r="AF142" s="43"/>
      <c r="AG142" s="43"/>
      <c r="AH142" s="882">
        <f t="shared" si="283"/>
        <v>0</v>
      </c>
      <c r="AI142" s="43"/>
      <c r="AJ142" s="882">
        <f t="shared" si="284"/>
        <v>16</v>
      </c>
      <c r="AK142" s="43"/>
    </row>
    <row r="143" ht="12.75" customHeight="1">
      <c r="A143" s="5">
        <f t="shared" si="269"/>
        <v>13</v>
      </c>
      <c r="B143" s="629" t="str">
        <f t="shared" ref="B143:C143" si="325">B120</f>
        <v>45</v>
      </c>
      <c r="C143" s="629" t="str">
        <f t="shared" si="325"/>
        <v>Hawk</v>
      </c>
      <c r="D143" s="5">
        <f t="shared" si="271"/>
        <v>0</v>
      </c>
      <c r="E143" s="43"/>
      <c r="F143" s="880">
        <f t="shared" ref="F143:I143" si="326">IF($B143="","",F166-F189)</f>
        <v>4</v>
      </c>
      <c r="G143" s="880">
        <f t="shared" si="326"/>
        <v>0</v>
      </c>
      <c r="H143" s="880">
        <f t="shared" si="326"/>
        <v>0</v>
      </c>
      <c r="I143" s="880">
        <f t="shared" si="326"/>
        <v>0</v>
      </c>
      <c r="J143" s="5">
        <f t="shared" si="273"/>
        <v>4</v>
      </c>
      <c r="K143" s="43"/>
      <c r="L143" s="5">
        <f t="shared" si="274"/>
        <v>4</v>
      </c>
      <c r="M143" s="43"/>
      <c r="N143" s="43"/>
      <c r="O143" s="5">
        <f t="shared" si="275"/>
        <v>-48</v>
      </c>
      <c r="P143" s="43"/>
      <c r="Q143" s="5">
        <f t="shared" si="276"/>
        <v>-44</v>
      </c>
      <c r="R143" s="43"/>
      <c r="S143" s="43"/>
      <c r="T143" s="5">
        <f t="shared" si="277"/>
        <v>13</v>
      </c>
      <c r="U143" s="629" t="str">
        <f t="shared" ref="U143:V143" si="327">U120</f>
        <v>167</v>
      </c>
      <c r="V143" s="629" t="str">
        <f t="shared" si="327"/>
        <v>Rile E Coyote</v>
      </c>
      <c r="W143" s="5">
        <f t="shared" si="279"/>
        <v>0</v>
      </c>
      <c r="X143" s="43"/>
      <c r="Y143" s="880">
        <f t="shared" ref="Y143:AB143" si="328">IF($U143="","",Y166-Y189)</f>
        <v>0</v>
      </c>
      <c r="Z143" s="880">
        <f t="shared" si="328"/>
        <v>1</v>
      </c>
      <c r="AA143" s="880">
        <f t="shared" si="328"/>
        <v>16</v>
      </c>
      <c r="AB143" s="880">
        <f t="shared" si="328"/>
        <v>14</v>
      </c>
      <c r="AC143" s="5">
        <f t="shared" si="281"/>
        <v>31</v>
      </c>
      <c r="AD143" s="43"/>
      <c r="AE143" s="5">
        <f t="shared" si="282"/>
        <v>31</v>
      </c>
      <c r="AF143" s="43"/>
      <c r="AG143" s="43"/>
      <c r="AH143" s="5">
        <f t="shared" si="283"/>
        <v>0</v>
      </c>
      <c r="AI143" s="43"/>
      <c r="AJ143" s="5">
        <f t="shared" si="284"/>
        <v>31</v>
      </c>
      <c r="AK143" s="43"/>
    </row>
    <row r="144" ht="12.75" customHeight="1">
      <c r="A144" s="882">
        <f t="shared" si="269"/>
        <v>14</v>
      </c>
      <c r="B144" s="887" t="str">
        <f t="shared" ref="B144:C144" si="329">B121</f>
        <v>48</v>
      </c>
      <c r="C144" s="887" t="str">
        <f t="shared" si="329"/>
        <v>Ward</v>
      </c>
      <c r="D144" s="882">
        <f t="shared" si="271"/>
        <v>0</v>
      </c>
      <c r="E144" s="43"/>
      <c r="F144" s="880">
        <f t="shared" ref="F144:I144" si="330">IF($B144="","",F167-F190)</f>
        <v>0</v>
      </c>
      <c r="G144" s="880">
        <f t="shared" si="330"/>
        <v>0</v>
      </c>
      <c r="H144" s="880">
        <f t="shared" si="330"/>
        <v>-5</v>
      </c>
      <c r="I144" s="880">
        <f t="shared" si="330"/>
        <v>-16</v>
      </c>
      <c r="J144" s="882">
        <f t="shared" si="273"/>
        <v>-21</v>
      </c>
      <c r="K144" s="43"/>
      <c r="L144" s="882">
        <f t="shared" si="274"/>
        <v>-21</v>
      </c>
      <c r="M144" s="43"/>
      <c r="N144" s="43"/>
      <c r="O144" s="882">
        <f t="shared" si="275"/>
        <v>0</v>
      </c>
      <c r="P144" s="43"/>
      <c r="Q144" s="882">
        <f t="shared" si="276"/>
        <v>-21</v>
      </c>
      <c r="R144" s="43"/>
      <c r="S144" s="43"/>
      <c r="T144" s="882">
        <f t="shared" si="277"/>
        <v>14</v>
      </c>
      <c r="U144" s="887" t="str">
        <f t="shared" ref="U144:V144" si="331">U121</f>
        <v>602</v>
      </c>
      <c r="V144" s="887" t="str">
        <f t="shared" si="331"/>
        <v>Fearidum</v>
      </c>
      <c r="W144" s="882">
        <f t="shared" si="279"/>
        <v>0</v>
      </c>
      <c r="X144" s="43"/>
      <c r="Y144" s="880">
        <f t="shared" ref="Y144:AB144" si="332">IF($U144="","",Y167-Y190)</f>
        <v>0</v>
      </c>
      <c r="Z144" s="880">
        <f t="shared" si="332"/>
        <v>0</v>
      </c>
      <c r="AA144" s="880">
        <f t="shared" si="332"/>
        <v>12</v>
      </c>
      <c r="AB144" s="880">
        <f t="shared" si="332"/>
        <v>-4</v>
      </c>
      <c r="AC144" s="882">
        <f t="shared" si="281"/>
        <v>8</v>
      </c>
      <c r="AD144" s="43"/>
      <c r="AE144" s="882">
        <f t="shared" si="282"/>
        <v>8</v>
      </c>
      <c r="AF144" s="43"/>
      <c r="AG144" s="43"/>
      <c r="AH144" s="882">
        <f t="shared" si="283"/>
        <v>0</v>
      </c>
      <c r="AI144" s="43"/>
      <c r="AJ144" s="882">
        <f t="shared" si="284"/>
        <v>8</v>
      </c>
      <c r="AK144" s="43"/>
    </row>
    <row r="145" ht="12.75" customHeight="1">
      <c r="A145" s="5">
        <f t="shared" si="269"/>
        <v>15</v>
      </c>
      <c r="B145" s="629" t="str">
        <f t="shared" ref="B145:C145" si="333">B122</f>
        <v>565</v>
      </c>
      <c r="C145" s="629" t="str">
        <f t="shared" si="333"/>
        <v>Melyn</v>
      </c>
      <c r="D145" s="5">
        <f t="shared" si="271"/>
        <v>0</v>
      </c>
      <c r="E145" s="43"/>
      <c r="F145" s="880">
        <f t="shared" ref="F145:I145" si="334">IF($B145="","",F168-F191)</f>
        <v>0</v>
      </c>
      <c r="G145" s="880">
        <f t="shared" si="334"/>
        <v>-16</v>
      </c>
      <c r="H145" s="880">
        <f t="shared" si="334"/>
        <v>5</v>
      </c>
      <c r="I145" s="880">
        <f t="shared" si="334"/>
        <v>0</v>
      </c>
      <c r="J145" s="5">
        <f t="shared" si="273"/>
        <v>-11</v>
      </c>
      <c r="K145" s="43"/>
      <c r="L145" s="5">
        <f t="shared" si="274"/>
        <v>-11</v>
      </c>
      <c r="M145" s="43"/>
      <c r="N145" s="43"/>
      <c r="O145" s="5">
        <f t="shared" si="275"/>
        <v>0</v>
      </c>
      <c r="P145" s="43"/>
      <c r="Q145" s="5">
        <f t="shared" si="276"/>
        <v>-11</v>
      </c>
      <c r="R145" s="43"/>
      <c r="S145" s="43"/>
      <c r="T145" s="5">
        <f t="shared" si="277"/>
        <v>15</v>
      </c>
      <c r="U145" s="629" t="str">
        <f t="shared" ref="U145:V145" si="335">U122</f>
        <v>777</v>
      </c>
      <c r="V145" s="629" t="str">
        <f t="shared" si="335"/>
        <v>Des</v>
      </c>
      <c r="W145" s="5">
        <f t="shared" si="279"/>
        <v>0</v>
      </c>
      <c r="X145" s="43"/>
      <c r="Y145" s="880">
        <f t="shared" ref="Y145:AB145" si="336">IF($U145="","",Y168-Y191)</f>
        <v>0</v>
      </c>
      <c r="Z145" s="880">
        <f t="shared" si="336"/>
        <v>28</v>
      </c>
      <c r="AA145" s="880">
        <f t="shared" si="336"/>
        <v>17</v>
      </c>
      <c r="AB145" s="880">
        <f t="shared" si="336"/>
        <v>4</v>
      </c>
      <c r="AC145" s="5">
        <f t="shared" si="281"/>
        <v>49</v>
      </c>
      <c r="AD145" s="43"/>
      <c r="AE145" s="5">
        <f t="shared" si="282"/>
        <v>49</v>
      </c>
      <c r="AF145" s="43"/>
      <c r="AG145" s="43"/>
      <c r="AH145" s="5">
        <f t="shared" si="283"/>
        <v>0</v>
      </c>
      <c r="AI145" s="43"/>
      <c r="AJ145" s="5">
        <f t="shared" si="284"/>
        <v>49</v>
      </c>
      <c r="AK145" s="43"/>
    </row>
    <row r="146" ht="12.75" customHeight="1">
      <c r="A146" s="882">
        <f t="shared" si="269"/>
        <v>16</v>
      </c>
      <c r="B146" s="887" t="str">
        <f t="shared" ref="B146:C146" si="337">B123</f>
        <v>50</v>
      </c>
      <c r="C146" s="887" t="str">
        <f t="shared" si="337"/>
        <v>Gray</v>
      </c>
      <c r="D146" s="882">
        <f t="shared" si="271"/>
        <v>0</v>
      </c>
      <c r="E146" s="43"/>
      <c r="F146" s="880">
        <f t="shared" ref="F146:I146" si="338">IF($B146="","",F169-F192)</f>
        <v>0</v>
      </c>
      <c r="G146" s="880">
        <f t="shared" si="338"/>
        <v>8</v>
      </c>
      <c r="H146" s="880">
        <f t="shared" si="338"/>
        <v>-16</v>
      </c>
      <c r="I146" s="880">
        <f t="shared" si="338"/>
        <v>-20</v>
      </c>
      <c r="J146" s="882">
        <f t="shared" si="273"/>
        <v>-28</v>
      </c>
      <c r="K146" s="43"/>
      <c r="L146" s="882">
        <f t="shared" si="274"/>
        <v>-28</v>
      </c>
      <c r="M146" s="43"/>
      <c r="N146" s="43"/>
      <c r="O146" s="882">
        <f t="shared" si="275"/>
        <v>0</v>
      </c>
      <c r="P146" s="43"/>
      <c r="Q146" s="882">
        <f t="shared" si="276"/>
        <v>-28</v>
      </c>
      <c r="R146" s="43"/>
      <c r="S146" s="43"/>
      <c r="T146" s="882">
        <f t="shared" si="277"/>
        <v>16</v>
      </c>
      <c r="U146" s="887" t="str">
        <f t="shared" ref="U146:V146" si="339">U123</f>
        <v>88</v>
      </c>
      <c r="V146" s="887" t="str">
        <f t="shared" si="339"/>
        <v>diamond WEAPON</v>
      </c>
      <c r="W146" s="882">
        <f t="shared" si="279"/>
        <v>41</v>
      </c>
      <c r="X146" s="43"/>
      <c r="Y146" s="880">
        <f t="shared" ref="Y146:AB146" si="340">IF($U146="","",Y169-Y192)</f>
        <v>0</v>
      </c>
      <c r="Z146" s="880">
        <f t="shared" si="340"/>
        <v>10</v>
      </c>
      <c r="AA146" s="880">
        <f t="shared" si="340"/>
        <v>0</v>
      </c>
      <c r="AB146" s="880">
        <f t="shared" si="340"/>
        <v>0</v>
      </c>
      <c r="AC146" s="882">
        <f t="shared" si="281"/>
        <v>10</v>
      </c>
      <c r="AD146" s="43"/>
      <c r="AE146" s="882">
        <f t="shared" si="282"/>
        <v>51</v>
      </c>
      <c r="AF146" s="43"/>
      <c r="AG146" s="43"/>
      <c r="AH146" s="882">
        <f t="shared" si="283"/>
        <v>4</v>
      </c>
      <c r="AI146" s="43"/>
      <c r="AJ146" s="882">
        <f t="shared" si="284"/>
        <v>55</v>
      </c>
      <c r="AK146" s="43"/>
    </row>
    <row r="147" ht="12.75" customHeight="1">
      <c r="A147" s="5">
        <f t="shared" si="269"/>
        <v>17</v>
      </c>
      <c r="B147" s="629" t="str">
        <f t="shared" ref="B147:C147" si="341">B124</f>
        <v>808</v>
      </c>
      <c r="C147" s="629" t="str">
        <f t="shared" si="341"/>
        <v>Morganator</v>
      </c>
      <c r="D147" s="5">
        <f t="shared" si="271"/>
        <v>0</v>
      </c>
      <c r="E147" s="43"/>
      <c r="F147" s="880">
        <f t="shared" ref="F147:I147" si="342">IF($B147="","",F170-F193)</f>
        <v>0</v>
      </c>
      <c r="G147" s="880">
        <f t="shared" si="342"/>
        <v>-18</v>
      </c>
      <c r="H147" s="880">
        <f t="shared" si="342"/>
        <v>0</v>
      </c>
      <c r="I147" s="880">
        <f t="shared" si="342"/>
        <v>0</v>
      </c>
      <c r="J147" s="5">
        <f t="shared" si="273"/>
        <v>-18</v>
      </c>
      <c r="K147" s="43"/>
      <c r="L147" s="5">
        <f t="shared" si="274"/>
        <v>-18</v>
      </c>
      <c r="M147" s="43"/>
      <c r="N147" s="43"/>
      <c r="O147" s="5">
        <f t="shared" si="275"/>
        <v>0</v>
      </c>
      <c r="P147" s="43"/>
      <c r="Q147" s="5">
        <f t="shared" si="276"/>
        <v>-18</v>
      </c>
      <c r="R147" s="43"/>
      <c r="S147" s="43"/>
      <c r="T147" s="5">
        <f t="shared" si="277"/>
        <v>17</v>
      </c>
      <c r="U147" s="629" t="str">
        <f t="shared" ref="U147:V147" si="343">U124</f>
        <v/>
      </c>
      <c r="V147" s="629" t="str">
        <f t="shared" si="343"/>
        <v/>
      </c>
      <c r="W147" s="5" t="str">
        <f t="shared" si="279"/>
        <v/>
      </c>
      <c r="X147" s="43"/>
      <c r="Y147" s="880" t="str">
        <f t="shared" ref="Y147:AB147" si="344">IF($U147="","",Y170-Y193)</f>
        <v/>
      </c>
      <c r="Z147" s="880" t="str">
        <f t="shared" si="344"/>
        <v/>
      </c>
      <c r="AA147" s="880" t="str">
        <f t="shared" si="344"/>
        <v/>
      </c>
      <c r="AB147" s="880"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2">
        <f t="shared" si="269"/>
        <v>18</v>
      </c>
      <c r="B148" s="887" t="str">
        <f t="shared" ref="B148:C148" si="345">B125</f>
        <v>912</v>
      </c>
      <c r="C148" s="887" t="str">
        <f t="shared" si="345"/>
        <v>Battered Sausage</v>
      </c>
      <c r="D148" s="882">
        <f t="shared" si="271"/>
        <v>-19</v>
      </c>
      <c r="E148" s="43"/>
      <c r="F148" s="880">
        <f t="shared" ref="F148:I148" si="346">IF($B148="","",F171-F194)</f>
        <v>0</v>
      </c>
      <c r="G148" s="880">
        <f t="shared" si="346"/>
        <v>0</v>
      </c>
      <c r="H148" s="880">
        <f t="shared" si="346"/>
        <v>0</v>
      </c>
      <c r="I148" s="880">
        <f t="shared" si="346"/>
        <v>-32</v>
      </c>
      <c r="J148" s="882">
        <f t="shared" si="273"/>
        <v>-32</v>
      </c>
      <c r="K148" s="43"/>
      <c r="L148" s="882">
        <f t="shared" si="274"/>
        <v>-51</v>
      </c>
      <c r="M148" s="43"/>
      <c r="N148" s="43"/>
      <c r="O148" s="882">
        <f t="shared" si="275"/>
        <v>0</v>
      </c>
      <c r="P148" s="43"/>
      <c r="Q148" s="882">
        <f t="shared" si="276"/>
        <v>-51</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2.75" customHeight="1">
      <c r="A149" s="5">
        <f t="shared" si="269"/>
        <v>19</v>
      </c>
      <c r="B149" s="629" t="str">
        <f t="shared" ref="B149:C149" si="349">B126</f>
        <v>93</v>
      </c>
      <c r="C149" s="629" t="str">
        <f t="shared" si="349"/>
        <v>Sangria</v>
      </c>
      <c r="D149" s="5">
        <f t="shared" si="271"/>
        <v>0</v>
      </c>
      <c r="E149" s="43"/>
      <c r="F149" s="880">
        <f t="shared" ref="F149:I149" si="350">IF($B149="","",F172-F195)</f>
        <v>0</v>
      </c>
      <c r="G149" s="880">
        <f t="shared" si="350"/>
        <v>0</v>
      </c>
      <c r="H149" s="880">
        <f t="shared" si="350"/>
        <v>0</v>
      </c>
      <c r="I149" s="880">
        <f t="shared" si="350"/>
        <v>0</v>
      </c>
      <c r="J149" s="5">
        <f t="shared" si="273"/>
        <v>0</v>
      </c>
      <c r="K149" s="43"/>
      <c r="L149" s="5">
        <f t="shared" si="274"/>
        <v>0</v>
      </c>
      <c r="M149" s="43"/>
      <c r="N149" s="43"/>
      <c r="O149" s="5">
        <f t="shared" si="275"/>
        <v>-43</v>
      </c>
      <c r="P149" s="43"/>
      <c r="Q149" s="5">
        <f t="shared" si="276"/>
        <v>-43</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999</v>
      </c>
      <c r="C150" s="887" t="str">
        <f t="shared" si="353"/>
        <v>Angel</v>
      </c>
      <c r="D150" s="882">
        <f t="shared" si="271"/>
        <v>-23</v>
      </c>
      <c r="E150" s="43"/>
      <c r="F150" s="880">
        <f t="shared" ref="F150:I150" si="354">IF($B150="","",F173-F196)</f>
        <v>0</v>
      </c>
      <c r="G150" s="880">
        <f t="shared" si="354"/>
        <v>-13</v>
      </c>
      <c r="H150" s="880">
        <f t="shared" si="354"/>
        <v>0</v>
      </c>
      <c r="I150" s="880">
        <f t="shared" si="354"/>
        <v>0</v>
      </c>
      <c r="J150" s="882">
        <f t="shared" si="273"/>
        <v>-13</v>
      </c>
      <c r="K150" s="43"/>
      <c r="L150" s="882">
        <f t="shared" si="274"/>
        <v>-36</v>
      </c>
      <c r="M150" s="43"/>
      <c r="N150" s="43"/>
      <c r="O150" s="882">
        <f t="shared" si="275"/>
        <v>4</v>
      </c>
      <c r="P150" s="43"/>
      <c r="Q150" s="882">
        <f t="shared" si="276"/>
        <v>-32</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435</v>
      </c>
      <c r="B152" s="8"/>
      <c r="C152" s="9"/>
      <c r="D152" s="873"/>
      <c r="E152" s="873"/>
      <c r="F152" s="873"/>
      <c r="G152" s="873"/>
      <c r="H152" s="873"/>
      <c r="I152" s="873"/>
      <c r="J152" s="873"/>
      <c r="K152" s="873"/>
      <c r="L152" s="873"/>
      <c r="M152" s="873"/>
      <c r="N152" s="873"/>
      <c r="O152" s="873"/>
      <c r="P152" s="873"/>
      <c r="Q152" s="873"/>
      <c r="R152" s="873"/>
      <c r="S152" s="43"/>
      <c r="T152" s="872" t="s">
        <v>435</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424</v>
      </c>
      <c r="C153" s="874" t="s">
        <v>425</v>
      </c>
      <c r="D153" s="874" t="s">
        <v>282</v>
      </c>
      <c r="E153" s="5"/>
      <c r="F153" s="876" t="s">
        <v>283</v>
      </c>
      <c r="G153" s="876" t="s">
        <v>283</v>
      </c>
      <c r="H153" s="876" t="s">
        <v>283</v>
      </c>
      <c r="I153" s="876" t="s">
        <v>283</v>
      </c>
      <c r="J153" s="874" t="s">
        <v>427</v>
      </c>
      <c r="K153" s="5"/>
      <c r="L153" s="874" t="s">
        <v>429</v>
      </c>
      <c r="M153" s="5"/>
      <c r="N153" s="877" t="s">
        <v>431</v>
      </c>
      <c r="O153" s="874" t="s">
        <v>280</v>
      </c>
      <c r="P153" s="5"/>
      <c r="Q153" s="874" t="s">
        <v>398</v>
      </c>
      <c r="R153" s="5"/>
      <c r="S153" s="43"/>
      <c r="T153" s="874">
        <v>0.0</v>
      </c>
      <c r="U153" s="874" t="s">
        <v>424</v>
      </c>
      <c r="V153" s="874" t="s">
        <v>425</v>
      </c>
      <c r="W153" s="874" t="s">
        <v>282</v>
      </c>
      <c r="X153" s="5"/>
      <c r="Y153" s="876" t="s">
        <v>283</v>
      </c>
      <c r="Z153" s="876" t="s">
        <v>283</v>
      </c>
      <c r="AA153" s="876" t="s">
        <v>283</v>
      </c>
      <c r="AB153" s="876" t="s">
        <v>283</v>
      </c>
      <c r="AC153" s="874" t="s">
        <v>427</v>
      </c>
      <c r="AD153" s="5"/>
      <c r="AE153" s="874" t="s">
        <v>429</v>
      </c>
      <c r="AF153" s="5"/>
      <c r="AG153" s="877" t="s">
        <v>431</v>
      </c>
      <c r="AH153" s="874" t="s">
        <v>280</v>
      </c>
      <c r="AI153" s="5"/>
      <c r="AJ153" s="874" t="s">
        <v>398</v>
      </c>
      <c r="AK153" s="5"/>
    </row>
    <row r="154" ht="12.75" customHeight="1">
      <c r="A154" s="5">
        <f t="shared" ref="A154:A173" si="359">A153+1</f>
        <v>1</v>
      </c>
      <c r="B154" s="629" t="str">
        <f t="shared" ref="B154:C154" si="357">B108</f>
        <v>04</v>
      </c>
      <c r="C154" s="629" t="str">
        <f t="shared" si="357"/>
        <v>Nina</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4</v>
      </c>
      <c r="I154" s="880">
        <f>IF($B154="","",SUMPRODUCT(--(Lineups!$S$46:$S$83=$B154),Lineups!$W$46:$W$83))</f>
        <v>12</v>
      </c>
      <c r="J154" s="5">
        <f t="shared" ref="J154:J173" si="361">IF(B154="","",SUM(F154:I154))</f>
        <v>16</v>
      </c>
      <c r="K154" s="43"/>
      <c r="L154" s="5">
        <f t="shared" ref="L154:L173" si="362">IF(B154="","",SUM(D154,J154))</f>
        <v>16</v>
      </c>
      <c r="M154" s="43"/>
      <c r="N154" s="43"/>
      <c r="O154" s="5">
        <f>IF($B154="","",SUMPRODUCT(--(Lineups!$C$46:$C$83=$B154),Lineups!$W$46:$W$83))</f>
        <v>0</v>
      </c>
      <c r="P154" s="43"/>
      <c r="Q154" s="5">
        <f t="shared" ref="Q154:Q173" si="363">IF(B154="","",SUM(L154,O154))</f>
        <v>16</v>
      </c>
      <c r="R154" s="43"/>
      <c r="S154" s="43"/>
      <c r="T154" s="5">
        <f t="shared" ref="T154:T173" si="364">T153+1</f>
        <v>1</v>
      </c>
      <c r="U154" s="629" t="str">
        <f t="shared" ref="U154:V154" si="358">U108</f>
        <v>040</v>
      </c>
      <c r="V154" s="629" t="str">
        <f t="shared" si="358"/>
        <v>Ruff Rackelhahn</v>
      </c>
      <c r="W154" s="5">
        <f>IF($U154="","",SUMPRODUCT(--(Lineups!$AG$46:$AG$83=$U154),--(Lineups!$AB$46:$AB$83=""),Lineups!$AW$46:$AW$83))</f>
        <v>0</v>
      </c>
      <c r="X154" s="43"/>
      <c r="Y154" s="880">
        <f>IF($U154="","",SUMPRODUCT(--(Lineups!$AG$46:$AG$83=$U154),--(Lineups!$AB$46:$AB$83="X"),Lineups!$AW$46:$AW$83))</f>
        <v>0</v>
      </c>
      <c r="Z154" s="880">
        <f>IF($U154="","",SUMPRODUCT(--(Lineups!$AK$46:$AK$83=$U154),Lineups!$AW$46:$AW$83))</f>
        <v>4</v>
      </c>
      <c r="AA154" s="880">
        <f>IF($U154="","",SUMPRODUCT(--(Lineups!$AO$46:$AO$83=$U154),Lineups!$AW$46:$AW$83))</f>
        <v>8</v>
      </c>
      <c r="AB154" s="880">
        <f>IF($U154="","",SUMPRODUCT(--(Lineups!$AS$46:$AS$83=$U154),Lineups!$AW$46:$AW$83))</f>
        <v>62</v>
      </c>
      <c r="AC154" s="5">
        <f t="shared" ref="AC154:AC173" si="366">IF(U154="",0,SUM(Y154:AB154))</f>
        <v>74</v>
      </c>
      <c r="AD154" s="43"/>
      <c r="AE154" s="5">
        <f t="shared" ref="AE154:AE173" si="367">IF(U154="","",SUM(W154,AC154))</f>
        <v>74</v>
      </c>
      <c r="AF154" s="43"/>
      <c r="AG154" s="43"/>
      <c r="AH154" s="5">
        <f>IF($U154="","",SUMPRODUCT(--(Lineups!$AC$46:$AC$83=$U154),Lineups!$AW$46:$AW$83))</f>
        <v>0</v>
      </c>
      <c r="AI154" s="43"/>
      <c r="AJ154" s="5">
        <f t="shared" ref="AJ154:AJ173" si="368">IF(U154="","",SUM(AE154,AH154))</f>
        <v>74</v>
      </c>
      <c r="AK154" s="43"/>
    </row>
    <row r="155" ht="12.75" customHeight="1">
      <c r="A155" s="882">
        <f t="shared" si="359"/>
        <v>2</v>
      </c>
      <c r="B155" s="887" t="str">
        <f t="shared" ref="B155:C155" si="360">B109</f>
        <v>16</v>
      </c>
      <c r="C155" s="887" t="str">
        <f t="shared" si="360"/>
        <v>Saabor</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13</v>
      </c>
      <c r="P155" s="43"/>
      <c r="Q155" s="882">
        <f t="shared" si="363"/>
        <v>13</v>
      </c>
      <c r="R155" s="43"/>
      <c r="S155" s="43"/>
      <c r="T155" s="882">
        <f t="shared" si="364"/>
        <v>2</v>
      </c>
      <c r="U155" s="887" t="str">
        <f t="shared" ref="U155:V155" si="365">U109</f>
        <v>101</v>
      </c>
      <c r="V155" s="887" t="str">
        <f t="shared" si="365"/>
        <v>Powell</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64</v>
      </c>
      <c r="AI155" s="43"/>
      <c r="AJ155" s="882">
        <f t="shared" si="368"/>
        <v>64</v>
      </c>
      <c r="AK155" s="43"/>
    </row>
    <row r="156" ht="12.75" customHeight="1">
      <c r="A156" s="5">
        <f t="shared" si="359"/>
        <v>3</v>
      </c>
      <c r="B156" s="629" t="str">
        <f t="shared" ref="B156:C156" si="369">B110</f>
        <v>177</v>
      </c>
      <c r="C156" s="629" t="str">
        <f t="shared" si="369"/>
        <v>Phoenix</v>
      </c>
      <c r="D156" s="5">
        <f>IF($B156="","",SUMPRODUCT(--(Lineups!G$46:G$83=$B156),--(Lineups!B$46:B$83=""),Lineups!$W$46:$W$83))</f>
        <v>0</v>
      </c>
      <c r="E156" s="43"/>
      <c r="F156" s="880">
        <f>IF($B156="","",SUMPRODUCT(--(Lineups!G$46:G$83=$B156),--(Lineups!B$46:B$83="X"),Lineups!$W$46:$W$83))</f>
        <v>0</v>
      </c>
      <c r="G156" s="880">
        <f>IF($B156="","",SUMPRODUCT(--(Lineups!$K$46:$K$83=$B156),Lineups!$W$46:$W$83))</f>
        <v>9</v>
      </c>
      <c r="H156" s="880">
        <f>IF($B156="","",SUMPRODUCT(--(Lineups!$O$46:$O$83=$B156),Lineups!$W$46:$W$83))</f>
        <v>12</v>
      </c>
      <c r="I156" s="880">
        <f>IF($B156="","",SUMPRODUCT(--(Lineups!$S$46:$S$83=$B156),Lineups!$W$46:$W$83))</f>
        <v>10</v>
      </c>
      <c r="J156" s="5">
        <f t="shared" si="361"/>
        <v>31</v>
      </c>
      <c r="K156" s="43"/>
      <c r="L156" s="5">
        <f t="shared" si="362"/>
        <v>31</v>
      </c>
      <c r="M156" s="43"/>
      <c r="N156" s="43"/>
      <c r="O156" s="5">
        <f>IF($B156="","",SUMPRODUCT(--(Lineups!$C$46:$C$83=$B156),Lineups!$W$46:$W$83))</f>
        <v>0</v>
      </c>
      <c r="P156" s="43"/>
      <c r="Q156" s="5">
        <f t="shared" si="363"/>
        <v>31</v>
      </c>
      <c r="R156" s="43"/>
      <c r="S156" s="43"/>
      <c r="T156" s="5">
        <f t="shared" si="364"/>
        <v>3</v>
      </c>
      <c r="U156" s="629" t="str">
        <f t="shared" ref="U156:V156" si="370">U110</f>
        <v>11</v>
      </c>
      <c r="V156" s="629" t="str">
        <f t="shared" si="370"/>
        <v>Bambi Deerdevil</v>
      </c>
      <c r="W156" s="5">
        <f>IF($U156="","",SUMPRODUCT(--(Lineups!$AG$46:$AG$83=$U156),--(Lineups!$AB$46:$AB$83=""),Lineups!$AW$46:$AW$83))</f>
        <v>0</v>
      </c>
      <c r="X156" s="43"/>
      <c r="Y156" s="880">
        <f>IF($U156="","",SUMPRODUCT(--(Lineups!$AG$46:$AG$83=$U156),--(Lineups!$AB$46:$AB$83="X"),Lineups!$AW$46:$AW$83))</f>
        <v>4</v>
      </c>
      <c r="Z156" s="880">
        <f>IF($U156="","",SUMPRODUCT(--(Lineups!$AK$46:$AK$83=$U156),Lineups!$AW$46:$AW$83))</f>
        <v>0</v>
      </c>
      <c r="AA156" s="880">
        <f>IF($U156="","",SUMPRODUCT(--(Lineups!$AO$46:$AO$83=$U156),Lineups!$AW$46:$AW$83))</f>
        <v>0</v>
      </c>
      <c r="AB156" s="880">
        <f>IF($U156="","",SUMPRODUCT(--(Lineups!$AS$46:$AS$83=$U156),Lineups!$AW$46:$AW$83))</f>
        <v>0</v>
      </c>
      <c r="AC156" s="5">
        <f t="shared" si="366"/>
        <v>4</v>
      </c>
      <c r="AD156" s="43"/>
      <c r="AE156" s="5">
        <f t="shared" si="367"/>
        <v>4</v>
      </c>
      <c r="AF156" s="43"/>
      <c r="AG156" s="43"/>
      <c r="AH156" s="5">
        <f>IF($U156="","",SUMPRODUCT(--(Lineups!$AC$46:$AC$83=$U156),Lineups!$AW$46:$AW$83))</f>
        <v>31</v>
      </c>
      <c r="AI156" s="43"/>
      <c r="AJ156" s="5">
        <f t="shared" si="368"/>
        <v>35</v>
      </c>
      <c r="AK156" s="43"/>
    </row>
    <row r="157" ht="12.75" customHeight="1">
      <c r="A157" s="882">
        <f t="shared" si="359"/>
        <v>4</v>
      </c>
      <c r="B157" s="887" t="str">
        <f t="shared" ref="B157:C157" si="371">B111</f>
        <v>215</v>
      </c>
      <c r="C157" s="887" t="str">
        <f t="shared" si="371"/>
        <v>Pollock</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0</v>
      </c>
      <c r="M157" s="43"/>
      <c r="N157" s="43"/>
      <c r="O157" s="882">
        <f>IF($B157="","",SUMPRODUCT(--(Lineups!$C$46:$C$83=$B157),Lineups!$W$46:$W$83))</f>
        <v>0</v>
      </c>
      <c r="P157" s="43"/>
      <c r="Q157" s="882">
        <f t="shared" si="363"/>
        <v>0</v>
      </c>
      <c r="R157" s="43"/>
      <c r="S157" s="43"/>
      <c r="T157" s="882">
        <f t="shared" si="364"/>
        <v>4</v>
      </c>
      <c r="U157" s="887" t="str">
        <f t="shared" ref="U157:V157" si="372">U111</f>
        <v>33</v>
      </c>
      <c r="V157" s="887" t="str">
        <f t="shared" si="372"/>
        <v>Fox Mauler</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0</v>
      </c>
      <c r="AI157" s="43"/>
      <c r="AJ157" s="882">
        <f t="shared" si="368"/>
        <v>0</v>
      </c>
      <c r="AK157" s="43"/>
    </row>
    <row r="158" ht="12.75" customHeight="1">
      <c r="A158" s="5">
        <f t="shared" si="359"/>
        <v>5</v>
      </c>
      <c r="B158" s="629" t="str">
        <f t="shared" ref="B158:C158" si="373">B112</f>
        <v>27</v>
      </c>
      <c r="C158" s="629" t="str">
        <f t="shared" si="373"/>
        <v>MegaHurtz</v>
      </c>
      <c r="D158" s="5">
        <f>IF($B158="","",SUMPRODUCT(--(Lineups!G$46:G$83=$B158),--(Lineups!B$46:B$83=""),Lineups!$W$46:$W$83))</f>
        <v>0</v>
      </c>
      <c r="E158" s="43"/>
      <c r="F158" s="880">
        <f>IF($B158="","",SUMPRODUCT(--(Lineups!G$46:G$83=$B158),--(Lineups!B$46:B$83="X"),Lineups!$W$46:$W$83))</f>
        <v>0</v>
      </c>
      <c r="G158" s="880">
        <f>IF($B158="","",SUMPRODUCT(--(Lineups!$K$46:$K$83=$B158),Lineups!$W$46:$W$83))</f>
        <v>0</v>
      </c>
      <c r="H158" s="880">
        <f>IF($B158="","",SUMPRODUCT(--(Lineups!$O$46:$O$83=$B158),Lineups!$W$46:$W$83))</f>
        <v>0</v>
      </c>
      <c r="I158" s="880">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9" t="str">
        <f t="shared" ref="U158:V158" si="374">U112</f>
        <v>1337</v>
      </c>
      <c r="V158" s="629" t="str">
        <f t="shared" si="374"/>
        <v>8Bit Betty</v>
      </c>
      <c r="W158" s="5">
        <f>IF($U158="","",SUMPRODUCT(--(Lineups!$AG$46:$AG$83=$U158),--(Lineups!$AB$46:$AB$83=""),Lineups!$AW$46:$AW$83))</f>
        <v>48</v>
      </c>
      <c r="X158" s="43"/>
      <c r="Y158" s="880">
        <f>IF($U158="","",SUMPRODUCT(--(Lineups!$AG$46:$AG$83=$U158),--(Lineups!$AB$46:$AB$83="X"),Lineups!$AW$46:$AW$83))</f>
        <v>0</v>
      </c>
      <c r="Z158" s="880">
        <f>IF($U158="","",SUMPRODUCT(--(Lineups!$AK$46:$AK$83=$U158),Lineups!$AW$46:$AW$83))</f>
        <v>4</v>
      </c>
      <c r="AA158" s="880">
        <f>IF($U158="","",SUMPRODUCT(--(Lineups!$AO$46:$AO$83=$U158),Lineups!$AW$46:$AW$83))</f>
        <v>0</v>
      </c>
      <c r="AB158" s="880">
        <f>IF($U158="","",SUMPRODUCT(--(Lineups!$AS$46:$AS$83=$U158),Lineups!$AW$46:$AW$83))</f>
        <v>8</v>
      </c>
      <c r="AC158" s="5">
        <f t="shared" si="366"/>
        <v>12</v>
      </c>
      <c r="AD158" s="43"/>
      <c r="AE158" s="5">
        <f t="shared" si="367"/>
        <v>60</v>
      </c>
      <c r="AF158" s="43"/>
      <c r="AG158" s="43"/>
      <c r="AH158" s="5">
        <f>IF($U158="","",SUMPRODUCT(--(Lineups!$AC$46:$AC$83=$U158),Lineups!$AW$46:$AW$83))</f>
        <v>0</v>
      </c>
      <c r="AI158" s="43"/>
      <c r="AJ158" s="5">
        <f t="shared" si="368"/>
        <v>60</v>
      </c>
      <c r="AK158" s="43"/>
    </row>
    <row r="159" ht="12.75" customHeight="1">
      <c r="A159" s="882">
        <f t="shared" si="359"/>
        <v>6</v>
      </c>
      <c r="B159" s="887" t="str">
        <f t="shared" ref="B159:C159" si="375">B113</f>
        <v>271</v>
      </c>
      <c r="C159" s="887" t="str">
        <f t="shared" si="375"/>
        <v>Peb Canary</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24</v>
      </c>
      <c r="P159" s="43"/>
      <c r="Q159" s="882">
        <f t="shared" si="363"/>
        <v>24</v>
      </c>
      <c r="R159" s="43"/>
      <c r="S159" s="43"/>
      <c r="T159" s="882">
        <f t="shared" si="364"/>
        <v>6</v>
      </c>
      <c r="U159" s="887" t="str">
        <f t="shared" ref="U159:V159" si="376">U113</f>
        <v>150</v>
      </c>
      <c r="V159" s="887" t="str">
        <f t="shared" si="376"/>
        <v>Cooney</v>
      </c>
      <c r="W159" s="882">
        <f>IF($U159="","",SUMPRODUCT(--(Lineups!$AG$46:$AG$83=$U159),--(Lineups!$AB$46:$AB$83=""),Lineups!$AW$46:$AW$83))</f>
        <v>0</v>
      </c>
      <c r="X159" s="43"/>
      <c r="Y159" s="880">
        <f>IF($U159="","",SUMPRODUCT(--(Lineups!$AG$46:$AG$83=$U159),--(Lineups!$AB$46:$AB$83="X"),Lineups!$AW$46:$AW$83))</f>
        <v>0</v>
      </c>
      <c r="Z159" s="880">
        <f>IF($U159="","",SUMPRODUCT(--(Lineups!$AK$46:$AK$83=$U159),Lineups!$AW$46:$AW$83))</f>
        <v>20</v>
      </c>
      <c r="AA159" s="880">
        <f>IF($U159="","",SUMPRODUCT(--(Lineups!$AO$46:$AO$83=$U159),Lineups!$AW$46:$AW$83))</f>
        <v>20</v>
      </c>
      <c r="AB159" s="880">
        <f>IF($U159="","",SUMPRODUCT(--(Lineups!$AS$46:$AS$83=$U159),Lineups!$AW$46:$AW$83))</f>
        <v>4</v>
      </c>
      <c r="AC159" s="882">
        <f t="shared" si="366"/>
        <v>44</v>
      </c>
      <c r="AD159" s="43"/>
      <c r="AE159" s="882">
        <f t="shared" si="367"/>
        <v>44</v>
      </c>
      <c r="AF159" s="43"/>
      <c r="AG159" s="43"/>
      <c r="AH159" s="882">
        <f>IF($U159="","",SUMPRODUCT(--(Lineups!$AC$46:$AC$83=$U159),Lineups!$AW$46:$AW$83))</f>
        <v>0</v>
      </c>
      <c r="AI159" s="43"/>
      <c r="AJ159" s="882">
        <f t="shared" si="368"/>
        <v>44</v>
      </c>
      <c r="AK159" s="43"/>
    </row>
    <row r="160" ht="12.75" customHeight="1">
      <c r="A160" s="5">
        <f t="shared" si="359"/>
        <v>7</v>
      </c>
      <c r="B160" s="629" t="str">
        <f t="shared" ref="B160:C160" si="377">B114</f>
        <v>220</v>
      </c>
      <c r="C160" s="629" t="str">
        <f t="shared" si="377"/>
        <v>Cerosene</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7</v>
      </c>
      <c r="I160" s="880">
        <f>IF($B160="","",SUMPRODUCT(--(Lineups!$S$46:$S$83=$B160),Lineups!$W$46:$W$83))</f>
        <v>20</v>
      </c>
      <c r="J160" s="5">
        <f t="shared" si="361"/>
        <v>27</v>
      </c>
      <c r="K160" s="43"/>
      <c r="L160" s="5">
        <f t="shared" si="362"/>
        <v>27</v>
      </c>
      <c r="M160" s="43"/>
      <c r="N160" s="43"/>
      <c r="O160" s="5">
        <f>IF($B160="","",SUMPRODUCT(--(Lineups!$C$46:$C$83=$B160),Lineups!$W$46:$W$83))</f>
        <v>0</v>
      </c>
      <c r="P160" s="43"/>
      <c r="Q160" s="5">
        <f t="shared" si="363"/>
        <v>27</v>
      </c>
      <c r="R160" s="43"/>
      <c r="S160" s="43"/>
      <c r="T160" s="5">
        <f t="shared" si="364"/>
        <v>7</v>
      </c>
      <c r="U160" s="629" t="str">
        <f t="shared" ref="U160:V160" si="378">U114</f>
        <v>16</v>
      </c>
      <c r="V160" s="629" t="str">
        <f t="shared" si="378"/>
        <v>Jemerald</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0</v>
      </c>
      <c r="AF160" s="43"/>
      <c r="AG160" s="43"/>
      <c r="AH160" s="5">
        <f>IF($U160="","",SUMPRODUCT(--(Lineups!$AC$46:$AC$83=$U160),Lineups!$AW$46:$AW$83))</f>
        <v>50</v>
      </c>
      <c r="AI160" s="43"/>
      <c r="AJ160" s="5">
        <f t="shared" si="368"/>
        <v>50</v>
      </c>
      <c r="AK160" s="43"/>
    </row>
    <row r="161" ht="12.75" customHeight="1">
      <c r="A161" s="882">
        <f t="shared" si="359"/>
        <v>8</v>
      </c>
      <c r="B161" s="887" t="str">
        <f t="shared" ref="B161:C161" si="379">B115</f>
        <v>3556</v>
      </c>
      <c r="C161" s="887" t="str">
        <f t="shared" si="379"/>
        <v>Crystal Beth</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0</v>
      </c>
      <c r="P161" s="43"/>
      <c r="Q161" s="882">
        <f t="shared" si="363"/>
        <v>0</v>
      </c>
      <c r="R161" s="43"/>
      <c r="S161" s="43"/>
      <c r="T161" s="882">
        <f t="shared" si="364"/>
        <v>8</v>
      </c>
      <c r="U161" s="887" t="str">
        <f t="shared" ref="U161:V161" si="380">U115</f>
        <v>3110</v>
      </c>
      <c r="V161" s="887" t="str">
        <f t="shared" si="380"/>
        <v>Grand DAM</v>
      </c>
      <c r="W161" s="882">
        <f>IF($U161="","",SUMPRODUCT(--(Lineups!$AG$46:$AG$83=$U161),--(Lineups!$AB$46:$AB$83=""),Lineups!$AW$46:$AW$83))</f>
        <v>0</v>
      </c>
      <c r="X161" s="43"/>
      <c r="Y161" s="880">
        <f>IF($U161="","",SUMPRODUCT(--(Lineups!$AG$46:$AG$83=$U161),--(Lineups!$AB$46:$AB$83="X"),Lineups!$AW$46:$AW$83))</f>
        <v>0</v>
      </c>
      <c r="Z161" s="880">
        <f>IF($U161="","",SUMPRODUCT(--(Lineups!$AK$46:$AK$83=$U161),Lineups!$AW$46:$AW$83))</f>
        <v>16</v>
      </c>
      <c r="AA161" s="880">
        <f>IF($U161="","",SUMPRODUCT(--(Lineups!$AO$46:$AO$83=$U161),Lineups!$AW$46:$AW$83))</f>
        <v>45</v>
      </c>
      <c r="AB161" s="880">
        <f>IF($U161="","",SUMPRODUCT(--(Lineups!$AS$46:$AS$83=$U161),Lineups!$AW$46:$AW$83))</f>
        <v>4</v>
      </c>
      <c r="AC161" s="882">
        <f t="shared" si="366"/>
        <v>65</v>
      </c>
      <c r="AD161" s="43"/>
      <c r="AE161" s="882">
        <f t="shared" si="367"/>
        <v>65</v>
      </c>
      <c r="AF161" s="43"/>
      <c r="AG161" s="43"/>
      <c r="AH161" s="882">
        <f>IF($U161="","",SUMPRODUCT(--(Lineups!$AC$46:$AC$83=$U161),Lineups!$AW$46:$AW$83))</f>
        <v>0</v>
      </c>
      <c r="AI161" s="43"/>
      <c r="AJ161" s="882">
        <f t="shared" si="368"/>
        <v>65</v>
      </c>
      <c r="AK161" s="43"/>
    </row>
    <row r="162" ht="12.75" customHeight="1">
      <c r="A162" s="5">
        <f t="shared" si="359"/>
        <v>9</v>
      </c>
      <c r="B162" s="629" t="str">
        <f t="shared" ref="B162:C162" si="381">B116</f>
        <v>360</v>
      </c>
      <c r="C162" s="629" t="str">
        <f t="shared" si="381"/>
        <v>Baxter</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9" t="str">
        <f t="shared" ref="U162:V162" si="382">U116</f>
        <v>333</v>
      </c>
      <c r="V162" s="629" t="str">
        <f t="shared" si="382"/>
        <v>Yonic Cyclonic</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2">
        <f t="shared" si="359"/>
        <v>10</v>
      </c>
      <c r="B163" s="887" t="str">
        <f t="shared" ref="B163:C163" si="383">B117</f>
        <v>40</v>
      </c>
      <c r="C163" s="887" t="str">
        <f t="shared" si="383"/>
        <v>Kid</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0</v>
      </c>
      <c r="P163" s="43"/>
      <c r="Q163" s="882">
        <f t="shared" si="363"/>
        <v>0</v>
      </c>
      <c r="R163" s="43"/>
      <c r="S163" s="43"/>
      <c r="T163" s="882">
        <f t="shared" si="364"/>
        <v>10</v>
      </c>
      <c r="U163" s="887" t="str">
        <f t="shared" ref="U163:V163" si="384">U117</f>
        <v>4</v>
      </c>
      <c r="V163" s="887" t="str">
        <f t="shared" si="384"/>
        <v>Stabba</v>
      </c>
      <c r="W163" s="882">
        <f>IF($U163="","",SUMPRODUCT(--(Lineups!$AG$46:$AG$83=$U163),--(Lineups!$AB$46:$AB$83=""),Lineups!$AW$46:$AW$83))</f>
        <v>0</v>
      </c>
      <c r="X163" s="43"/>
      <c r="Y163" s="880">
        <f>IF($U163="","",SUMPRODUCT(--(Lineups!$AG$46:$AG$83=$U163),--(Lineups!$AB$46:$AB$83="X"),Lineups!$AW$46:$AW$83))</f>
        <v>0</v>
      </c>
      <c r="Z163" s="880">
        <f>IF($U163="","",SUMPRODUCT(--(Lineups!$AK$46:$AK$83=$U163),Lineups!$AW$46:$AW$83))</f>
        <v>3</v>
      </c>
      <c r="AA163" s="880">
        <f>IF($U163="","",SUMPRODUCT(--(Lineups!$AO$46:$AO$83=$U163),Lineups!$AW$46:$AW$83))</f>
        <v>12</v>
      </c>
      <c r="AB163" s="880">
        <f>IF($U163="","",SUMPRODUCT(--(Lineups!$AS$46:$AS$83=$U163),Lineups!$AW$46:$AW$83))</f>
        <v>20</v>
      </c>
      <c r="AC163" s="882">
        <f t="shared" si="366"/>
        <v>35</v>
      </c>
      <c r="AD163" s="43"/>
      <c r="AE163" s="882">
        <f t="shared" si="367"/>
        <v>35</v>
      </c>
      <c r="AF163" s="43"/>
      <c r="AG163" s="43"/>
      <c r="AH163" s="882">
        <f>IF($U163="","",SUMPRODUCT(--(Lineups!$AC$46:$AC$83=$U163),Lineups!$AW$46:$AW$83))</f>
        <v>0</v>
      </c>
      <c r="AI163" s="43"/>
      <c r="AJ163" s="882">
        <f t="shared" si="368"/>
        <v>35</v>
      </c>
      <c r="AK163" s="43"/>
    </row>
    <row r="164" ht="12.75" customHeight="1">
      <c r="A164" s="5">
        <f t="shared" si="359"/>
        <v>11</v>
      </c>
      <c r="B164" s="629" t="str">
        <f t="shared" ref="B164:C164" si="385">B118</f>
        <v>42</v>
      </c>
      <c r="C164" s="629" t="str">
        <f t="shared" si="385"/>
        <v>Bosh</v>
      </c>
      <c r="D164" s="5">
        <f>IF($B164="","",SUMPRODUCT(--(Lineups!G$46:G$83=$B164),--(Lineups!B$46:B$83=""),Lineups!$W$46:$W$83))</f>
        <v>23</v>
      </c>
      <c r="E164" s="43"/>
      <c r="F164" s="880">
        <f>IF($B164="","",SUMPRODUCT(--(Lineups!G$46:G$83=$B164),--(Lineups!B$46:B$83="X"),Lineups!$W$46:$W$83))</f>
        <v>0</v>
      </c>
      <c r="G164" s="880">
        <f>IF($B164="","",SUMPRODUCT(--(Lineups!$K$46:$K$83=$B164),Lineups!$W$46:$W$83))</f>
        <v>4</v>
      </c>
      <c r="H164" s="880">
        <f>IF($B164="","",SUMPRODUCT(--(Lineups!$O$46:$O$83=$B164),Lineups!$W$46:$W$83))</f>
        <v>2</v>
      </c>
      <c r="I164" s="880">
        <f>IF($B164="","",SUMPRODUCT(--(Lineups!$S$46:$S$83=$B164),Lineups!$W$46:$W$83))</f>
        <v>9</v>
      </c>
      <c r="J164" s="5">
        <f t="shared" si="361"/>
        <v>15</v>
      </c>
      <c r="K164" s="43"/>
      <c r="L164" s="5">
        <f t="shared" si="362"/>
        <v>38</v>
      </c>
      <c r="M164" s="43"/>
      <c r="N164" s="43"/>
      <c r="O164" s="5">
        <f>IF($B164="","",SUMPRODUCT(--(Lineups!$C$46:$C$83=$B164),Lineups!$W$46:$W$83))</f>
        <v>0</v>
      </c>
      <c r="P164" s="43"/>
      <c r="Q164" s="5">
        <f t="shared" si="363"/>
        <v>38</v>
      </c>
      <c r="R164" s="43"/>
      <c r="S164" s="43"/>
      <c r="T164" s="5">
        <f t="shared" si="364"/>
        <v>11</v>
      </c>
      <c r="U164" s="629" t="str">
        <f t="shared" ref="U164:V164" si="386">U118</f>
        <v>42</v>
      </c>
      <c r="V164" s="629" t="str">
        <f t="shared" si="386"/>
        <v>Pretty Carless</v>
      </c>
      <c r="W164" s="5">
        <f>IF($U164="","",SUMPRODUCT(--(Lineups!$AG$46:$AG$83=$U164),--(Lineups!$AB$46:$AB$83=""),Lineups!$AW$46:$AW$83))</f>
        <v>27</v>
      </c>
      <c r="X164" s="43"/>
      <c r="Y164" s="880">
        <f>IF($U164="","",SUMPRODUCT(--(Lineups!$AG$46:$AG$83=$U164),--(Lineups!$AB$46:$AB$83="X"),Lineups!$AW$46:$AW$83))</f>
        <v>0</v>
      </c>
      <c r="Z164" s="880">
        <f>IF($U164="","",SUMPRODUCT(--(Lineups!$AK$46:$AK$83=$U164),Lineups!$AW$46:$AW$83))</f>
        <v>4</v>
      </c>
      <c r="AA164" s="880">
        <f>IF($U164="","",SUMPRODUCT(--(Lineups!$AO$46:$AO$83=$U164),Lineups!$AW$46:$AW$83))</f>
        <v>0</v>
      </c>
      <c r="AB164" s="880">
        <f>IF($U164="","",SUMPRODUCT(--(Lineups!$AS$46:$AS$83=$U164),Lineups!$AW$46:$AW$83))</f>
        <v>8</v>
      </c>
      <c r="AC164" s="5">
        <f t="shared" si="366"/>
        <v>12</v>
      </c>
      <c r="AD164" s="43"/>
      <c r="AE164" s="5">
        <f t="shared" si="367"/>
        <v>39</v>
      </c>
      <c r="AF164" s="43"/>
      <c r="AG164" s="43"/>
      <c r="AH164" s="5">
        <f>IF($U164="","",SUMPRODUCT(--(Lineups!$AC$46:$AC$83=$U164),Lineups!$AW$46:$AW$83))</f>
        <v>0</v>
      </c>
      <c r="AI164" s="43"/>
      <c r="AJ164" s="5">
        <f t="shared" si="368"/>
        <v>39</v>
      </c>
      <c r="AK164" s="43"/>
    </row>
    <row r="165" ht="12.75" customHeight="1">
      <c r="A165" s="882">
        <f t="shared" si="359"/>
        <v>12</v>
      </c>
      <c r="B165" s="887" t="str">
        <f t="shared" ref="B165:C165" si="387">B119</f>
        <v>44</v>
      </c>
      <c r="C165" s="887" t="str">
        <f t="shared" si="387"/>
        <v>Esparcieux</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0</v>
      </c>
      <c r="P165" s="43"/>
      <c r="Q165" s="882">
        <f t="shared" si="363"/>
        <v>0</v>
      </c>
      <c r="R165" s="43"/>
      <c r="S165" s="43"/>
      <c r="T165" s="882">
        <f t="shared" si="364"/>
        <v>12</v>
      </c>
      <c r="U165" s="887" t="str">
        <f t="shared" ref="U165:V165" si="388">U119</f>
        <v>48</v>
      </c>
      <c r="V165" s="887" t="str">
        <f t="shared" si="388"/>
        <v>Tini from the Bloc</v>
      </c>
      <c r="W165" s="882">
        <f>IF($U165="","",SUMPRODUCT(--(Lineups!$AG$46:$AG$83=$U165),--(Lineups!$AB$46:$AB$83=""),Lineups!$AW$46:$AW$83))</f>
        <v>0</v>
      </c>
      <c r="X165" s="43"/>
      <c r="Y165" s="880">
        <f>IF($U165="","",SUMPRODUCT(--(Lineups!$AG$46:$AG$83=$U165),--(Lineups!$AB$46:$AB$83="X"),Lineups!$AW$46:$AW$83))</f>
        <v>0</v>
      </c>
      <c r="Z165" s="880">
        <f>IF($U165="","",SUMPRODUCT(--(Lineups!$AK$46:$AK$83=$U165),Lineups!$AW$46:$AW$83))</f>
        <v>24</v>
      </c>
      <c r="AA165" s="880">
        <f>IF($U165="","",SUMPRODUCT(--(Lineups!$AO$46:$AO$83=$U165),Lineups!$AW$46:$AW$83))</f>
        <v>4</v>
      </c>
      <c r="AB165" s="880">
        <f>IF($U165="","",SUMPRODUCT(--(Lineups!$AS$46:$AS$83=$U165),Lineups!$AW$46:$AW$83))</f>
        <v>11</v>
      </c>
      <c r="AC165" s="882">
        <f t="shared" si="366"/>
        <v>39</v>
      </c>
      <c r="AD165" s="43"/>
      <c r="AE165" s="882">
        <f t="shared" si="367"/>
        <v>39</v>
      </c>
      <c r="AF165" s="43"/>
      <c r="AG165" s="43"/>
      <c r="AH165" s="882">
        <f>IF($U165="","",SUMPRODUCT(--(Lineups!$AC$46:$AC$83=$U165),Lineups!$AW$46:$AW$83))</f>
        <v>0</v>
      </c>
      <c r="AI165" s="43"/>
      <c r="AJ165" s="882">
        <f t="shared" si="368"/>
        <v>39</v>
      </c>
      <c r="AK165" s="43"/>
    </row>
    <row r="166" ht="12.75" customHeight="1">
      <c r="A166" s="5">
        <f t="shared" si="359"/>
        <v>13</v>
      </c>
      <c r="B166" s="629" t="str">
        <f t="shared" ref="B166:C166" si="389">B120</f>
        <v>45</v>
      </c>
      <c r="C166" s="629" t="str">
        <f t="shared" si="389"/>
        <v>Hawk</v>
      </c>
      <c r="D166" s="5">
        <f>IF($B166="","",SUMPRODUCT(--(Lineups!G$46:G$83=$B166),--(Lineups!B$46:B$83=""),Lineups!$W$46:$W$83))</f>
        <v>0</v>
      </c>
      <c r="E166" s="43"/>
      <c r="F166" s="880">
        <f>IF($B166="","",SUMPRODUCT(--(Lineups!G$46:G$83=$B166),--(Lineups!B$46:B$83="X"),Lineups!$W$46:$W$83))</f>
        <v>4</v>
      </c>
      <c r="G166" s="880">
        <f>IF($B166="","",SUMPRODUCT(--(Lineups!$K$46:$K$83=$B166),Lineups!$W$46:$W$83))</f>
        <v>0</v>
      </c>
      <c r="H166" s="880">
        <f>IF($B166="","",SUMPRODUCT(--(Lineups!$O$46:$O$83=$B166),Lineups!$W$46:$W$83))</f>
        <v>0</v>
      </c>
      <c r="I166" s="880">
        <f>IF($B166="","",SUMPRODUCT(--(Lineups!$S$46:$S$83=$B166),Lineups!$W$46:$W$83))</f>
        <v>0</v>
      </c>
      <c r="J166" s="5">
        <f t="shared" si="361"/>
        <v>4</v>
      </c>
      <c r="K166" s="43"/>
      <c r="L166" s="5">
        <f t="shared" si="362"/>
        <v>4</v>
      </c>
      <c r="M166" s="43"/>
      <c r="N166" s="43"/>
      <c r="O166" s="5">
        <f>IF($B166="","",SUMPRODUCT(--(Lineups!$C$46:$C$83=$B166),Lineups!$W$46:$W$83))</f>
        <v>12</v>
      </c>
      <c r="P166" s="43"/>
      <c r="Q166" s="5">
        <f t="shared" si="363"/>
        <v>16</v>
      </c>
      <c r="R166" s="43"/>
      <c r="S166" s="43"/>
      <c r="T166" s="5">
        <f t="shared" si="364"/>
        <v>13</v>
      </c>
      <c r="U166" s="629" t="str">
        <f t="shared" ref="U166:V166" si="390">U120</f>
        <v>167</v>
      </c>
      <c r="V166" s="629" t="str">
        <f t="shared" si="390"/>
        <v>Rile E Coyote</v>
      </c>
      <c r="W166" s="5">
        <f>IF($U166="","",SUMPRODUCT(--(Lineups!$AG$46:$AG$83=$U166),--(Lineups!$AB$46:$AB$83=""),Lineups!$AW$46:$AW$83))</f>
        <v>0</v>
      </c>
      <c r="X166" s="43"/>
      <c r="Y166" s="880">
        <f>IF($U166="","",SUMPRODUCT(--(Lineups!$AG$46:$AG$83=$U166),--(Lineups!$AB$46:$AB$83="X"),Lineups!$AW$46:$AW$83))</f>
        <v>0</v>
      </c>
      <c r="Z166" s="880">
        <f>IF($U166="","",SUMPRODUCT(--(Lineups!$AK$46:$AK$83=$U166),Lineups!$AW$46:$AW$83))</f>
        <v>30</v>
      </c>
      <c r="AA166" s="880">
        <f>IF($U166="","",SUMPRODUCT(--(Lineups!$AO$46:$AO$83=$U166),Lineups!$AW$46:$AW$83))</f>
        <v>16</v>
      </c>
      <c r="AB166" s="880">
        <f>IF($U166="","",SUMPRODUCT(--(Lineups!$AS$46:$AS$83=$U166),Lineups!$AW$46:$AW$83))</f>
        <v>16</v>
      </c>
      <c r="AC166" s="5">
        <f t="shared" si="366"/>
        <v>62</v>
      </c>
      <c r="AD166" s="43"/>
      <c r="AE166" s="5">
        <f t="shared" si="367"/>
        <v>62</v>
      </c>
      <c r="AF166" s="43"/>
      <c r="AG166" s="43"/>
      <c r="AH166" s="5">
        <f>IF($U166="","",SUMPRODUCT(--(Lineups!$AC$46:$AC$83=$U166),Lineups!$AW$46:$AW$83))</f>
        <v>0</v>
      </c>
      <c r="AI166" s="43"/>
      <c r="AJ166" s="5">
        <f t="shared" si="368"/>
        <v>62</v>
      </c>
      <c r="AK166" s="43"/>
    </row>
    <row r="167" ht="12.75" customHeight="1">
      <c r="A167" s="882">
        <f t="shared" si="359"/>
        <v>14</v>
      </c>
      <c r="B167" s="887" t="str">
        <f t="shared" ref="B167:C167" si="391">B121</f>
        <v>48</v>
      </c>
      <c r="C167" s="887" t="str">
        <f t="shared" si="391"/>
        <v>Ward</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13</v>
      </c>
      <c r="I167" s="880">
        <f>IF($B167="","",SUMPRODUCT(--(Lineups!$S$46:$S$83=$B167),Lineups!$W$46:$W$83))</f>
        <v>4</v>
      </c>
      <c r="J167" s="882">
        <f t="shared" si="361"/>
        <v>17</v>
      </c>
      <c r="K167" s="43"/>
      <c r="L167" s="882">
        <f t="shared" si="362"/>
        <v>17</v>
      </c>
      <c r="M167" s="43"/>
      <c r="N167" s="43"/>
      <c r="O167" s="882">
        <f>IF($B167="","",SUMPRODUCT(--(Lineups!$C$46:$C$83=$B167),Lineups!$W$46:$W$83))</f>
        <v>0</v>
      </c>
      <c r="P167" s="43"/>
      <c r="Q167" s="882">
        <f t="shared" si="363"/>
        <v>17</v>
      </c>
      <c r="R167" s="43"/>
      <c r="S167" s="43"/>
      <c r="T167" s="882">
        <f t="shared" si="364"/>
        <v>14</v>
      </c>
      <c r="U167" s="887" t="str">
        <f t="shared" ref="U167:V167" si="392">U121</f>
        <v>602</v>
      </c>
      <c r="V167" s="887" t="str">
        <f t="shared" si="392"/>
        <v>Fearidum</v>
      </c>
      <c r="W167" s="882">
        <f>IF($U167="","",SUMPRODUCT(--(Lineups!$AG$46:$AG$83=$U167),--(Lineups!$AB$46:$AB$83=""),Lineups!$AW$46:$AW$83))</f>
        <v>0</v>
      </c>
      <c r="X167" s="43"/>
      <c r="Y167" s="880">
        <f>IF($U167="","",SUMPRODUCT(--(Lineups!$AG$46:$AG$83=$U167),--(Lineups!$AB$46:$AB$83="X"),Lineups!$AW$46:$AW$83))</f>
        <v>0</v>
      </c>
      <c r="Z167" s="880">
        <f>IF($U167="","",SUMPRODUCT(--(Lineups!$AK$46:$AK$83=$U167),Lineups!$AW$46:$AW$83))</f>
        <v>0</v>
      </c>
      <c r="AA167" s="880">
        <f>IF($U167="","",SUMPRODUCT(--(Lineups!$AO$46:$AO$83=$U167),Lineups!$AW$46:$AW$83))</f>
        <v>16</v>
      </c>
      <c r="AB167" s="880">
        <f>IF($U167="","",SUMPRODUCT(--(Lineups!$AS$46:$AS$83=$U167),Lineups!$AW$46:$AW$83))</f>
        <v>12</v>
      </c>
      <c r="AC167" s="882">
        <f t="shared" si="366"/>
        <v>28</v>
      </c>
      <c r="AD167" s="43"/>
      <c r="AE167" s="882">
        <f t="shared" si="367"/>
        <v>28</v>
      </c>
      <c r="AF167" s="43"/>
      <c r="AG167" s="43"/>
      <c r="AH167" s="882">
        <f>IF($U167="","",SUMPRODUCT(--(Lineups!$AC$46:$AC$83=$U167),Lineups!$AW$46:$AW$83))</f>
        <v>0</v>
      </c>
      <c r="AI167" s="43"/>
      <c r="AJ167" s="882">
        <f t="shared" si="368"/>
        <v>28</v>
      </c>
      <c r="AK167" s="43"/>
    </row>
    <row r="168" ht="12.75" customHeight="1">
      <c r="A168" s="5">
        <f t="shared" si="359"/>
        <v>15</v>
      </c>
      <c r="B168" s="629" t="str">
        <f t="shared" ref="B168:C168" si="393">B122</f>
        <v>565</v>
      </c>
      <c r="C168" s="629" t="str">
        <f t="shared" si="393"/>
        <v>Melyn</v>
      </c>
      <c r="D168" s="5">
        <f>IF($B168="","",SUMPRODUCT(--(Lineups!G$46:G$83=$B168),--(Lineups!B$46:B$83=""),Lineups!$W$46:$W$83))</f>
        <v>0</v>
      </c>
      <c r="E168" s="43"/>
      <c r="F168" s="880">
        <f>IF($B168="","",SUMPRODUCT(--(Lineups!G$46:G$83=$B168),--(Lineups!B$46:B$83="X"),Lineups!$W$46:$W$83))</f>
        <v>0</v>
      </c>
      <c r="G168" s="880">
        <f>IF($B168="","",SUMPRODUCT(--(Lineups!$K$46:$K$83=$B168),Lineups!$W$46:$W$83))</f>
        <v>4</v>
      </c>
      <c r="H168" s="880">
        <f>IF($B168="","",SUMPRODUCT(--(Lineups!$O$46:$O$83=$B168),Lineups!$W$46:$W$83))</f>
        <v>12</v>
      </c>
      <c r="I168" s="880">
        <f>IF($B168="","",SUMPRODUCT(--(Lineups!$S$46:$S$83=$B168),Lineups!$W$46:$W$83))</f>
        <v>0</v>
      </c>
      <c r="J168" s="5">
        <f t="shared" si="361"/>
        <v>16</v>
      </c>
      <c r="K168" s="43"/>
      <c r="L168" s="5">
        <f t="shared" si="362"/>
        <v>16</v>
      </c>
      <c r="M168" s="43"/>
      <c r="N168" s="43"/>
      <c r="O168" s="5">
        <f>IF($B168="","",SUMPRODUCT(--(Lineups!$C$46:$C$83=$B168),Lineups!$W$46:$W$83))</f>
        <v>0</v>
      </c>
      <c r="P168" s="43"/>
      <c r="Q168" s="5">
        <f t="shared" si="363"/>
        <v>16</v>
      </c>
      <c r="R168" s="43"/>
      <c r="S168" s="43"/>
      <c r="T168" s="5">
        <f t="shared" si="364"/>
        <v>15</v>
      </c>
      <c r="U168" s="629" t="str">
        <f t="shared" ref="U168:V168" si="394">U122</f>
        <v>777</v>
      </c>
      <c r="V168" s="629" t="str">
        <f t="shared" si="394"/>
        <v>Des</v>
      </c>
      <c r="W168" s="5">
        <f>IF($U168="","",SUMPRODUCT(--(Lineups!$AG$46:$AG$83=$U168),--(Lineups!$AB$46:$AB$83=""),Lineups!$AW$46:$AW$83))</f>
        <v>0</v>
      </c>
      <c r="X168" s="43"/>
      <c r="Y168" s="880">
        <f>IF($U168="","",SUMPRODUCT(--(Lineups!$AG$46:$AG$83=$U168),--(Lineups!$AB$46:$AB$83="X"),Lineups!$AW$46:$AW$83))</f>
        <v>0</v>
      </c>
      <c r="Z168" s="880">
        <f>IF($U168="","",SUMPRODUCT(--(Lineups!$AK$46:$AK$83=$U168),Lineups!$AW$46:$AW$83))</f>
        <v>32</v>
      </c>
      <c r="AA168" s="880">
        <f>IF($U168="","",SUMPRODUCT(--(Lineups!$AO$46:$AO$83=$U168),Lineups!$AW$46:$AW$83))</f>
        <v>28</v>
      </c>
      <c r="AB168" s="880">
        <f>IF($U168="","",SUMPRODUCT(--(Lineups!$AS$46:$AS$83=$U168),Lineups!$AW$46:$AW$83))</f>
        <v>4</v>
      </c>
      <c r="AC168" s="5">
        <f t="shared" si="366"/>
        <v>64</v>
      </c>
      <c r="AD168" s="43"/>
      <c r="AE168" s="5">
        <f t="shared" si="367"/>
        <v>64</v>
      </c>
      <c r="AF168" s="43"/>
      <c r="AG168" s="43"/>
      <c r="AH168" s="5">
        <f>IF($U168="","",SUMPRODUCT(--(Lineups!$AC$46:$AC$83=$U168),Lineups!$AW$46:$AW$83))</f>
        <v>0</v>
      </c>
      <c r="AI168" s="43"/>
      <c r="AJ168" s="5">
        <f t="shared" si="368"/>
        <v>64</v>
      </c>
      <c r="AK168" s="43"/>
    </row>
    <row r="169" ht="12.75" customHeight="1">
      <c r="A169" s="882">
        <f t="shared" si="359"/>
        <v>16</v>
      </c>
      <c r="B169" s="887" t="str">
        <f t="shared" ref="B169:C169" si="395">B123</f>
        <v>50</v>
      </c>
      <c r="C169" s="887" t="str">
        <f t="shared" si="395"/>
        <v>Gray</v>
      </c>
      <c r="D169" s="882">
        <f>IF($B169="","",SUMPRODUCT(--(Lineups!G$46:G$83=$B169),--(Lineups!B$46:B$83=""),Lineups!$W$46:$W$83))</f>
        <v>0</v>
      </c>
      <c r="E169" s="43"/>
      <c r="F169" s="880">
        <f>IF($B169="","",SUMPRODUCT(--(Lineups!G$46:G$83=$B169),--(Lineups!B$46:B$83="X"),Lineups!$W$46:$W$83))</f>
        <v>0</v>
      </c>
      <c r="G169" s="880">
        <f>IF($B169="","",SUMPRODUCT(--(Lineups!$K$46:$K$83=$B169),Lineups!$W$46:$W$83))</f>
        <v>12</v>
      </c>
      <c r="H169" s="880">
        <f>IF($B169="","",SUMPRODUCT(--(Lineups!$O$46:$O$83=$B169),Lineups!$W$46:$W$83))</f>
        <v>12</v>
      </c>
      <c r="I169" s="880">
        <f>IF($B169="","",SUMPRODUCT(--(Lineups!$S$46:$S$83=$B169),Lineups!$W$46:$W$83))</f>
        <v>7</v>
      </c>
      <c r="J169" s="882">
        <f t="shared" si="361"/>
        <v>31</v>
      </c>
      <c r="K169" s="43"/>
      <c r="L169" s="882">
        <f t="shared" si="362"/>
        <v>31</v>
      </c>
      <c r="M169" s="43"/>
      <c r="N169" s="43"/>
      <c r="O169" s="882">
        <f>IF($B169="","",SUMPRODUCT(--(Lineups!$C$46:$C$83=$B169),Lineups!$W$46:$W$83))</f>
        <v>0</v>
      </c>
      <c r="P169" s="43"/>
      <c r="Q169" s="882">
        <f t="shared" si="363"/>
        <v>31</v>
      </c>
      <c r="R169" s="43"/>
      <c r="S169" s="43"/>
      <c r="T169" s="882">
        <f t="shared" si="364"/>
        <v>16</v>
      </c>
      <c r="U169" s="887" t="str">
        <f t="shared" ref="U169:V169" si="396">U123</f>
        <v>88</v>
      </c>
      <c r="V169" s="887" t="str">
        <f t="shared" si="396"/>
        <v>diamond WEAPON</v>
      </c>
      <c r="W169" s="882">
        <f>IF($U169="","",SUMPRODUCT(--(Lineups!$AG$46:$AG$83=$U169),--(Lineups!$AB$46:$AB$83=""),Lineups!$AW$46:$AW$83))</f>
        <v>70</v>
      </c>
      <c r="X169" s="43"/>
      <c r="Y169" s="880">
        <f>IF($U169="","",SUMPRODUCT(--(Lineups!$AG$46:$AG$83=$U169),--(Lineups!$AB$46:$AB$83="X"),Lineups!$AW$46:$AW$83))</f>
        <v>0</v>
      </c>
      <c r="Z169" s="880">
        <f>IF($U169="","",SUMPRODUCT(--(Lineups!$AK$46:$AK$83=$U169),Lineups!$AW$46:$AW$83))</f>
        <v>12</v>
      </c>
      <c r="AA169" s="880">
        <f>IF($U169="","",SUMPRODUCT(--(Lineups!$AO$46:$AO$83=$U169),Lineups!$AW$46:$AW$83))</f>
        <v>0</v>
      </c>
      <c r="AB169" s="880">
        <f>IF($U169="","",SUMPRODUCT(--(Lineups!$AS$46:$AS$83=$U169),Lineups!$AW$46:$AW$83))</f>
        <v>0</v>
      </c>
      <c r="AC169" s="882">
        <f t="shared" si="366"/>
        <v>12</v>
      </c>
      <c r="AD169" s="43"/>
      <c r="AE169" s="882">
        <f t="shared" si="367"/>
        <v>82</v>
      </c>
      <c r="AF169" s="43"/>
      <c r="AG169" s="43"/>
      <c r="AH169" s="882">
        <f>IF($U169="","",SUMPRODUCT(--(Lineups!$AC$46:$AC$83=$U169),Lineups!$AW$46:$AW$83))</f>
        <v>4</v>
      </c>
      <c r="AI169" s="43"/>
      <c r="AJ169" s="882">
        <f t="shared" si="368"/>
        <v>86</v>
      </c>
      <c r="AK169" s="43"/>
    </row>
    <row r="170" ht="12.75" customHeight="1">
      <c r="A170" s="5">
        <f t="shared" si="359"/>
        <v>17</v>
      </c>
      <c r="B170" s="629" t="str">
        <f t="shared" ref="B170:C170" si="397">B124</f>
        <v>808</v>
      </c>
      <c r="C170" s="629" t="str">
        <f t="shared" si="397"/>
        <v>Morganator</v>
      </c>
      <c r="D170" s="5">
        <f>IF($B170="","",SUMPRODUCT(--(Lineups!G$46:G$83=$B170),--(Lineups!B$46:B$83=""),Lineups!$W$46:$W$83))</f>
        <v>0</v>
      </c>
      <c r="E170" s="43"/>
      <c r="F170" s="880">
        <f>IF($B170="","",SUMPRODUCT(--(Lineups!G$46:G$83=$B170),--(Lineups!B$46:B$83="X"),Lineups!$W$46:$W$83))</f>
        <v>0</v>
      </c>
      <c r="G170" s="880">
        <f>IF($B170="","",SUMPRODUCT(--(Lineups!$K$46:$K$83=$B170),Lineups!$W$46:$W$83))</f>
        <v>14</v>
      </c>
      <c r="H170" s="880">
        <f>IF($B170="","",SUMPRODUCT(--(Lineups!$O$46:$O$83=$B170),Lineups!$W$46:$W$83))</f>
        <v>0</v>
      </c>
      <c r="I170" s="880">
        <f>IF($B170="","",SUMPRODUCT(--(Lineups!$S$46:$S$83=$B170),Lineups!$W$46:$W$83))</f>
        <v>0</v>
      </c>
      <c r="J170" s="5">
        <f t="shared" si="361"/>
        <v>14</v>
      </c>
      <c r="K170" s="43"/>
      <c r="L170" s="5">
        <f t="shared" si="362"/>
        <v>14</v>
      </c>
      <c r="M170" s="43"/>
      <c r="N170" s="43"/>
      <c r="O170" s="5">
        <f>IF($B170="","",SUMPRODUCT(--(Lineups!$C$46:$C$83=$B170),Lineups!$W$46:$W$83))</f>
        <v>0</v>
      </c>
      <c r="P170" s="43"/>
      <c r="Q170" s="5">
        <f t="shared" si="363"/>
        <v>14</v>
      </c>
      <c r="R170" s="43"/>
      <c r="S170" s="43"/>
      <c r="T170" s="5">
        <f t="shared" si="364"/>
        <v>17</v>
      </c>
      <c r="U170" s="629" t="str">
        <f t="shared" ref="U170:V170" si="398">U124</f>
        <v/>
      </c>
      <c r="V170" s="629" t="str">
        <f t="shared" si="398"/>
        <v/>
      </c>
      <c r="W170" s="5"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2">
        <f t="shared" si="359"/>
        <v>18</v>
      </c>
      <c r="B171" s="887" t="str">
        <f t="shared" ref="B171:C171" si="399">B125</f>
        <v>912</v>
      </c>
      <c r="C171" s="887" t="str">
        <f t="shared" si="399"/>
        <v>Battered Sausage</v>
      </c>
      <c r="D171" s="882">
        <f>IF($B171="","",SUMPRODUCT(--(Lineups!G$46:G$83=$B171),--(Lineups!B$46:B$83=""),Lineups!$W$46:$W$83))</f>
        <v>15</v>
      </c>
      <c r="E171" s="43"/>
      <c r="F171" s="880">
        <f>IF($B171="","",SUMPRODUCT(--(Lineups!G$46:G$83=$B171),--(Lineups!B$46:B$83="X"),Lineups!$W$46:$W$83))</f>
        <v>0</v>
      </c>
      <c r="G171" s="880">
        <f>IF($B171="","",SUMPRODUCT(--(Lineups!$K$46:$K$83=$B171),Lineups!$W$46:$W$83))</f>
        <v>16</v>
      </c>
      <c r="H171" s="880">
        <f>IF($B171="","",SUMPRODUCT(--(Lineups!$O$46:$O$83=$B171),Lineups!$W$46:$W$83))</f>
        <v>0</v>
      </c>
      <c r="I171" s="880">
        <f>IF($B171="","",SUMPRODUCT(--(Lineups!$S$46:$S$83=$B171),Lineups!$W$46:$W$83))</f>
        <v>0</v>
      </c>
      <c r="J171" s="882">
        <f t="shared" si="361"/>
        <v>16</v>
      </c>
      <c r="K171" s="43"/>
      <c r="L171" s="882">
        <f t="shared" si="362"/>
        <v>31</v>
      </c>
      <c r="M171" s="43"/>
      <c r="N171" s="43"/>
      <c r="O171" s="882">
        <f>IF($B171="","",SUMPRODUCT(--(Lineups!$C$46:$C$83=$B171),Lineups!$W$46:$W$83))</f>
        <v>0</v>
      </c>
      <c r="P171" s="43"/>
      <c r="Q171" s="882">
        <f t="shared" si="363"/>
        <v>31</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2.75" customHeight="1">
      <c r="A172" s="5">
        <f t="shared" si="359"/>
        <v>19</v>
      </c>
      <c r="B172" s="629" t="str">
        <f t="shared" ref="B172:C172" si="401">B126</f>
        <v>93</v>
      </c>
      <c r="C172" s="629" t="str">
        <f t="shared" si="401"/>
        <v>Sangria</v>
      </c>
      <c r="D172" s="5">
        <f>IF($B172="","",SUMPRODUCT(--(Lineups!G$46:G$83=$B172),--(Lineups!B$46:B$83=""),Lineups!$W$46:$W$83))</f>
        <v>0</v>
      </c>
      <c r="E172" s="43"/>
      <c r="F172" s="880">
        <f>IF($B172="","",SUMPRODUCT(--(Lineups!G$46:G$83=$B172),--(Lineups!B$46:B$83="X"),Lineups!$W$46:$W$83))</f>
        <v>0</v>
      </c>
      <c r="G172" s="880">
        <f>IF($B172="","",SUMPRODUCT(--(Lineups!$K$46:$K$83=$B172),Lineups!$W$46:$W$83))</f>
        <v>0</v>
      </c>
      <c r="H172" s="880">
        <f>IF($B172="","",SUMPRODUCT(--(Lineups!$O$46:$O$83=$B172),Lineups!$W$46:$W$83))</f>
        <v>0</v>
      </c>
      <c r="I172" s="880">
        <f>IF($B172="","",SUMPRODUCT(--(Lineups!$S$46:$S$83=$B172),Lineups!$W$46:$W$83))</f>
        <v>0</v>
      </c>
      <c r="J172" s="5">
        <f t="shared" si="361"/>
        <v>0</v>
      </c>
      <c r="K172" s="43"/>
      <c r="L172" s="5">
        <f t="shared" si="362"/>
        <v>0</v>
      </c>
      <c r="M172" s="43"/>
      <c r="N172" s="43"/>
      <c r="O172" s="5">
        <f>IF($B172="","",SUMPRODUCT(--(Lineups!$C$46:$C$83=$B172),Lineups!$W$46:$W$83))</f>
        <v>9</v>
      </c>
      <c r="P172" s="43"/>
      <c r="Q172" s="5">
        <f t="shared" si="363"/>
        <v>9</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999</v>
      </c>
      <c r="C173" s="887" t="str">
        <f t="shared" si="403"/>
        <v>Angel</v>
      </c>
      <c r="D173" s="882">
        <f>IF($B173="","",SUMPRODUCT(--(Lineups!G$46:G$83=$B173),--(Lineups!B$46:B$83=""),Lineups!$W$46:$W$83))</f>
        <v>20</v>
      </c>
      <c r="E173" s="43"/>
      <c r="F173" s="880">
        <f>IF($B173="","",SUMPRODUCT(--(Lineups!G$46:G$83=$B173),--(Lineups!B$46:B$83="X"),Lineups!$W$46:$W$83))</f>
        <v>0</v>
      </c>
      <c r="G173" s="880">
        <f>IF($B173="","",SUMPRODUCT(--(Lineups!$K$46:$K$83=$B173),Lineups!$W$46:$W$83))</f>
        <v>3</v>
      </c>
      <c r="H173" s="880">
        <f>IF($B173="","",SUMPRODUCT(--(Lineups!$O$46:$O$83=$B173),Lineups!$W$46:$W$83))</f>
        <v>0</v>
      </c>
      <c r="I173" s="880">
        <f>IF($B173="","",SUMPRODUCT(--(Lineups!$S$46:$S$83=$B173),Lineups!$W$46:$W$83))</f>
        <v>0</v>
      </c>
      <c r="J173" s="882">
        <f t="shared" si="361"/>
        <v>3</v>
      </c>
      <c r="K173" s="43"/>
      <c r="L173" s="882">
        <f t="shared" si="362"/>
        <v>23</v>
      </c>
      <c r="M173" s="43"/>
      <c r="N173" s="43"/>
      <c r="O173" s="882">
        <f>IF($B173="","",SUMPRODUCT(--(Lineups!$C$46:$C$83=$B173),Lineups!$W$46:$W$83))</f>
        <v>4</v>
      </c>
      <c r="P173" s="43"/>
      <c r="Q173" s="882">
        <f t="shared" si="363"/>
        <v>27</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436</v>
      </c>
      <c r="B175" s="8"/>
      <c r="C175" s="9"/>
      <c r="D175" s="873"/>
      <c r="E175" s="873"/>
      <c r="F175" s="873"/>
      <c r="G175" s="873"/>
      <c r="H175" s="873"/>
      <c r="I175" s="873"/>
      <c r="J175" s="873"/>
      <c r="K175" s="873"/>
      <c r="L175" s="873"/>
      <c r="M175" s="873"/>
      <c r="N175" s="873"/>
      <c r="O175" s="873"/>
      <c r="P175" s="873"/>
      <c r="Q175" s="873"/>
      <c r="R175" s="873"/>
      <c r="S175" s="43"/>
      <c r="T175" s="872" t="s">
        <v>436</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424</v>
      </c>
      <c r="C176" s="874" t="s">
        <v>425</v>
      </c>
      <c r="D176" s="874" t="s">
        <v>282</v>
      </c>
      <c r="E176" s="5"/>
      <c r="F176" s="876" t="s">
        <v>283</v>
      </c>
      <c r="G176" s="876" t="s">
        <v>283</v>
      </c>
      <c r="H176" s="876" t="s">
        <v>283</v>
      </c>
      <c r="I176" s="876" t="s">
        <v>283</v>
      </c>
      <c r="J176" s="874" t="s">
        <v>427</v>
      </c>
      <c r="K176" s="5"/>
      <c r="L176" s="874" t="s">
        <v>429</v>
      </c>
      <c r="M176" s="5"/>
      <c r="N176" s="877" t="s">
        <v>431</v>
      </c>
      <c r="O176" s="874" t="s">
        <v>280</v>
      </c>
      <c r="P176" s="5"/>
      <c r="Q176" s="874" t="s">
        <v>398</v>
      </c>
      <c r="R176" s="5"/>
      <c r="S176" s="43"/>
      <c r="T176" s="874">
        <v>0.0</v>
      </c>
      <c r="U176" s="874" t="s">
        <v>424</v>
      </c>
      <c r="V176" s="874" t="s">
        <v>425</v>
      </c>
      <c r="W176" s="874" t="s">
        <v>282</v>
      </c>
      <c r="X176" s="5"/>
      <c r="Y176" s="876" t="s">
        <v>283</v>
      </c>
      <c r="Z176" s="876" t="s">
        <v>283</v>
      </c>
      <c r="AA176" s="876" t="s">
        <v>283</v>
      </c>
      <c r="AB176" s="876" t="s">
        <v>283</v>
      </c>
      <c r="AC176" s="874" t="s">
        <v>427</v>
      </c>
      <c r="AD176" s="5"/>
      <c r="AE176" s="874" t="s">
        <v>429</v>
      </c>
      <c r="AF176" s="5"/>
      <c r="AG176" s="877" t="s">
        <v>431</v>
      </c>
      <c r="AH176" s="874" t="s">
        <v>280</v>
      </c>
      <c r="AI176" s="5"/>
      <c r="AJ176" s="874" t="s">
        <v>398</v>
      </c>
      <c r="AK176" s="5"/>
    </row>
    <row r="177" ht="12.75" customHeight="1">
      <c r="A177" s="5">
        <f t="shared" ref="A177:A196" si="407">A176+1</f>
        <v>1</v>
      </c>
      <c r="B177" s="629" t="str">
        <f t="shared" ref="B177:C177" si="405">B108</f>
        <v>04</v>
      </c>
      <c r="C177" s="629" t="str">
        <f t="shared" si="405"/>
        <v>Nina</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16</v>
      </c>
      <c r="H177" s="880">
        <f>IF($B177="","",SUMPRODUCT(--(Lineups!$O$46:$O$83=$B177),Lineups!$AW$46:$AW$83)+SUMPRODUCT(--(Lineups!$A$47:$A$84="SP*"),--(Lineups!$O$46:$O$83=$B177),Lineups!$AW$47:$AW$84))</f>
        <v>28</v>
      </c>
      <c r="I177" s="880">
        <f>IF($B177="","",SUMPRODUCT(--(Lineups!$S$46:$S$83=$B177),Lineups!$AW$46:$AW$83)+SUMPRODUCT(--(Lineups!$A$47:$A$84="SP*"),--(Lineups!$S$46:$S$83=$B177),Lineups!$AW$47:$AW$84))</f>
        <v>20</v>
      </c>
      <c r="J177" s="5">
        <f t="shared" ref="J177:J196" si="409">IF(B177="","",SUM(F177:I177))</f>
        <v>64</v>
      </c>
      <c r="K177" s="43"/>
      <c r="L177" s="5">
        <f t="shared" ref="L177:L196" si="410">IF(B177="","",SUM(D177,J177))</f>
        <v>64</v>
      </c>
      <c r="M177" s="43"/>
      <c r="N177" s="43"/>
      <c r="O177" s="5">
        <f>IF($B177="","",SUMPRODUCT(--(Lineups!$C$46:$C$83=$B177),Lineups!$AW$46:$AW$83) + SUMPRODUCT(--(Lineups!$A$47:$A$84="SP*"),--(Lineups!$C$46:$C$83=$B177),Lineups!$AW$47:$AW$84))</f>
        <v>0</v>
      </c>
      <c r="P177" s="43"/>
      <c r="Q177" s="5">
        <f t="shared" ref="Q177:Q196" si="411">IF(B177="","",SUM(L177,O177))</f>
        <v>64</v>
      </c>
      <c r="R177" s="43"/>
      <c r="S177" s="43"/>
      <c r="T177" s="5">
        <f t="shared" ref="T177:T196" si="412">T176+1</f>
        <v>1</v>
      </c>
      <c r="U177" s="629" t="str">
        <f t="shared" ref="U177:V177" si="406">U108</f>
        <v>040</v>
      </c>
      <c r="V177" s="629" t="str">
        <f t="shared" si="406"/>
        <v>Ruff Rackelhahn</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29</v>
      </c>
      <c r="AC177" s="5">
        <f t="shared" ref="AC177:AC196" si="414">SUM(Y177:AB177)</f>
        <v>29</v>
      </c>
      <c r="AD177" s="43"/>
      <c r="AE177" s="5">
        <f t="shared" ref="AE177:AE196" si="415">IF(U177="","",SUM(W177,AC177))</f>
        <v>29</v>
      </c>
      <c r="AF177" s="43"/>
      <c r="AG177" s="43"/>
      <c r="AH177" s="5">
        <f>IF($U177="","",SUMPRODUCT(--(Lineups!$AC$46:$AC$83=$U177),Lineups!$W$46:$W$83) + SUMPRODUCT(--(Lineups!$AA$47:$AA$84="SP*"),--(Lineups!$AC$46:$AC$83=$U177),Lineups!$W$47:$W$84))</f>
        <v>0</v>
      </c>
      <c r="AI177" s="43"/>
      <c r="AJ177" s="5">
        <f t="shared" ref="AJ177:AJ196" si="416">IF(U177="","",SUM(AE177,AH177))</f>
        <v>29</v>
      </c>
      <c r="AK177" s="43"/>
    </row>
    <row r="178" ht="12.75" customHeight="1">
      <c r="A178" s="882">
        <f t="shared" si="407"/>
        <v>2</v>
      </c>
      <c r="B178" s="887" t="str">
        <f t="shared" ref="B178:C178" si="408">B109</f>
        <v>16</v>
      </c>
      <c r="C178" s="887" t="str">
        <f t="shared" si="408"/>
        <v>Saabor</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10</v>
      </c>
      <c r="P178" s="43"/>
      <c r="Q178" s="882">
        <f t="shared" si="411"/>
        <v>10</v>
      </c>
      <c r="R178" s="43"/>
      <c r="S178" s="43"/>
      <c r="T178" s="882">
        <f t="shared" si="412"/>
        <v>2</v>
      </c>
      <c r="U178" s="887" t="str">
        <f t="shared" ref="U178:V178" si="413">U109</f>
        <v>101</v>
      </c>
      <c r="V178" s="887" t="str">
        <f t="shared" si="413"/>
        <v>Powell</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19</v>
      </c>
      <c r="AI178" s="43"/>
      <c r="AJ178" s="882">
        <f t="shared" si="416"/>
        <v>19</v>
      </c>
      <c r="AK178" s="43"/>
    </row>
    <row r="179" ht="12.75" customHeight="1">
      <c r="A179" s="5">
        <f t="shared" si="407"/>
        <v>3</v>
      </c>
      <c r="B179" s="629" t="str">
        <f t="shared" ref="B179:C179" si="417">B110</f>
        <v>177</v>
      </c>
      <c r="C179" s="629" t="str">
        <f t="shared" si="417"/>
        <v>Phoenix</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16</v>
      </c>
      <c r="H179" s="880">
        <f>IF($B179="","",SUMPRODUCT(--(Lineups!$O$46:$O$83=$B179),Lineups!$AW$46:$AW$83)+SUMPRODUCT(--(Lineups!$A$47:$A$84="SP*"),--(Lineups!$O$46:$O$83=$B179),Lineups!$AW$47:$AW$84))</f>
        <v>24</v>
      </c>
      <c r="I179" s="880">
        <f>IF($B179="","",SUMPRODUCT(--(Lineups!$S$46:$S$83=$B179),Lineups!$AW$46:$AW$83)+SUMPRODUCT(--(Lineups!$A$47:$A$84="SP*"),--(Lineups!$S$46:$S$83=$B179),Lineups!$AW$47:$AW$84))</f>
        <v>26</v>
      </c>
      <c r="J179" s="5">
        <f t="shared" si="409"/>
        <v>66</v>
      </c>
      <c r="K179" s="43"/>
      <c r="L179" s="5">
        <f t="shared" si="410"/>
        <v>66</v>
      </c>
      <c r="M179" s="43"/>
      <c r="N179" s="43"/>
      <c r="O179" s="5">
        <f>IF($B179="","",SUMPRODUCT(--(Lineups!$C$46:$C$83=$B179),Lineups!$AW$46:$AW$83) + SUMPRODUCT(--(Lineups!$A$47:$A$84="SP*"),--(Lineups!$C$46:$C$83=$B179),Lineups!$AW$47:$AW$84))</f>
        <v>0</v>
      </c>
      <c r="P179" s="43"/>
      <c r="Q179" s="5">
        <f t="shared" si="411"/>
        <v>66</v>
      </c>
      <c r="R179" s="43"/>
      <c r="S179" s="43"/>
      <c r="T179" s="5">
        <f t="shared" si="412"/>
        <v>3</v>
      </c>
      <c r="U179" s="629" t="str">
        <f t="shared" ref="U179:V179" si="418">U110</f>
        <v>11</v>
      </c>
      <c r="V179" s="629" t="str">
        <f t="shared" si="418"/>
        <v>Bambi Deerdevil</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31</v>
      </c>
      <c r="AI179" s="43"/>
      <c r="AJ179" s="5">
        <f t="shared" si="416"/>
        <v>31</v>
      </c>
      <c r="AK179" s="43"/>
    </row>
    <row r="180" ht="12.75" customHeight="1">
      <c r="A180" s="882">
        <f t="shared" si="407"/>
        <v>4</v>
      </c>
      <c r="B180" s="887" t="str">
        <f t="shared" ref="B180:C180" si="419">B111</f>
        <v>215</v>
      </c>
      <c r="C180" s="887" t="str">
        <f t="shared" si="419"/>
        <v>Pollock</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0</v>
      </c>
      <c r="K180" s="43"/>
      <c r="L180" s="882">
        <f t="shared" si="410"/>
        <v>0</v>
      </c>
      <c r="M180" s="43"/>
      <c r="N180" s="43"/>
      <c r="O180" s="882">
        <f>IF($B180="","",SUMPRODUCT(--(Lineups!$C$46:$C$83=$B180),Lineups!$AW$46:$AW$83) + SUMPRODUCT(--(Lineups!$A$47:$A$84="SP*"),--(Lineups!$C$46:$C$83=$B180),Lineups!$AW$47:$AW$84))</f>
        <v>0</v>
      </c>
      <c r="P180" s="43"/>
      <c r="Q180" s="882">
        <f t="shared" si="411"/>
        <v>0</v>
      </c>
      <c r="R180" s="43"/>
      <c r="S180" s="43"/>
      <c r="T180" s="882">
        <f t="shared" si="412"/>
        <v>4</v>
      </c>
      <c r="U180" s="887" t="str">
        <f t="shared" ref="U180:V180" si="420">U111</f>
        <v>33</v>
      </c>
      <c r="V180" s="887" t="str">
        <f t="shared" si="420"/>
        <v>Fox Mauler</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0</v>
      </c>
      <c r="AI180" s="43"/>
      <c r="AJ180" s="882">
        <f t="shared" si="416"/>
        <v>0</v>
      </c>
      <c r="AK180" s="43"/>
    </row>
    <row r="181" ht="12.75" customHeight="1">
      <c r="A181" s="5">
        <f t="shared" si="407"/>
        <v>5</v>
      </c>
      <c r="B181" s="629" t="str">
        <f t="shared" ref="B181:C181" si="421">B112</f>
        <v>27</v>
      </c>
      <c r="C181" s="629" t="str">
        <f t="shared" si="421"/>
        <v>MegaHurtz</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9" t="str">
        <f t="shared" ref="U181:V181" si="422">U112</f>
        <v>1337</v>
      </c>
      <c r="V181" s="629" t="str">
        <f t="shared" si="422"/>
        <v>8Bit Betty</v>
      </c>
      <c r="W181" s="5">
        <f>IF($U181="","",SUMPRODUCT(--(Lineups!$AG$46:$AG$83=$U181),--(Lineups!$AB$46:$AB$83=""),Lineups!$W$46:$W$83)+SUMPRODUCT(--(Lineups!$AA$47:$AA$84="SP*"),--(Lineups!$AG$46:$AG$83=$U181),--(Lineups!$AB$46:$AB$83=""),Lineups!$W$47:$W$84))</f>
        <v>13</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12</v>
      </c>
      <c r="AB181" s="880">
        <f>IF(U181="","",SUMPRODUCT(--(Lineups!$AS$46:$AS$83=$U181),Lineups!$W$46:$W$83)+SUMPRODUCT(--(Lineups!$AA$47:$AA$84="SP*"),--(Lineups!$AS$46:$AS$83=$U181),Lineups!$W$47:$W$84))</f>
        <v>4</v>
      </c>
      <c r="AC181" s="5">
        <f t="shared" si="414"/>
        <v>16</v>
      </c>
      <c r="AD181" s="43"/>
      <c r="AE181" s="5">
        <f t="shared" si="415"/>
        <v>29</v>
      </c>
      <c r="AF181" s="43"/>
      <c r="AG181" s="43"/>
      <c r="AH181" s="5">
        <f>IF($U181="","",SUMPRODUCT(--(Lineups!$AC$46:$AC$83=$U181),Lineups!$W$46:$W$83) + SUMPRODUCT(--(Lineups!$AA$47:$AA$84="SP*"),--(Lineups!$AC$46:$AC$83=$U181),Lineups!$W$47:$W$84))</f>
        <v>0</v>
      </c>
      <c r="AI181" s="43"/>
      <c r="AJ181" s="5">
        <f t="shared" si="416"/>
        <v>29</v>
      </c>
      <c r="AK181" s="43"/>
    </row>
    <row r="182" ht="12.75" customHeight="1">
      <c r="A182" s="882">
        <f t="shared" si="407"/>
        <v>6</v>
      </c>
      <c r="B182" s="887" t="str">
        <f t="shared" ref="B182:C182" si="423">B113</f>
        <v>271</v>
      </c>
      <c r="C182" s="887" t="str">
        <f t="shared" si="423"/>
        <v>Peb Canary</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27</v>
      </c>
      <c r="P182" s="43"/>
      <c r="Q182" s="882">
        <f t="shared" si="411"/>
        <v>27</v>
      </c>
      <c r="R182" s="43"/>
      <c r="S182" s="43"/>
      <c r="T182" s="882">
        <f t="shared" si="412"/>
        <v>6</v>
      </c>
      <c r="U182" s="887" t="str">
        <f t="shared" ref="U182:V182" si="424">U113</f>
        <v>150</v>
      </c>
      <c r="V182" s="887" t="str">
        <f t="shared" si="424"/>
        <v>Cooney</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4</v>
      </c>
      <c r="AA182" s="880">
        <f>IF(U182="","",SUMPRODUCT(--(Lineups!$AO$46:$AO$83=$U182),Lineups!$W$46:$W$83)+SUMPRODUCT(--(Lineups!$AA$47:$AA$84="SP*"),--(Lineups!$AO$46:$AO$83=$U182),Lineups!$W$47:$W$84))</f>
        <v>3</v>
      </c>
      <c r="AB182" s="880">
        <f>IF(U182="","",SUMPRODUCT(--(Lineups!$AS$46:$AS$83=$U182),Lineups!$W$46:$W$83)+SUMPRODUCT(--(Lineups!$AA$47:$AA$84="SP*"),--(Lineups!$AS$46:$AS$83=$U182),Lineups!$W$47:$W$84))</f>
        <v>4</v>
      </c>
      <c r="AC182" s="882">
        <f t="shared" si="414"/>
        <v>11</v>
      </c>
      <c r="AD182" s="43"/>
      <c r="AE182" s="882">
        <f t="shared" si="415"/>
        <v>11</v>
      </c>
      <c r="AF182" s="43"/>
      <c r="AG182" s="43"/>
      <c r="AH182" s="882">
        <f>IF($U182="","",SUMPRODUCT(--(Lineups!$AC$46:$AC$83=$U182),Lineups!$W$46:$W$83) + SUMPRODUCT(--(Lineups!$AA$47:$AA$84="SP*"),--(Lineups!$AC$46:$AC$83=$U182),Lineups!$W$47:$W$84))</f>
        <v>0</v>
      </c>
      <c r="AI182" s="43"/>
      <c r="AJ182" s="882">
        <f t="shared" si="416"/>
        <v>11</v>
      </c>
      <c r="AK182" s="43"/>
    </row>
    <row r="183" ht="12.75" customHeight="1">
      <c r="A183" s="5">
        <f t="shared" si="407"/>
        <v>7</v>
      </c>
      <c r="B183" s="629" t="str">
        <f t="shared" ref="B183:C183" si="425">B114</f>
        <v>220</v>
      </c>
      <c r="C183" s="629" t="str">
        <f t="shared" si="425"/>
        <v>Cerosene</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3</v>
      </c>
      <c r="H183" s="880">
        <f>IF($B183="","",SUMPRODUCT(--(Lineups!$O$46:$O$83=$B183),Lineups!$AW$46:$AW$83)+SUMPRODUCT(--(Lineups!$A$47:$A$84="SP*"),--(Lineups!$O$46:$O$83=$B183),Lineups!$AW$47:$AW$84))</f>
        <v>32</v>
      </c>
      <c r="I183" s="880">
        <f>IF($B183="","",SUMPRODUCT(--(Lineups!$S$46:$S$83=$B183),Lineups!$AW$46:$AW$83)+SUMPRODUCT(--(Lineups!$A$47:$A$84="SP*"),--(Lineups!$S$46:$S$83=$B183),Lineups!$AW$47:$AW$84))</f>
        <v>24</v>
      </c>
      <c r="J183" s="5">
        <f t="shared" si="409"/>
        <v>59</v>
      </c>
      <c r="K183" s="43"/>
      <c r="L183" s="5">
        <f t="shared" si="410"/>
        <v>59</v>
      </c>
      <c r="M183" s="43"/>
      <c r="N183" s="43"/>
      <c r="O183" s="5">
        <f>IF($B183="","",SUMPRODUCT(--(Lineups!$C$46:$C$83=$B183),Lineups!$AW$46:$AW$83) + SUMPRODUCT(--(Lineups!$A$47:$A$84="SP*"),--(Lineups!$C$46:$C$83=$B183),Lineups!$AW$47:$AW$84))</f>
        <v>0</v>
      </c>
      <c r="P183" s="43"/>
      <c r="Q183" s="5">
        <f t="shared" si="411"/>
        <v>59</v>
      </c>
      <c r="R183" s="43"/>
      <c r="S183" s="43"/>
      <c r="T183" s="5">
        <f t="shared" si="412"/>
        <v>7</v>
      </c>
      <c r="U183" s="629" t="str">
        <f t="shared" ref="U183:V183" si="426">U114</f>
        <v>16</v>
      </c>
      <c r="V183" s="629" t="str">
        <f t="shared" si="426"/>
        <v>Jemerald</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12</v>
      </c>
      <c r="AI183" s="43"/>
      <c r="AJ183" s="5">
        <f t="shared" si="416"/>
        <v>12</v>
      </c>
      <c r="AK183" s="43"/>
    </row>
    <row r="184" ht="12.75" customHeight="1">
      <c r="A184" s="882">
        <f t="shared" si="407"/>
        <v>8</v>
      </c>
      <c r="B184" s="887" t="str">
        <f t="shared" ref="B184:C184" si="427">B115</f>
        <v>3556</v>
      </c>
      <c r="C184" s="887" t="str">
        <f t="shared" si="427"/>
        <v>Crystal Beth</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0</v>
      </c>
      <c r="P184" s="43"/>
      <c r="Q184" s="882">
        <f t="shared" si="411"/>
        <v>0</v>
      </c>
      <c r="R184" s="43"/>
      <c r="S184" s="43"/>
      <c r="T184" s="882">
        <f t="shared" si="412"/>
        <v>8</v>
      </c>
      <c r="U184" s="887" t="str">
        <f t="shared" ref="U184:V184" si="428">U115</f>
        <v>3110</v>
      </c>
      <c r="V184" s="887" t="str">
        <f t="shared" si="428"/>
        <v>Grand DAM</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24</v>
      </c>
      <c r="AB184" s="880">
        <f>IF(U184="","",SUMPRODUCT(--(Lineups!$AS$46:$AS$83=$U184),Lineups!$W$46:$W$83)+SUMPRODUCT(--(Lineups!$AA$47:$AA$84="SP*"),--(Lineups!$AS$46:$AS$83=$U184),Lineups!$W$47:$W$84))</f>
        <v>0</v>
      </c>
      <c r="AC184" s="882">
        <f t="shared" si="414"/>
        <v>24</v>
      </c>
      <c r="AD184" s="43"/>
      <c r="AE184" s="882">
        <f t="shared" si="415"/>
        <v>24</v>
      </c>
      <c r="AF184" s="43"/>
      <c r="AG184" s="43"/>
      <c r="AH184" s="882">
        <f>IF($U184="","",SUMPRODUCT(--(Lineups!$AC$46:$AC$83=$U184),Lineups!$W$46:$W$83) + SUMPRODUCT(--(Lineups!$AA$47:$AA$84="SP*"),--(Lineups!$AC$46:$AC$83=$U184),Lineups!$W$47:$W$84))</f>
        <v>0</v>
      </c>
      <c r="AI184" s="43"/>
      <c r="AJ184" s="882">
        <f t="shared" si="416"/>
        <v>24</v>
      </c>
      <c r="AK184" s="43"/>
    </row>
    <row r="185" ht="12.75" customHeight="1">
      <c r="A185" s="5">
        <f t="shared" si="407"/>
        <v>9</v>
      </c>
      <c r="B185" s="629" t="str">
        <f t="shared" ref="B185:C185" si="429">B116</f>
        <v>360</v>
      </c>
      <c r="C185" s="629" t="str">
        <f t="shared" si="429"/>
        <v>Baxter</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9" t="str">
        <f t="shared" ref="U185:V185" si="430">U116</f>
        <v>333</v>
      </c>
      <c r="V185" s="629" t="str">
        <f t="shared" si="430"/>
        <v>Yonic Cyclonic</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2">
        <f t="shared" si="407"/>
        <v>10</v>
      </c>
      <c r="B186" s="887" t="str">
        <f t="shared" ref="B186:C186" si="431">B117</f>
        <v>40</v>
      </c>
      <c r="C186" s="887" t="str">
        <f t="shared" si="431"/>
        <v>Kid</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0</v>
      </c>
      <c r="P186" s="43"/>
      <c r="Q186" s="882">
        <f t="shared" si="411"/>
        <v>0</v>
      </c>
      <c r="R186" s="43"/>
      <c r="S186" s="43"/>
      <c r="T186" s="882">
        <f t="shared" si="412"/>
        <v>10</v>
      </c>
      <c r="U186" s="887" t="str">
        <f t="shared" ref="U186:V186" si="432">U117</f>
        <v>4</v>
      </c>
      <c r="V186" s="887" t="str">
        <f t="shared" si="432"/>
        <v>Stabba</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8</v>
      </c>
      <c r="AB186" s="880">
        <f>IF(U186="","",SUMPRODUCT(--(Lineups!$AS$46:$AS$83=$U186),Lineups!$W$46:$W$83)+SUMPRODUCT(--(Lineups!$AA$47:$AA$84="SP*"),--(Lineups!$AS$46:$AS$83=$U186),Lineups!$W$47:$W$84))</f>
        <v>3</v>
      </c>
      <c r="AC186" s="882">
        <f t="shared" si="414"/>
        <v>11</v>
      </c>
      <c r="AD186" s="43"/>
      <c r="AE186" s="882">
        <f t="shared" si="415"/>
        <v>11</v>
      </c>
      <c r="AF186" s="43"/>
      <c r="AG186" s="43"/>
      <c r="AH186" s="882">
        <f>IF($U186="","",SUMPRODUCT(--(Lineups!$AC$46:$AC$83=$U186),Lineups!$W$46:$W$83) + SUMPRODUCT(--(Lineups!$AA$47:$AA$84="SP*"),--(Lineups!$AC$46:$AC$83=$U186),Lineups!$W$47:$W$84))</f>
        <v>0</v>
      </c>
      <c r="AI186" s="43"/>
      <c r="AJ186" s="882">
        <f t="shared" si="416"/>
        <v>11</v>
      </c>
      <c r="AK186" s="43"/>
    </row>
    <row r="187" ht="12.75" customHeight="1">
      <c r="A187" s="5">
        <f t="shared" si="407"/>
        <v>11</v>
      </c>
      <c r="B187" s="629" t="str">
        <f t="shared" ref="B187:C187" si="433">B118</f>
        <v>42</v>
      </c>
      <c r="C187" s="629" t="str">
        <f t="shared" si="433"/>
        <v>Bosh</v>
      </c>
      <c r="D187" s="5">
        <f>IF($B187="","",SUMPRODUCT(--(Lineups!$G$46:$G$83=$B187),--(Lineups!$B$46:$B$83=""),Lineups!$AW$46:$AW$83)+SUMPRODUCT(--(Lineups!$A$47:$A$84="SP*"),--(Lineups!$G$46:$G$83=$B187),--(Lineups!$B$46:$B$83=""),Lineups!$AW$47:$AW$84))</f>
        <v>72</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26</v>
      </c>
      <c r="H187" s="880">
        <f>IF($B187="","",SUMPRODUCT(--(Lineups!$O$46:$O$83=$B187),Lineups!$AW$46:$AW$83)+SUMPRODUCT(--(Lineups!$A$47:$A$84="SP*"),--(Lineups!$O$46:$O$83=$B187),Lineups!$AW$47:$AW$84))</f>
        <v>12</v>
      </c>
      <c r="I187" s="880">
        <f>IF($B187="","",SUMPRODUCT(--(Lineups!$S$46:$S$83=$B187),Lineups!$AW$46:$AW$83)+SUMPRODUCT(--(Lineups!$A$47:$A$84="SP*"),--(Lineups!$S$46:$S$83=$B187),Lineups!$AW$47:$AW$84))</f>
        <v>0</v>
      </c>
      <c r="J187" s="5">
        <f t="shared" si="409"/>
        <v>38</v>
      </c>
      <c r="K187" s="43"/>
      <c r="L187" s="5">
        <f t="shared" si="410"/>
        <v>110</v>
      </c>
      <c r="M187" s="43"/>
      <c r="N187" s="43"/>
      <c r="O187" s="5">
        <f>IF($B187="","",SUMPRODUCT(--(Lineups!$C$46:$C$83=$B187),Lineups!$AW$46:$AW$83) + SUMPRODUCT(--(Lineups!$A$47:$A$84="SP*"),--(Lineups!$C$46:$C$83=$B187),Lineups!$AW$47:$AW$84))</f>
        <v>0</v>
      </c>
      <c r="P187" s="43"/>
      <c r="Q187" s="5">
        <f t="shared" si="411"/>
        <v>110</v>
      </c>
      <c r="R187" s="43"/>
      <c r="S187" s="43"/>
      <c r="T187" s="5">
        <f t="shared" si="412"/>
        <v>11</v>
      </c>
      <c r="U187" s="629" t="str">
        <f t="shared" ref="U187:V187" si="434">U118</f>
        <v>42</v>
      </c>
      <c r="V187" s="629" t="str">
        <f t="shared" si="434"/>
        <v>Pretty Carless</v>
      </c>
      <c r="W187" s="5">
        <f>IF($U187="","",SUMPRODUCT(--(Lineups!$AG$46:$AG$83=$U187),--(Lineups!$AB$46:$AB$83=""),Lineups!$W$46:$W$83)+SUMPRODUCT(--(Lineups!$AA$47:$AA$84="SP*"),--(Lineups!$AG$46:$AG$83=$U187),--(Lineups!$AB$46:$AB$83=""),Lineups!$W$47:$W$84))</f>
        <v>20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4</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4</v>
      </c>
      <c r="AD187" s="43"/>
      <c r="AE187" s="5">
        <f t="shared" si="415"/>
        <v>24</v>
      </c>
      <c r="AF187" s="43"/>
      <c r="AG187" s="43"/>
      <c r="AH187" s="5">
        <f>IF($U187="","",SUMPRODUCT(--(Lineups!$AC$46:$AC$83=$U187),Lineups!$W$46:$W$83) + SUMPRODUCT(--(Lineups!$AA$47:$AA$84="SP*"),--(Lineups!$AC$46:$AC$83=$U187),Lineups!$W$47:$W$84))</f>
        <v>0</v>
      </c>
      <c r="AI187" s="43"/>
      <c r="AJ187" s="5">
        <f t="shared" si="416"/>
        <v>24</v>
      </c>
      <c r="AK187" s="43"/>
    </row>
    <row r="188" ht="12.75" customHeight="1">
      <c r="A188" s="882">
        <f t="shared" si="407"/>
        <v>12</v>
      </c>
      <c r="B188" s="887" t="str">
        <f t="shared" ref="B188:C188" si="435">B119</f>
        <v>44</v>
      </c>
      <c r="C188" s="887" t="str">
        <f t="shared" si="435"/>
        <v>Esparcieux</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0</v>
      </c>
      <c r="P188" s="43"/>
      <c r="Q188" s="882">
        <f t="shared" si="411"/>
        <v>0</v>
      </c>
      <c r="R188" s="43"/>
      <c r="S188" s="43"/>
      <c r="T188" s="882">
        <f t="shared" si="412"/>
        <v>12</v>
      </c>
      <c r="U188" s="887" t="str">
        <f t="shared" ref="U188:V188" si="436">U119</f>
        <v>48</v>
      </c>
      <c r="V188" s="887" t="str">
        <f t="shared" si="436"/>
        <v>Tini from the Bloc</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19</v>
      </c>
      <c r="AA188" s="880">
        <f>IF(U188="","",SUMPRODUCT(--(Lineups!$AO$46:$AO$83=$U188),Lineups!$W$46:$W$83)+SUMPRODUCT(--(Lineups!$AA$47:$AA$84="SP*"),--(Lineups!$AO$46:$AO$83=$U188),Lineups!$W$47:$W$84))</f>
        <v>0</v>
      </c>
      <c r="AB188" s="880">
        <f>IF(U188="","",SUMPRODUCT(--(Lineups!$AS$46:$AS$83=$U188),Lineups!$W$46:$W$83)+SUMPRODUCT(--(Lineups!$AA$47:$AA$84="SP*"),--(Lineups!$AS$46:$AS$83=$U188),Lineups!$W$47:$W$84))</f>
        <v>4</v>
      </c>
      <c r="AC188" s="882">
        <f t="shared" si="414"/>
        <v>23</v>
      </c>
      <c r="AD188" s="43"/>
      <c r="AE188" s="882">
        <f t="shared" si="415"/>
        <v>23</v>
      </c>
      <c r="AF188" s="43"/>
      <c r="AG188" s="43"/>
      <c r="AH188" s="882">
        <f>IF($U188="","",SUMPRODUCT(--(Lineups!$AC$46:$AC$83=$U188),Lineups!$W$46:$W$83) + SUMPRODUCT(--(Lineups!$AA$47:$AA$84="SP*"),--(Lineups!$AC$46:$AC$83=$U188),Lineups!$W$47:$W$84))</f>
        <v>0</v>
      </c>
      <c r="AI188" s="43"/>
      <c r="AJ188" s="882">
        <f t="shared" si="416"/>
        <v>23</v>
      </c>
      <c r="AK188" s="43"/>
    </row>
    <row r="189" ht="12.75" customHeight="1">
      <c r="A189" s="5">
        <f t="shared" si="407"/>
        <v>13</v>
      </c>
      <c r="B189" s="629" t="str">
        <f t="shared" ref="B189:C189" si="437">B120</f>
        <v>45</v>
      </c>
      <c r="C189" s="629" t="str">
        <f t="shared" si="437"/>
        <v>Hawk</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60</v>
      </c>
      <c r="P189" s="43"/>
      <c r="Q189" s="5">
        <f t="shared" si="411"/>
        <v>60</v>
      </c>
      <c r="R189" s="43"/>
      <c r="S189" s="43"/>
      <c r="T189" s="5">
        <f t="shared" si="412"/>
        <v>13</v>
      </c>
      <c r="U189" s="629" t="str">
        <f t="shared" ref="U189:V189" si="438">U120</f>
        <v>167</v>
      </c>
      <c r="V189" s="629" t="str">
        <f t="shared" si="438"/>
        <v>Rile E Coyote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29</v>
      </c>
      <c r="AA189" s="880">
        <f>IF(U189="","",SUMPRODUCT(--(Lineups!$AO$46:$AO$83=$U189),Lineups!$W$46:$W$83)+SUMPRODUCT(--(Lineups!$AA$47:$AA$84="SP*"),--(Lineups!$AO$46:$AO$83=$U189),Lineups!$W$47:$W$84))</f>
        <v>0</v>
      </c>
      <c r="AB189" s="880">
        <f>IF(U189="","",SUMPRODUCT(--(Lineups!$AS$46:$AS$83=$U189),Lineups!$W$46:$W$83)+SUMPRODUCT(--(Lineups!$AA$47:$AA$84="SP*"),--(Lineups!$AS$46:$AS$83=$U189),Lineups!$W$47:$W$84))</f>
        <v>2</v>
      </c>
      <c r="AC189" s="5">
        <f t="shared" si="414"/>
        <v>31</v>
      </c>
      <c r="AD189" s="43"/>
      <c r="AE189" s="5">
        <f t="shared" si="415"/>
        <v>31</v>
      </c>
      <c r="AF189" s="43"/>
      <c r="AG189" s="43"/>
      <c r="AH189" s="5">
        <f>IF($U189="","",SUMPRODUCT(--(Lineups!$AC$46:$AC$83=$U189),Lineups!$W$46:$W$83) + SUMPRODUCT(--(Lineups!$AA$47:$AA$84="SP*"),--(Lineups!$AC$46:$AC$83=$U189),Lineups!$W$47:$W$84))</f>
        <v>0</v>
      </c>
      <c r="AI189" s="43"/>
      <c r="AJ189" s="5">
        <f t="shared" si="416"/>
        <v>31</v>
      </c>
      <c r="AK189" s="43"/>
    </row>
    <row r="190" ht="12.75" customHeight="1">
      <c r="A190" s="882">
        <f t="shared" si="407"/>
        <v>14</v>
      </c>
      <c r="B190" s="887" t="str">
        <f t="shared" ref="B190:C190" si="439">B121</f>
        <v>48</v>
      </c>
      <c r="C190" s="887" t="str">
        <f t="shared" si="439"/>
        <v>Ward</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18</v>
      </c>
      <c r="I190" s="880">
        <f>IF($B190="","",SUMPRODUCT(--(Lineups!$S$46:$S$83=$B190),Lineups!$AW$46:$AW$83)+SUMPRODUCT(--(Lineups!$A$47:$A$84="SP*"),--(Lineups!$S$46:$S$83=$B190),Lineups!$AW$47:$AW$84))</f>
        <v>20</v>
      </c>
      <c r="J190" s="882">
        <f t="shared" si="409"/>
        <v>38</v>
      </c>
      <c r="K190" s="43"/>
      <c r="L190" s="882">
        <f t="shared" si="410"/>
        <v>38</v>
      </c>
      <c r="M190" s="43"/>
      <c r="N190" s="43"/>
      <c r="O190" s="882">
        <f>IF($B190="","",SUMPRODUCT(--(Lineups!$C$46:$C$83=$B190),Lineups!$AW$46:$AW$83) + SUMPRODUCT(--(Lineups!$A$47:$A$84="SP*"),--(Lineups!$C$46:$C$83=$B190),Lineups!$AW$47:$AW$84))</f>
        <v>0</v>
      </c>
      <c r="P190" s="43"/>
      <c r="Q190" s="882">
        <f t="shared" si="411"/>
        <v>38</v>
      </c>
      <c r="R190" s="43"/>
      <c r="S190" s="43"/>
      <c r="T190" s="882">
        <f t="shared" si="412"/>
        <v>14</v>
      </c>
      <c r="U190" s="887" t="str">
        <f t="shared" ref="U190:V190" si="440">U121</f>
        <v>602</v>
      </c>
      <c r="V190" s="887" t="str">
        <f t="shared" si="440"/>
        <v>Fearidum</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4</v>
      </c>
      <c r="AB190" s="880">
        <f>IF(U190="","",SUMPRODUCT(--(Lineups!$AS$46:$AS$83=$U190),Lineups!$W$46:$W$83)+SUMPRODUCT(--(Lineups!$AA$47:$AA$84="SP*"),--(Lineups!$AS$46:$AS$83=$U190),Lineups!$W$47:$W$84))</f>
        <v>16</v>
      </c>
      <c r="AC190" s="882">
        <f t="shared" si="414"/>
        <v>20</v>
      </c>
      <c r="AD190" s="43"/>
      <c r="AE190" s="882">
        <f t="shared" si="415"/>
        <v>20</v>
      </c>
      <c r="AF190" s="43"/>
      <c r="AG190" s="43"/>
      <c r="AH190" s="882">
        <f>IF($U190="","",SUMPRODUCT(--(Lineups!$AC$46:$AC$83=$U190),Lineups!$W$46:$W$83) + SUMPRODUCT(--(Lineups!$AA$47:$AA$84="SP*"),--(Lineups!$AC$46:$AC$83=$U190),Lineups!$W$47:$W$84))</f>
        <v>0</v>
      </c>
      <c r="AI190" s="43"/>
      <c r="AJ190" s="882">
        <f t="shared" si="416"/>
        <v>20</v>
      </c>
      <c r="AK190" s="43"/>
    </row>
    <row r="191" ht="12.75" customHeight="1">
      <c r="A191" s="5">
        <f t="shared" si="407"/>
        <v>15</v>
      </c>
      <c r="B191" s="629" t="str">
        <f t="shared" ref="B191:C191" si="441">B122</f>
        <v>565</v>
      </c>
      <c r="C191" s="629" t="str">
        <f t="shared" si="441"/>
        <v>Melyn</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20</v>
      </c>
      <c r="H191" s="880">
        <f>IF($B191="","",SUMPRODUCT(--(Lineups!$O$46:$O$83=$B191),Lineups!$AW$46:$AW$83)+SUMPRODUCT(--(Lineups!$A$47:$A$84="SP*"),--(Lineups!$O$46:$O$83=$B191),Lineups!$AW$47:$AW$84))</f>
        <v>7</v>
      </c>
      <c r="I191" s="880">
        <f>IF($B191="","",SUMPRODUCT(--(Lineups!$S$46:$S$83=$B191),Lineups!$AW$46:$AW$83)+SUMPRODUCT(--(Lineups!$A$47:$A$84="SP*"),--(Lineups!$S$46:$S$83=$B191),Lineups!$AW$47:$AW$84))</f>
        <v>0</v>
      </c>
      <c r="J191" s="5">
        <f t="shared" si="409"/>
        <v>27</v>
      </c>
      <c r="K191" s="43"/>
      <c r="L191" s="5">
        <f t="shared" si="410"/>
        <v>27</v>
      </c>
      <c r="M191" s="43"/>
      <c r="N191" s="43"/>
      <c r="O191" s="5">
        <f>IF($B191="","",SUMPRODUCT(--(Lineups!$C$46:$C$83=$B191),Lineups!$AW$46:$AW$83) + SUMPRODUCT(--(Lineups!$A$47:$A$84="SP*"),--(Lineups!$C$46:$C$83=$B191),Lineups!$AW$47:$AW$84))</f>
        <v>0</v>
      </c>
      <c r="P191" s="43"/>
      <c r="Q191" s="5">
        <f t="shared" si="411"/>
        <v>27</v>
      </c>
      <c r="R191" s="43"/>
      <c r="S191" s="43"/>
      <c r="T191" s="5">
        <f t="shared" si="412"/>
        <v>15</v>
      </c>
      <c r="U191" s="629" t="str">
        <f t="shared" ref="U191:V191" si="442">U122</f>
        <v>777</v>
      </c>
      <c r="V191" s="629" t="str">
        <f t="shared" si="442"/>
        <v>Des</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4</v>
      </c>
      <c r="AA191" s="880">
        <f>IF(U191="","",SUMPRODUCT(--(Lineups!$AO$46:$AO$83=$U191),Lineups!$W$46:$W$83)+SUMPRODUCT(--(Lineups!$AA$47:$AA$84="SP*"),--(Lineups!$AO$46:$AO$83=$U191),Lineups!$W$47:$W$84))</f>
        <v>11</v>
      </c>
      <c r="AB191" s="880">
        <f>IF(U191="","",SUMPRODUCT(--(Lineups!$AS$46:$AS$83=$U191),Lineups!$W$46:$W$83)+SUMPRODUCT(--(Lineups!$AA$47:$AA$84="SP*"),--(Lineups!$AS$46:$AS$83=$U191),Lineups!$W$47:$W$84))</f>
        <v>0</v>
      </c>
      <c r="AC191" s="5">
        <f t="shared" si="414"/>
        <v>15</v>
      </c>
      <c r="AD191" s="43"/>
      <c r="AE191" s="5">
        <f t="shared" si="415"/>
        <v>15</v>
      </c>
      <c r="AF191" s="43"/>
      <c r="AG191" s="43"/>
      <c r="AH191" s="5">
        <f>IF($U191="","",SUMPRODUCT(--(Lineups!$AC$46:$AC$83=$U191),Lineups!$W$46:$W$83) + SUMPRODUCT(--(Lineups!$AA$47:$AA$84="SP*"),--(Lineups!$AC$46:$AC$83=$U191),Lineups!$W$47:$W$84))</f>
        <v>0</v>
      </c>
      <c r="AI191" s="43"/>
      <c r="AJ191" s="5">
        <f t="shared" si="416"/>
        <v>15</v>
      </c>
      <c r="AK191" s="43"/>
    </row>
    <row r="192" ht="12.75" customHeight="1">
      <c r="A192" s="882">
        <f t="shared" si="407"/>
        <v>16</v>
      </c>
      <c r="B192" s="887" t="str">
        <f t="shared" ref="B192:C192" si="443">B123</f>
        <v>50</v>
      </c>
      <c r="C192" s="887" t="str">
        <f t="shared" si="443"/>
        <v>Gray</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4</v>
      </c>
      <c r="H192" s="880">
        <f>IF($B192="","",SUMPRODUCT(--(Lineups!$O$46:$O$83=$B192),Lineups!$AW$46:$AW$83)+SUMPRODUCT(--(Lineups!$A$47:$A$84="SP*"),--(Lineups!$O$46:$O$83=$B192),Lineups!$AW$47:$AW$84))</f>
        <v>28</v>
      </c>
      <c r="I192" s="880">
        <f>IF($B192="","",SUMPRODUCT(--(Lineups!$S$46:$S$83=$B192),Lineups!$AW$46:$AW$83)+SUMPRODUCT(--(Lineups!$A$47:$A$84="SP*"),--(Lineups!$S$46:$S$83=$B192),Lineups!$AW$47:$AW$84))</f>
        <v>27</v>
      </c>
      <c r="J192" s="882">
        <f t="shared" si="409"/>
        <v>59</v>
      </c>
      <c r="K192" s="43"/>
      <c r="L192" s="882">
        <f t="shared" si="410"/>
        <v>59</v>
      </c>
      <c r="M192" s="43"/>
      <c r="N192" s="43"/>
      <c r="O192" s="882">
        <f>IF($B192="","",SUMPRODUCT(--(Lineups!$C$46:$C$83=$B192),Lineups!$AW$46:$AW$83) + SUMPRODUCT(--(Lineups!$A$47:$A$84="SP*"),--(Lineups!$C$46:$C$83=$B192),Lineups!$AW$47:$AW$84))</f>
        <v>0</v>
      </c>
      <c r="P192" s="43"/>
      <c r="Q192" s="882">
        <f t="shared" si="411"/>
        <v>59</v>
      </c>
      <c r="R192" s="43"/>
      <c r="S192" s="43"/>
      <c r="T192" s="882">
        <f t="shared" si="412"/>
        <v>16</v>
      </c>
      <c r="U192" s="887" t="str">
        <f t="shared" ref="U192:V192" si="444">U123</f>
        <v>88</v>
      </c>
      <c r="V192" s="887" t="str">
        <f t="shared" si="444"/>
        <v>diamond WEAPON</v>
      </c>
      <c r="W192" s="882">
        <f>IF($U192="","",SUMPRODUCT(--(Lineups!$AG$46:$AG$83=$U192),--(Lineups!$AB$46:$AB$83=""),Lineups!$W$46:$W$83)+SUMPRODUCT(--(Lineups!$AA$47:$AA$84="SP*"),--(Lineups!$AG$46:$AG$83=$U192),--(Lineups!$AB$46:$AB$83=""),Lineups!$W$47:$W$84))</f>
        <v>29</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2</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2</v>
      </c>
      <c r="AD192" s="43"/>
      <c r="AE192" s="882">
        <f t="shared" si="415"/>
        <v>31</v>
      </c>
      <c r="AF192" s="43"/>
      <c r="AG192" s="43"/>
      <c r="AH192" s="882">
        <f>IF($U192="","",SUMPRODUCT(--(Lineups!$AC$46:$AC$83=$U192),Lineups!$W$46:$W$83) + SUMPRODUCT(--(Lineups!$AA$47:$AA$84="SP*"),--(Lineups!$AC$46:$AC$83=$U192),Lineups!$W$47:$W$84))</f>
        <v>0</v>
      </c>
      <c r="AI192" s="43"/>
      <c r="AJ192" s="882">
        <f t="shared" si="416"/>
        <v>31</v>
      </c>
      <c r="AK192" s="43"/>
    </row>
    <row r="193" ht="12.75" customHeight="1">
      <c r="A193" s="5">
        <f t="shared" si="407"/>
        <v>17</v>
      </c>
      <c r="B193" s="629" t="str">
        <f t="shared" ref="B193:C193" si="445">B124</f>
        <v>808</v>
      </c>
      <c r="C193" s="629" t="str">
        <f t="shared" si="445"/>
        <v>Morganator</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32</v>
      </c>
      <c r="H193" s="880">
        <f>IF($B193="","",SUMPRODUCT(--(Lineups!$O$46:$O$83=$B193),Lineups!$AW$46:$AW$83)+SUMPRODUCT(--(Lineups!$A$47:$A$84="SP*"),--(Lineups!$O$46:$O$83=$B193),Lineups!$AW$47:$AW$84))</f>
        <v>0</v>
      </c>
      <c r="I193" s="880">
        <f>IF($B193="","",SUMPRODUCT(--(Lineups!$S$46:$S$83=$B193),Lineups!$AW$46:$AW$83)+SUMPRODUCT(--(Lineups!$A$47:$A$84="SP*"),--(Lineups!$S$46:$S$83=$B193),Lineups!$AW$47:$AW$84))</f>
        <v>0</v>
      </c>
      <c r="J193" s="5">
        <f t="shared" si="409"/>
        <v>32</v>
      </c>
      <c r="K193" s="43"/>
      <c r="L193" s="5">
        <f t="shared" si="410"/>
        <v>32</v>
      </c>
      <c r="M193" s="43"/>
      <c r="N193" s="43"/>
      <c r="O193" s="5">
        <f>IF($B193="","",SUMPRODUCT(--(Lineups!$C$46:$C$83=$B193),Lineups!$AW$46:$AW$83) + SUMPRODUCT(--(Lineups!$A$47:$A$84="SP*"),--(Lineups!$C$46:$C$83=$B193),Lineups!$AW$47:$AW$84))</f>
        <v>0</v>
      </c>
      <c r="P193" s="43"/>
      <c r="Q193" s="5">
        <f t="shared" si="411"/>
        <v>32</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2">
        <f t="shared" si="407"/>
        <v>18</v>
      </c>
      <c r="B194" s="887" t="str">
        <f t="shared" ref="B194:C194" si="447">B125</f>
        <v>912</v>
      </c>
      <c r="C194" s="887" t="str">
        <f t="shared" si="447"/>
        <v>Battered Sausage</v>
      </c>
      <c r="D194" s="882">
        <f>IF($B194="","",SUMPRODUCT(--(Lineups!$G$46:$G$83=$B194),--(Lineups!$B$46:$B$83=""),Lineups!$AW$46:$AW$83)+SUMPRODUCT(--(Lineups!$A$47:$A$84="SP*"),--(Lineups!$G$46:$G$83=$B194),--(Lineups!$B$46:$B$83=""),Lineups!$AW$47:$AW$84))</f>
        <v>34</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16</v>
      </c>
      <c r="H194" s="880">
        <f>IF($B194="","",SUMPRODUCT(--(Lineups!$O$46:$O$83=$B194),Lineups!$AW$46:$AW$83)+SUMPRODUCT(--(Lineups!$A$47:$A$84="SP*"),--(Lineups!$O$46:$O$83=$B194),Lineups!$AW$47:$AW$84))</f>
        <v>0</v>
      </c>
      <c r="I194" s="880">
        <f>IF($B194="","",SUMPRODUCT(--(Lineups!$S$46:$S$83=$B194),Lineups!$AW$46:$AW$83)+SUMPRODUCT(--(Lineups!$A$47:$A$84="SP*"),--(Lineups!$S$46:$S$83=$B194),Lineups!$AW$47:$AW$84))</f>
        <v>32</v>
      </c>
      <c r="J194" s="882">
        <f t="shared" si="409"/>
        <v>48</v>
      </c>
      <c r="K194" s="43"/>
      <c r="L194" s="882">
        <f t="shared" si="410"/>
        <v>82</v>
      </c>
      <c r="M194" s="43"/>
      <c r="N194" s="43"/>
      <c r="O194" s="882">
        <f>IF($B194="","",SUMPRODUCT(--(Lineups!$C$46:$C$83=$B194),Lineups!$AW$46:$AW$83) + SUMPRODUCT(--(Lineups!$A$47:$A$84="SP*"),--(Lineups!$C$46:$C$83=$B194),Lineups!$AW$47:$AW$84))</f>
        <v>0</v>
      </c>
      <c r="P194" s="43"/>
      <c r="Q194" s="882">
        <f t="shared" si="411"/>
        <v>82</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2.75" customHeight="1">
      <c r="A195" s="5">
        <f t="shared" si="407"/>
        <v>19</v>
      </c>
      <c r="B195" s="629" t="str">
        <f t="shared" ref="B195:C195" si="449">B126</f>
        <v>93</v>
      </c>
      <c r="C195" s="629" t="str">
        <f t="shared" si="449"/>
        <v>Sangria</v>
      </c>
      <c r="D195" s="5">
        <f>IF($B195="","",SUMPRODUCT(--(Lineups!$G$46:$G$83=$B195),--(Lineups!$B$46:$B$83=""),Lineups!$AW$46:$AW$83)+SUMPRODUCT(--(Lineups!$A$47:$A$84="SP*"),--(Lineups!$G$46:$G$83=$B195),--(Lineups!$B$46:$B$83=""),Lineups!$AW$47:$AW$84))</f>
        <v>0</v>
      </c>
      <c r="E195" s="43"/>
      <c r="F195" s="880">
        <f>IF($B195="","",SUMPRODUCT(--(Lineups!$G$46:$G$83=$B195),--(Lineups!$B$46:$B$83="X"),Lineups!$AW$46:$AW$83)+SUMPRODUCT(--(Lineups!$A$47:$A$84="SP*"),--(Lineups!$G$46:$G$83=$B195),--(Lineups!$B$46:$B$83="X"),Lineups!$AW$47:$AW$84))</f>
        <v>0</v>
      </c>
      <c r="G195" s="880">
        <f>IF($B195="","",SUMPRODUCT(--(Lineups!$K$46:$K$83=$B195),Lineups!$AW$46:$AW$83) + SUMPRODUCT(--(Lineups!$A$47:$A$84="SP*"),--(Lineups!$K$46:$K$83=$B195),Lineups!$AW$47:$AW$84))</f>
        <v>0</v>
      </c>
      <c r="H195" s="880">
        <f>IF($B195="","",SUMPRODUCT(--(Lineups!$O$46:$O$83=$B195),Lineups!$AW$46:$AW$83)+SUMPRODUCT(--(Lineups!$A$47:$A$84="SP*"),--(Lineups!$O$46:$O$83=$B195),Lineups!$AW$47:$AW$84))</f>
        <v>0</v>
      </c>
      <c r="I195" s="880">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52</v>
      </c>
      <c r="P195" s="43"/>
      <c r="Q195" s="5">
        <f t="shared" si="411"/>
        <v>52</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999</v>
      </c>
      <c r="C196" s="887" t="str">
        <f t="shared" si="451"/>
        <v>Angel</v>
      </c>
      <c r="D196" s="882">
        <f>IF($B196="","",SUMPRODUCT(--(Lineups!$G$46:$G$83=$B196),--(Lineups!$B$46:$B$83=""),Lineups!$AW$46:$AW$83)+SUMPRODUCT(--(Lineups!$A$47:$A$84="SP*"),--(Lineups!$G$46:$G$83=$B196),--(Lineups!$B$46:$B$83=""),Lineups!$AW$47:$AW$84))</f>
        <v>43</v>
      </c>
      <c r="E196" s="43"/>
      <c r="F196" s="880">
        <f>IF($B196="","",SUMPRODUCT(--(Lineups!$G$46:$G$83=$B196),--(Lineups!$B$46:$B$83="X"),Lineups!$AW$46:$AW$83)+SUMPRODUCT(--(Lineups!$A$47:$A$84="SP*"),--(Lineups!$G$46:$G$83=$B196),--(Lineups!$B$46:$B$83="X"),Lineups!$AW$47:$AW$84))</f>
        <v>0</v>
      </c>
      <c r="G196" s="880">
        <f>IF($B196="","",SUMPRODUCT(--(Lineups!$K$46:$K$83=$B196),Lineups!$AW$46:$AW$83) + SUMPRODUCT(--(Lineups!$A$47:$A$84="SP*"),--(Lineups!$K$46:$K$83=$B196),Lineups!$AW$47:$AW$84))</f>
        <v>16</v>
      </c>
      <c r="H196" s="880">
        <f>IF($B196="","",SUMPRODUCT(--(Lineups!$O$46:$O$83=$B196),Lineups!$AW$46:$AW$83)+SUMPRODUCT(--(Lineups!$A$47:$A$84="SP*"),--(Lineups!$O$46:$O$83=$B196),Lineups!$AW$47:$AW$84))</f>
        <v>0</v>
      </c>
      <c r="I196" s="880">
        <f>IF($B196="","",SUMPRODUCT(--(Lineups!$S$46:$S$83=$B196),Lineups!$AW$46:$AW$83)+SUMPRODUCT(--(Lineups!$A$47:$A$84="SP*"),--(Lineups!$S$46:$S$83=$B196),Lineups!$AW$47:$AW$84))</f>
        <v>0</v>
      </c>
      <c r="J196" s="882">
        <f t="shared" si="409"/>
        <v>16</v>
      </c>
      <c r="K196" s="43"/>
      <c r="L196" s="882">
        <f t="shared" si="410"/>
        <v>59</v>
      </c>
      <c r="M196" s="43"/>
      <c r="N196" s="43"/>
      <c r="O196" s="882">
        <f>IF($B196="","",SUMPRODUCT(--(Lineups!$C$46:$C$83=$B196),Lineups!$AW$46:$AW$83) + SUMPRODUCT(--(Lineups!$A$47:$A$84="SP*"),--(Lineups!$C$46:$C$83=$B196),Lineups!$AW$47:$AW$84))</f>
        <v>0</v>
      </c>
      <c r="P196" s="43"/>
      <c r="Q196" s="882">
        <f t="shared" si="411"/>
        <v>59</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346</v>
      </c>
      <c r="F1" s="889"/>
      <c r="G1" s="889"/>
      <c r="H1" s="889"/>
      <c r="I1" s="889"/>
      <c r="J1" s="823"/>
      <c r="K1" s="823"/>
      <c r="L1" s="823"/>
      <c r="M1" s="823"/>
      <c r="N1" s="823"/>
      <c r="O1" s="823"/>
      <c r="P1" s="823"/>
      <c r="Q1" s="823"/>
      <c r="R1" s="823"/>
      <c r="S1" s="823"/>
      <c r="T1" s="823"/>
      <c r="U1" s="823"/>
      <c r="V1" s="890" t="s">
        <v>437</v>
      </c>
      <c r="W1" s="891" t="s">
        <v>438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439</v>
      </c>
      <c r="B2" s="874" t="s">
        <v>424</v>
      </c>
      <c r="C2" s="874" t="s">
        <v>425</v>
      </c>
      <c r="D2" s="874"/>
      <c r="E2" s="874" t="s">
        <v>235</v>
      </c>
      <c r="F2" s="874" t="s">
        <v>243</v>
      </c>
      <c r="G2" s="874" t="s">
        <v>238</v>
      </c>
      <c r="H2" s="874" t="s">
        <v>234</v>
      </c>
      <c r="I2" s="874" t="s">
        <v>247</v>
      </c>
      <c r="J2" s="874" t="s">
        <v>249</v>
      </c>
      <c r="K2" s="874" t="s">
        <v>251</v>
      </c>
      <c r="L2" s="874" t="s">
        <v>242</v>
      </c>
      <c r="M2" s="874" t="s">
        <v>237</v>
      </c>
      <c r="N2" s="874" t="s">
        <v>241</v>
      </c>
      <c r="O2" s="874" t="s">
        <v>252</v>
      </c>
      <c r="P2" s="874" t="s">
        <v>222</v>
      </c>
      <c r="Q2" s="874" t="s">
        <v>268</v>
      </c>
      <c r="R2" s="874" t="s">
        <v>271</v>
      </c>
      <c r="S2" s="874"/>
      <c r="T2" s="874"/>
      <c r="U2" s="875" t="s">
        <v>398</v>
      </c>
      <c r="V2" s="892"/>
      <c r="W2" s="893" t="s">
        <v>440</v>
      </c>
      <c r="X2" s="893" t="s">
        <v>235</v>
      </c>
      <c r="Y2" s="893" t="s">
        <v>243</v>
      </c>
      <c r="Z2" s="893" t="s">
        <v>238</v>
      </c>
      <c r="AA2" s="893" t="s">
        <v>234</v>
      </c>
      <c r="AB2" s="893" t="s">
        <v>247</v>
      </c>
      <c r="AC2" s="893" t="s">
        <v>249</v>
      </c>
      <c r="AD2" s="893" t="s">
        <v>251</v>
      </c>
      <c r="AE2" s="893" t="s">
        <v>242</v>
      </c>
      <c r="AF2" s="893" t="s">
        <v>237</v>
      </c>
      <c r="AG2" s="893" t="s">
        <v>241</v>
      </c>
      <c r="AH2" s="893" t="s">
        <v>252</v>
      </c>
      <c r="AI2" s="893" t="s">
        <v>268</v>
      </c>
      <c r="AJ2" s="893"/>
      <c r="AK2" s="5"/>
      <c r="AL2" s="5"/>
      <c r="AM2" s="5"/>
      <c r="AN2" s="5"/>
      <c r="AO2" s="5"/>
      <c r="AP2" s="5"/>
      <c r="AQ2" s="5"/>
      <c r="AR2" s="5"/>
      <c r="AS2" s="5"/>
      <c r="AT2" s="5"/>
      <c r="AU2" s="5"/>
      <c r="AV2" s="5"/>
      <c r="AW2" s="5"/>
      <c r="AX2" s="5"/>
    </row>
    <row r="3" ht="13.5" customHeight="1">
      <c r="A3" s="419">
        <v>1.0</v>
      </c>
      <c r="B3" s="894" t="str">
        <f>IF(IGRF!B14="","",IGRF!B14)</f>
        <v>04</v>
      </c>
      <c r="C3" s="669" t="str">
        <f>IF(IGRF!C14="","",IGRF!C14)</f>
        <v>Nina</v>
      </c>
      <c r="D3" s="5" t="s">
        <v>441</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442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16</v>
      </c>
      <c r="C5" s="901" t="str">
        <f>IF(IGRF!C15="","",IGRF!C15)</f>
        <v>Saabor</v>
      </c>
      <c r="D5" s="882" t="s">
        <v>441</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1</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1</v>
      </c>
      <c r="V5" s="903">
        <f>IF(B5="","",SUM(E5:T5)*0.5)</f>
        <v>0.5</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442</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4" t="str">
        <f>IF(IGRF!B16="","",IGRF!B16)</f>
        <v>177</v>
      </c>
      <c r="C7" s="669" t="str">
        <f>IF(IGRF!C16="","",IGRF!C16)</f>
        <v>Phoenix</v>
      </c>
      <c r="D7" s="5" t="s">
        <v>441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1</v>
      </c>
      <c r="N7" s="5">
        <f>IF($B7="","",COUNTIF(Penalties!$B8:$J8,N$2))</f>
        <v>1</v>
      </c>
      <c r="O7" s="5">
        <f>IF($B7="","",COUNTIF(Penalties!$B8:$J8,O$2))</f>
        <v>0</v>
      </c>
      <c r="P7" s="5">
        <f>IF($B7="","",COUNTIF(Penalties!$B8:$J8,P$2))</f>
        <v>0</v>
      </c>
      <c r="Q7" s="5">
        <f>IF($B7="","",COUNTIF(Penalties!$B8:$J8,Q$2))</f>
        <v>0</v>
      </c>
      <c r="R7" s="5">
        <f>IF($B7="","",COUNTIF(Penalties!$B8:$J8,R$2))</f>
        <v>0</v>
      </c>
      <c r="S7" s="5"/>
      <c r="T7" s="5"/>
      <c r="U7" s="895">
        <f>IF(B7="","",SUM(E7:T7))</f>
        <v>3</v>
      </c>
      <c r="V7" s="896">
        <f>IF(B7="","",SUM(E7:T7)*0.5)</f>
        <v>1.5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442</v>
      </c>
      <c r="E8" s="5">
        <f>IF($B7="","",COUNTIF(Penalties!$AD8:$AL8,E$2))</f>
        <v>0</v>
      </c>
      <c r="F8" s="5">
        <f>IF($B7="","",COUNTIF(Penalties!$AD8:$AL8,F$2))</f>
        <v>0</v>
      </c>
      <c r="G8" s="5">
        <f>IF($B7="","",COUNTIF(Penalties!$AD8:$AL8,G$2))</f>
        <v>1</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2</v>
      </c>
      <c r="V8" s="896">
        <f>IF(B7="","",SUM(E8:T8)*0.5)</f>
        <v>1</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215</v>
      </c>
      <c r="C9" s="901" t="str">
        <f>IF(IGRF!C17="","",IGRF!C17)</f>
        <v>Pollock</v>
      </c>
      <c r="D9" s="882" t="s">
        <v>441</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442</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4" t="str">
        <f>IF(IGRF!B18="","",IGRF!B18)</f>
        <v>27</v>
      </c>
      <c r="C11" s="669" t="str">
        <f>IF(IGRF!C18="","",IGRF!C18)</f>
        <v>MegaHurtz</v>
      </c>
      <c r="D11" s="5" t="s">
        <v>441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442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271</v>
      </c>
      <c r="C13" s="901" t="str">
        <f>IF(IGRF!C19="","",IGRF!C19)</f>
        <v>Peb Canary</v>
      </c>
      <c r="D13" s="882" t="s">
        <v>441</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0</v>
      </c>
      <c r="V13" s="903">
        <f>IF(B13="","",SUM(E13:T13)*0.5)</f>
        <v>0</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442</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4" t="str">
        <f>IF(IGRF!B20="","",IGRF!B20)</f>
        <v>220</v>
      </c>
      <c r="C15" s="669" t="str">
        <f>IF(IGRF!C20="","",IGRF!C20)</f>
        <v>Cerosene</v>
      </c>
      <c r="D15" s="5" t="s">
        <v>441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1</v>
      </c>
      <c r="Q15" s="5">
        <f>IF($B15="","",COUNTIF(Penalties!$B16:$J16,Q$2))</f>
        <v>0</v>
      </c>
      <c r="R15" s="5">
        <f>IF($B15="","",COUNTIF(Penalties!$B16:$J16,R$2))</f>
        <v>0</v>
      </c>
      <c r="S15" s="5"/>
      <c r="T15" s="5"/>
      <c r="U15" s="895">
        <f>IF(B15="","",SUM(E15:T15))</f>
        <v>2</v>
      </c>
      <c r="V15" s="896">
        <f>IF(B15="","",SUM(E15:T15)*0.5)</f>
        <v>1</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442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5">
        <f>IF(B15="","",SUM(E16:T16))</f>
        <v>1</v>
      </c>
      <c r="V16" s="896">
        <f>IF(B15="","",SUM(E16:T16)*0.5)</f>
        <v>0.5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3556</v>
      </c>
      <c r="C17" s="901" t="str">
        <f>IF(IGRF!C21="","",IGRF!C21)</f>
        <v>Crystal Beth</v>
      </c>
      <c r="D17" s="882" t="s">
        <v>441</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442</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4" t="str">
        <f>IF(IGRF!B22="","",IGRF!B22)</f>
        <v>360</v>
      </c>
      <c r="C19" s="669" t="str">
        <f>IF(IGRF!C22="","",IGRF!C22)</f>
        <v>Baxter</v>
      </c>
      <c r="D19" s="5" t="s">
        <v>441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442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40</v>
      </c>
      <c r="C21" s="901" t="str">
        <f>IF(IGRF!C23="","",IGRF!C23)</f>
        <v>Kid</v>
      </c>
      <c r="D21" s="882" t="s">
        <v>441</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442</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4" t="str">
        <f>IF(IGRF!B24="","",IGRF!B24)</f>
        <v>42</v>
      </c>
      <c r="C23" s="669" t="str">
        <f>IF(IGRF!C24="","",IGRF!C24)</f>
        <v>Bosh</v>
      </c>
      <c r="D23" s="5" t="s">
        <v>441</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1</v>
      </c>
      <c r="V23" s="896">
        <f>IF(B23="","",SUM(E23:T23)*0.5)</f>
        <v>0.5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442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2</v>
      </c>
      <c r="O24" s="5">
        <f>IF($B23="","",COUNTIF(Penalties!$AD24:$AL24,O$2))</f>
        <v>0</v>
      </c>
      <c r="P24" s="5">
        <f>IF($B23="","",COUNTIF(Penalties!$AD24:$AL24,P$2))</f>
        <v>0</v>
      </c>
      <c r="Q24" s="5">
        <f>IF($B23="","",COUNTIF(Penalties!$AD24:$AL24,Q$2))</f>
        <v>0</v>
      </c>
      <c r="R24" s="5">
        <f>IF($B23="","",COUNTIF(Penalties!$AD24:$AL24,R$2))</f>
        <v>0</v>
      </c>
      <c r="S24" s="5"/>
      <c r="T24" s="5"/>
      <c r="U24" s="895">
        <f>IF(B23="","",SUM(E24:T24))</f>
        <v>3</v>
      </c>
      <c r="V24" s="896">
        <f>IF(B23="","",SUM(E24:T24)*0.5)</f>
        <v>1.5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44</v>
      </c>
      <c r="C25" s="901" t="str">
        <f>IF(IGRF!C25="","",IGRF!C25)</f>
        <v>Esparcieux</v>
      </c>
      <c r="D25" s="882" t="s">
        <v>441</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442</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4" t="str">
        <f>IF(IGRF!B26="","",IGRF!B26)</f>
        <v>45</v>
      </c>
      <c r="C27" s="669" t="str">
        <f>IF(IGRF!C26="","",IGRF!C26)</f>
        <v>Hawk</v>
      </c>
      <c r="D27" s="5" t="s">
        <v>441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442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48</v>
      </c>
      <c r="C29" s="901" t="str">
        <f>IF(IGRF!C27="","",IGRF!C27)</f>
        <v>Ward</v>
      </c>
      <c r="D29" s="882" t="s">
        <v>441</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442</v>
      </c>
      <c r="E30" s="882">
        <f>IF($B29="","",COUNTIF(Penalties!$AD30:$AL30,E$2))</f>
        <v>0</v>
      </c>
      <c r="F30" s="882">
        <f>IF($B29="","",COUNTIF(Penalties!$AD30:$AL30,F$2))</f>
        <v>0</v>
      </c>
      <c r="G30" s="882">
        <f>IF($B29="","",COUNTIF(Penalties!$AD30:$AL30,G$2))</f>
        <v>1</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1</v>
      </c>
      <c r="O30" s="882">
        <f>IF($B29="","",COUNTIF(Penalties!$AD30:$AL30,O$2))</f>
        <v>0</v>
      </c>
      <c r="P30" s="882">
        <f>IF($B29="","",COUNTIF(Penalties!$AD30:$AL30,P$2))</f>
        <v>0</v>
      </c>
      <c r="Q30" s="882">
        <f>IF($B29="","",COUNTIF(Penalties!$AD30:$AL30,Q$2))</f>
        <v>0</v>
      </c>
      <c r="R30" s="882">
        <f>IF($B29="","",COUNTIF(Penalties!$AD30:$AL30,R$2))</f>
        <v>0</v>
      </c>
      <c r="S30" s="882"/>
      <c r="T30" s="882"/>
      <c r="U30" s="902">
        <f>IF(B29="","",SUM(E30:T30))</f>
        <v>2</v>
      </c>
      <c r="V30" s="903">
        <f>IF(B29="","",SUM(E30:T30)*0.5)</f>
        <v>1</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4" t="str">
        <f>IF(IGRF!B28="","",IGRF!B28)</f>
        <v>565</v>
      </c>
      <c r="C31" s="669" t="str">
        <f>IF(IGRF!C28="","",IGRF!C28)</f>
        <v>Melyn</v>
      </c>
      <c r="D31" s="5" t="s">
        <v>441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442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50</v>
      </c>
      <c r="C33" s="901" t="str">
        <f>IF(IGRF!C29="","",IGRF!C29)</f>
        <v>Gray</v>
      </c>
      <c r="D33" s="882" t="s">
        <v>441</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1</v>
      </c>
      <c r="M33" s="882">
        <f>IF($B33="","",COUNTIF(Penalties!$B34:$J34,M$2))</f>
        <v>0</v>
      </c>
      <c r="N33" s="882">
        <f>IF($B33="","",COUNTIF(Penalties!$B34:$J34,N$2))</f>
        <v>2</v>
      </c>
      <c r="O33" s="882">
        <f>IF($B33="","",COUNTIF(Penalties!$B34:$J34,O$2))</f>
        <v>0</v>
      </c>
      <c r="P33" s="882">
        <f>IF($B33="","",COUNTIF(Penalties!$B34:$J34,P$2))</f>
        <v>0</v>
      </c>
      <c r="Q33" s="882">
        <f>IF($B33="","",COUNTIF(Penalties!$B34:$J34,Q$2))</f>
        <v>0</v>
      </c>
      <c r="R33" s="882">
        <f>IF($B33="","",COUNTIF(Penalties!$B34:$J34,R$2))</f>
        <v>0</v>
      </c>
      <c r="S33" s="882"/>
      <c r="T33" s="882"/>
      <c r="U33" s="902">
        <f>IF(B33="","",SUM(E33:T33))</f>
        <v>3</v>
      </c>
      <c r="V33" s="903">
        <f>IF(B33="","",SUM(E33:T33)*0.5)</f>
        <v>1.5</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442</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4" t="str">
        <f>IF(IGRF!B30="","",IGRF!B30)</f>
        <v>808</v>
      </c>
      <c r="C35" s="669" t="str">
        <f>IF(IGRF!C30="","",IGRF!C30)</f>
        <v>Morganator</v>
      </c>
      <c r="D35" s="5" t="s">
        <v>441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5">
        <f>IF(B35="","",SUM(E35:T35))</f>
        <v>0</v>
      </c>
      <c r="V35" s="896">
        <f>IF(B35="","",SUM(E35:T35)*0.5)</f>
        <v>0</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442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1</v>
      </c>
      <c r="V36" s="896">
        <f>IF(B35="","",SUM(E36:T36)*0.5)</f>
        <v>0.5</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912</v>
      </c>
      <c r="C37" s="901" t="str">
        <f>IF(IGRF!C31="","",IGRF!C31)</f>
        <v>Battered Sausage</v>
      </c>
      <c r="D37" s="882" t="s">
        <v>441</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1</v>
      </c>
      <c r="M37" s="882">
        <f>IF($B37="","",COUNTIF(Penalties!$B38:$J38,M$2))</f>
        <v>0</v>
      </c>
      <c r="N37" s="882">
        <f>IF($B37="","",COUNTIF(Penalties!$B38:$J38,N$2))</f>
        <v>0</v>
      </c>
      <c r="O37" s="882">
        <f>IF($B37="","",COUNTIF(Penalties!$B38:$J38,O$2))</f>
        <v>0</v>
      </c>
      <c r="P37" s="882">
        <f>IF($B37="","",COUNTIF(Penalties!$B38:$J38,P$2))</f>
        <v>0</v>
      </c>
      <c r="Q37" s="882">
        <f>IF($B37="","",COUNTIF(Penalties!$B38:$J38,Q$2))</f>
        <v>0</v>
      </c>
      <c r="R37" s="882">
        <f>IF($B37="","",COUNTIF(Penalties!$B38:$J38,R$2))</f>
        <v>0</v>
      </c>
      <c r="S37" s="882"/>
      <c r="T37" s="882"/>
      <c r="U37" s="902">
        <f>IF(B37="","",SUM(E37:T37))</f>
        <v>1</v>
      </c>
      <c r="V37" s="903">
        <f>IF(B37="","",SUM(E37:T37)*0.5)</f>
        <v>0.5</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442</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0</v>
      </c>
      <c r="V38" s="903">
        <f>IF(B37="","",SUM(E38:T38)*0.5)</f>
        <v>0</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4" t="str">
        <f>IF(IGRF!B32="","",IGRF!B32)</f>
        <v>93</v>
      </c>
      <c r="C39" s="669" t="str">
        <f>IF(IGRF!C32="","",IGRF!C32)</f>
        <v>Sangria</v>
      </c>
      <c r="D39" s="5" t="s">
        <v>441</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5">
        <f>IF(B39="","",SUM(E39:T39))</f>
        <v>0</v>
      </c>
      <c r="V39" s="896">
        <f>IF(B39="","",SUM(E39:T39)*0.5)</f>
        <v>0</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442</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95">
        <f>IF(B39="","",SUM(E40:T40))</f>
        <v>1</v>
      </c>
      <c r="V40" s="896">
        <f>IF(B39="","",SUM(E40:T40)*0.5)</f>
        <v>0.5</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999</v>
      </c>
      <c r="C41" s="901" t="str">
        <f>IF(IGRF!C33="","",IGRF!C33)</f>
        <v>Angel</v>
      </c>
      <c r="D41" s="882" t="s">
        <v>441</v>
      </c>
      <c r="E41" s="882">
        <f>IF($B41="","",COUNTIF(Penalties!$B42:$J42,E$2))</f>
        <v>0</v>
      </c>
      <c r="F41" s="882">
        <f>IF($B41="","",COUNTIF(Penalties!$B42:$J42,F$2))</f>
        <v>0</v>
      </c>
      <c r="G41" s="882">
        <f>IF($B41="","",COUNTIF(Penalties!$B42:$J42,G$2))</f>
        <v>0</v>
      </c>
      <c r="H41" s="882">
        <f>IF($B41="","",COUNTIF(Penalties!$B42:$J42,H$2))</f>
        <v>0</v>
      </c>
      <c r="I41" s="882">
        <f>IF($B41="","",COUNTIF(Penalties!$B42:$J42,I$2))</f>
        <v>0</v>
      </c>
      <c r="J41" s="882">
        <f>IF($B41="","",COUNTIF(Penalties!$B42:$J42,J$2))</f>
        <v>0</v>
      </c>
      <c r="K41" s="882">
        <f>IF($B41="","",COUNTIF(Penalties!$B42:$J42,K$2))</f>
        <v>0</v>
      </c>
      <c r="L41" s="882">
        <f>IF($B41="","",COUNTIF(Penalties!$B42:$J42,L$2))</f>
        <v>0</v>
      </c>
      <c r="M41" s="882">
        <f>IF($B41="","",COUNTIF(Penalties!$B42:$J42,M$2))</f>
        <v>0</v>
      </c>
      <c r="N41" s="882">
        <f>IF($B41="","",COUNTIF(Penalties!$B42:$J42,N$2))</f>
        <v>1</v>
      </c>
      <c r="O41" s="882">
        <f>IF($B41="","",COUNTIF(Penalties!$B42:$J42,O$2))</f>
        <v>0</v>
      </c>
      <c r="P41" s="882">
        <f>IF($B41="","",COUNTIF(Penalties!$B42:$J42,P$2))</f>
        <v>0</v>
      </c>
      <c r="Q41" s="882">
        <f>IF($B41="","",COUNTIF(Penalties!$B42:$J42,Q$2))</f>
        <v>0</v>
      </c>
      <c r="R41" s="882">
        <f>IF($B41="","",COUNTIF(Penalties!$B42:$J42,R$2))</f>
        <v>0</v>
      </c>
      <c r="S41" s="882"/>
      <c r="T41" s="882"/>
      <c r="U41" s="902">
        <f>IF(B41="","",SUM(E41:T41))</f>
        <v>1</v>
      </c>
      <c r="V41" s="903">
        <f>IF(B41="","",SUM(E41:T41)*0.5)</f>
        <v>0.5</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442</v>
      </c>
      <c r="E42" s="882">
        <f>IF($B41="","",COUNTIF(Penalties!$AD42:$AL42,E$2))</f>
        <v>0</v>
      </c>
      <c r="F42" s="882">
        <f>IF($B41="","",COUNTIF(Penalties!$AD42:$AL42,F$2))</f>
        <v>0</v>
      </c>
      <c r="G42" s="882">
        <f>IF($B41="","",COUNTIF(Penalties!$AD42:$AL42,G$2))</f>
        <v>0</v>
      </c>
      <c r="H42" s="882">
        <f>IF($B41="","",COUNTIF(Penalties!$AD42:$AL42,H$2))</f>
        <v>0</v>
      </c>
      <c r="I42" s="882">
        <f>IF($B41="","",COUNTIF(Penalties!$AD42:$AL42,I$2))</f>
        <v>0</v>
      </c>
      <c r="J42" s="882">
        <f>IF($B41="","",COUNTIF(Penalties!$AD42:$AL42,J$2))</f>
        <v>0</v>
      </c>
      <c r="K42" s="882">
        <f>IF($B41="","",COUNTIF(Penalties!$AD42:$AL42,K$2))</f>
        <v>0</v>
      </c>
      <c r="L42" s="882">
        <f>IF($B41="","",COUNTIF(Penalties!$AD42:$AL42,L$2))</f>
        <v>0</v>
      </c>
      <c r="M42" s="882">
        <f>IF($B41="","",COUNTIF(Penalties!$AD42:$AL42,M$2))</f>
        <v>0</v>
      </c>
      <c r="N42" s="882">
        <f>IF($B41="","",COUNTIF(Penalties!$AD42:$AL42,N$2))</f>
        <v>1</v>
      </c>
      <c r="O42" s="882">
        <f>IF($B41="","",COUNTIF(Penalties!$AD42:$AL42,O$2))</f>
        <v>0</v>
      </c>
      <c r="P42" s="882">
        <f>IF($B41="","",COUNTIF(Penalties!$AD42:$AL42,P$2))</f>
        <v>0</v>
      </c>
      <c r="Q42" s="882">
        <f>IF($B41="","",COUNTIF(Penalties!$AD42:$AL42,Q$2))</f>
        <v>0</v>
      </c>
      <c r="R42" s="882">
        <f>IF($B41="","",COUNTIF(Penalties!$AD42:$AL42,R$2))</f>
        <v>0</v>
      </c>
      <c r="S42" s="882"/>
      <c r="T42" s="882"/>
      <c r="U42" s="902">
        <f>IF(B41="","",SUM(E42:T42))</f>
        <v>1</v>
      </c>
      <c r="V42" s="903">
        <f>IF(B41="","",SUM(E42:T42)*0.5)</f>
        <v>0.5</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443</v>
      </c>
      <c r="B43" s="204"/>
      <c r="C43" s="205"/>
      <c r="D43" s="909" t="s">
        <v>441</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5"/>
      <c r="B44" s="316"/>
      <c r="C44" s="317"/>
      <c r="D44" s="909" t="s">
        <v>442</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443</v>
      </c>
      <c r="B45" s="204"/>
      <c r="C45" s="205"/>
      <c r="D45" s="882" t="s">
        <v>441</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5"/>
      <c r="B46" s="316"/>
      <c r="C46" s="317"/>
      <c r="D46" s="882" t="s">
        <v>442</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439</v>
      </c>
      <c r="B47" s="205"/>
      <c r="C47" s="913" t="s">
        <v>444</v>
      </c>
      <c r="D47" s="914" t="s">
        <v>441</v>
      </c>
      <c r="E47" s="914">
        <f t="shared" ref="E47:AG47" si="1">SUM(E3,E5,E7,E9,E11,E13,E15,E17,E19,E21,E23,E25,E27,E29,E31,E33,E35,E37,E39,E41)</f>
        <v>0</v>
      </c>
      <c r="F47" s="914">
        <f t="shared" si="1"/>
        <v>0</v>
      </c>
      <c r="G47" s="914">
        <f t="shared" si="1"/>
        <v>1</v>
      </c>
      <c r="H47" s="914">
        <f t="shared" si="1"/>
        <v>1</v>
      </c>
      <c r="I47" s="914">
        <f t="shared" si="1"/>
        <v>0</v>
      </c>
      <c r="J47" s="914">
        <f t="shared" si="1"/>
        <v>0</v>
      </c>
      <c r="K47" s="914">
        <f t="shared" si="1"/>
        <v>0</v>
      </c>
      <c r="L47" s="914">
        <f t="shared" si="1"/>
        <v>3</v>
      </c>
      <c r="M47" s="914">
        <f t="shared" si="1"/>
        <v>2</v>
      </c>
      <c r="N47" s="914">
        <f t="shared" si="1"/>
        <v>5</v>
      </c>
      <c r="O47" s="914">
        <f t="shared" si="1"/>
        <v>0</v>
      </c>
      <c r="P47" s="914">
        <f t="shared" si="1"/>
        <v>1</v>
      </c>
      <c r="Q47" s="914">
        <f t="shared" si="1"/>
        <v>0</v>
      </c>
      <c r="R47" s="914">
        <f t="shared" si="1"/>
        <v>0</v>
      </c>
      <c r="S47" s="914">
        <f t="shared" si="1"/>
        <v>0</v>
      </c>
      <c r="T47" s="914">
        <f t="shared" si="1"/>
        <v>0</v>
      </c>
      <c r="U47" s="875">
        <f t="shared" si="1"/>
        <v>13</v>
      </c>
      <c r="V47" s="915">
        <f t="shared" si="1"/>
        <v>6.5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3"/>
      <c r="C48" s="681"/>
      <c r="D48" s="914" t="s">
        <v>442</v>
      </c>
      <c r="E48" s="914">
        <f t="shared" ref="E48:AG48" si="3">SUM(E4,E6,E8,E10,E12,E14,E16,E18,E20,E22,E24,E26,E28,E30,E32,E34,E36,E38,E40,E42)</f>
        <v>0</v>
      </c>
      <c r="F48" s="914">
        <f t="shared" si="3"/>
        <v>0</v>
      </c>
      <c r="G48" s="914">
        <f t="shared" si="3"/>
        <v>2</v>
      </c>
      <c r="H48" s="914">
        <f t="shared" si="3"/>
        <v>0</v>
      </c>
      <c r="I48" s="914">
        <f t="shared" si="3"/>
        <v>0</v>
      </c>
      <c r="J48" s="914">
        <f t="shared" si="3"/>
        <v>2</v>
      </c>
      <c r="K48" s="914">
        <f t="shared" si="3"/>
        <v>0</v>
      </c>
      <c r="L48" s="914">
        <f t="shared" si="3"/>
        <v>1</v>
      </c>
      <c r="M48" s="914">
        <f t="shared" si="3"/>
        <v>0</v>
      </c>
      <c r="N48" s="914">
        <f t="shared" si="3"/>
        <v>4</v>
      </c>
      <c r="O48" s="914">
        <f t="shared" si="3"/>
        <v>0</v>
      </c>
      <c r="P48" s="914">
        <f t="shared" si="3"/>
        <v>2</v>
      </c>
      <c r="Q48" s="914">
        <f t="shared" si="3"/>
        <v>0</v>
      </c>
      <c r="R48" s="914">
        <f t="shared" si="3"/>
        <v>0</v>
      </c>
      <c r="S48" s="914">
        <f t="shared" si="3"/>
        <v>0</v>
      </c>
      <c r="T48" s="914">
        <f t="shared" si="3"/>
        <v>0</v>
      </c>
      <c r="U48" s="875">
        <f t="shared" si="3"/>
        <v>11</v>
      </c>
      <c r="V48" s="915">
        <f t="shared" si="3"/>
        <v>5.5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5"/>
      <c r="B49" s="317"/>
      <c r="C49" s="782"/>
      <c r="D49" s="875" t="s">
        <v>398</v>
      </c>
      <c r="E49" s="875">
        <f t="shared" ref="E49:AI49" si="5">SUM(E47,E48)</f>
        <v>0</v>
      </c>
      <c r="F49" s="875">
        <f t="shared" si="5"/>
        <v>0</v>
      </c>
      <c r="G49" s="875">
        <f t="shared" si="5"/>
        <v>3</v>
      </c>
      <c r="H49" s="875">
        <f t="shared" si="5"/>
        <v>1</v>
      </c>
      <c r="I49" s="875">
        <f t="shared" si="5"/>
        <v>0</v>
      </c>
      <c r="J49" s="875">
        <f t="shared" si="5"/>
        <v>2</v>
      </c>
      <c r="K49" s="875">
        <f t="shared" si="5"/>
        <v>0</v>
      </c>
      <c r="L49" s="875">
        <f t="shared" si="5"/>
        <v>4</v>
      </c>
      <c r="M49" s="875">
        <f t="shared" si="5"/>
        <v>2</v>
      </c>
      <c r="N49" s="875">
        <f t="shared" si="5"/>
        <v>9</v>
      </c>
      <c r="O49" s="875">
        <f t="shared" si="5"/>
        <v>0</v>
      </c>
      <c r="P49" s="875">
        <f t="shared" si="5"/>
        <v>3</v>
      </c>
      <c r="Q49" s="875">
        <f t="shared" si="5"/>
        <v>0</v>
      </c>
      <c r="R49" s="875">
        <f t="shared" si="5"/>
        <v>0</v>
      </c>
      <c r="S49" s="875">
        <f t="shared" si="5"/>
        <v>0</v>
      </c>
      <c r="T49" s="875">
        <f t="shared" si="5"/>
        <v>0</v>
      </c>
      <c r="U49" s="919">
        <f t="shared" si="5"/>
        <v>24</v>
      </c>
      <c r="V49" s="920">
        <f t="shared" si="5"/>
        <v>12</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346</v>
      </c>
      <c r="F54" s="889"/>
      <c r="G54" s="889"/>
      <c r="H54" s="889"/>
      <c r="I54" s="889"/>
      <c r="J54" s="823"/>
      <c r="K54" s="823"/>
      <c r="L54" s="823"/>
      <c r="M54" s="823"/>
      <c r="N54" s="823"/>
      <c r="O54" s="823"/>
      <c r="P54" s="823"/>
      <c r="Q54" s="823"/>
      <c r="R54" s="823"/>
      <c r="S54" s="823"/>
      <c r="T54" s="823"/>
      <c r="U54" s="823"/>
      <c r="V54" s="890" t="s">
        <v>437</v>
      </c>
      <c r="W54" s="891" t="s">
        <v>438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445</v>
      </c>
      <c r="B55" s="874" t="s">
        <v>424</v>
      </c>
      <c r="C55" s="874" t="s">
        <v>425</v>
      </c>
      <c r="D55" s="874"/>
      <c r="E55" s="874" t="s">
        <v>235</v>
      </c>
      <c r="F55" s="874" t="s">
        <v>243</v>
      </c>
      <c r="G55" s="874" t="s">
        <v>238</v>
      </c>
      <c r="H55" s="874" t="s">
        <v>234</v>
      </c>
      <c r="I55" s="874" t="s">
        <v>247</v>
      </c>
      <c r="J55" s="874" t="s">
        <v>249</v>
      </c>
      <c r="K55" s="874" t="s">
        <v>251</v>
      </c>
      <c r="L55" s="874" t="s">
        <v>242</v>
      </c>
      <c r="M55" s="874" t="s">
        <v>237</v>
      </c>
      <c r="N55" s="874" t="s">
        <v>241</v>
      </c>
      <c r="O55" s="874" t="s">
        <v>252</v>
      </c>
      <c r="P55" s="874" t="s">
        <v>222</v>
      </c>
      <c r="Q55" s="874" t="s">
        <v>268</v>
      </c>
      <c r="R55" s="874" t="s">
        <v>271</v>
      </c>
      <c r="S55" s="874"/>
      <c r="T55" s="874"/>
      <c r="U55" s="875" t="s">
        <v>398</v>
      </c>
      <c r="V55" s="892"/>
      <c r="W55" s="893" t="s">
        <v>440</v>
      </c>
      <c r="X55" s="893" t="s">
        <v>235</v>
      </c>
      <c r="Y55" s="893" t="s">
        <v>243</v>
      </c>
      <c r="Z55" s="893" t="s">
        <v>238</v>
      </c>
      <c r="AA55" s="893" t="s">
        <v>234</v>
      </c>
      <c r="AB55" s="893" t="s">
        <v>247</v>
      </c>
      <c r="AC55" s="893" t="s">
        <v>249</v>
      </c>
      <c r="AD55" s="893" t="s">
        <v>251</v>
      </c>
      <c r="AE55" s="893" t="s">
        <v>242</v>
      </c>
      <c r="AF55" s="893" t="s">
        <v>237</v>
      </c>
      <c r="AG55" s="893" t="s">
        <v>241</v>
      </c>
      <c r="AH55" s="893" t="s">
        <v>252</v>
      </c>
      <c r="AI55" s="893" t="s">
        <v>268</v>
      </c>
      <c r="AJ55" s="893"/>
      <c r="AK55" s="43"/>
      <c r="AL55" s="43"/>
      <c r="AM55" s="43"/>
      <c r="AN55" s="43"/>
      <c r="AO55" s="43"/>
      <c r="AP55" s="43"/>
      <c r="AQ55" s="43"/>
      <c r="AR55" s="43"/>
      <c r="AS55" s="43"/>
      <c r="AT55" s="43"/>
      <c r="AU55" s="43"/>
      <c r="AV55" s="43"/>
      <c r="AW55" s="43"/>
      <c r="AX55" s="43"/>
    </row>
    <row r="56" ht="13.5" customHeight="1">
      <c r="A56" s="419">
        <v>1.0</v>
      </c>
      <c r="B56" s="894" t="str">
        <f>IF(IGRF!I14="","",IGRF!I14)</f>
        <v>040</v>
      </c>
      <c r="C56" s="669" t="str">
        <f>IF(IGRF!J14="","",IGRF!J14)</f>
        <v>Ruff Rackelhahn</v>
      </c>
      <c r="D56" s="5" t="s">
        <v>441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442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101</v>
      </c>
      <c r="C58" s="901" t="str">
        <f>IF(IGRF!J15="","",IGRF!J15)</f>
        <v>Powell</v>
      </c>
      <c r="D58" s="882" t="s">
        <v>441</v>
      </c>
      <c r="E58" s="882">
        <f>IF($B58="","",COUNTIF(Penalties!$Q6:$Y6,E$55))</f>
        <v>0</v>
      </c>
      <c r="F58" s="882">
        <f>IF($B58="","",COUNTIF(Penalties!$Q6:$Y6,F$55))</f>
        <v>0</v>
      </c>
      <c r="G58" s="882">
        <f>IF($B58="","",COUNTIF(Penalties!$Q6:$Y6,G$55))</f>
        <v>1</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1</v>
      </c>
      <c r="V58" s="903">
        <f>IF(B58="","",SUM(E58:T58)*0.5)</f>
        <v>0.5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442</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1</v>
      </c>
      <c r="Q59" s="882">
        <f>IF($B58="","",COUNTIF(Penalties!$AS6:$BA6,Q$55))</f>
        <v>0</v>
      </c>
      <c r="R59" s="882">
        <f>IF($B58="","",COUNTIF(Penalties!$AS6:$BA6,R$55))</f>
        <v>0</v>
      </c>
      <c r="S59" s="882"/>
      <c r="T59" s="882"/>
      <c r="U59" s="902">
        <f>IF(B58="","",SUM(E59:T59))</f>
        <v>1</v>
      </c>
      <c r="V59" s="903">
        <f>IF(B58="","",SUM(E59:T59)*0.5)</f>
        <v>0.5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4" t="str">
        <f>IF(IGRF!I16="","",IGRF!I16)</f>
        <v>11</v>
      </c>
      <c r="C60" s="669" t="str">
        <f>IF(IGRF!J16="","",IGRF!J16)</f>
        <v>Bambi Deerdevil</v>
      </c>
      <c r="D60" s="5" t="s">
        <v>441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5">
        <f>IF(B60="","",SUM(E60:T60))</f>
        <v>1</v>
      </c>
      <c r="V60" s="896">
        <f>IF(B60="","",SUM(E60:T60)*0.5)</f>
        <v>0.5</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442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1</v>
      </c>
      <c r="Q61" s="5">
        <f>IF($B60="","",COUNTIF(Penalties!$AS8:$BA8,Q$55))</f>
        <v>0</v>
      </c>
      <c r="R61" s="5">
        <f>IF($B60="","",COUNTIF(Penalties!$AS8:$BA8,R$55))</f>
        <v>0</v>
      </c>
      <c r="S61" s="5"/>
      <c r="T61" s="5"/>
      <c r="U61" s="895">
        <f>IF(B60="","",SUM(E61:T61))</f>
        <v>2</v>
      </c>
      <c r="V61" s="896">
        <f>IF(B60="","",SUM(E61:T61)*0.5)</f>
        <v>1</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33</v>
      </c>
      <c r="C62" s="901" t="str">
        <f>IF(IGRF!J17="","",IGRF!J17)</f>
        <v>Fox Mauler</v>
      </c>
      <c r="D62" s="882" t="s">
        <v>441</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442</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4" t="str">
        <f>IF(IGRF!I18="","",IGRF!I18)</f>
        <v>1337</v>
      </c>
      <c r="C64" s="669" t="str">
        <f>IF(IGRF!J18="","",IGRF!J18)</f>
        <v>8Bit Betty</v>
      </c>
      <c r="D64" s="5" t="s">
        <v>441</v>
      </c>
      <c r="E64" s="5">
        <f>IF($B64="","",COUNTIF(Penalties!$Q12:$Y12,E$55))</f>
        <v>0</v>
      </c>
      <c r="F64" s="5">
        <f>IF($B64="","",COUNTIF(Penalties!$Q12:$Y12,F$55))</f>
        <v>0</v>
      </c>
      <c r="G64" s="5">
        <f>IF($B64="","",COUNTIF(Penalties!$Q12:$Y12,G$55))</f>
        <v>2</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5">
        <f>IF(B64="","",SUM(E64:T64))</f>
        <v>3</v>
      </c>
      <c r="V64" s="896">
        <f>IF(B64="","",SUM(E64:T64)*0.5)</f>
        <v>1.5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442</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1</v>
      </c>
      <c r="V65" s="896">
        <f>IF(B64="","",SUM(E65:T65)*0.5)</f>
        <v>0.5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150</v>
      </c>
      <c r="C66" s="901" t="str">
        <f>IF(IGRF!J19="","",IGRF!J19)</f>
        <v>Cooney</v>
      </c>
      <c r="D66" s="882" t="s">
        <v>441</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0</v>
      </c>
      <c r="V66" s="903">
        <f>IF(B66="","",SUM(E66:T66)*0.5)</f>
        <v>0</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442</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1</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1</v>
      </c>
      <c r="V67" s="903">
        <f>IF(B66="","",SUM(E67:T67)*0.5)</f>
        <v>0.5</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4" t="str">
        <f>IF(IGRF!I20="","",IGRF!I20)</f>
        <v>16</v>
      </c>
      <c r="C68" s="669" t="str">
        <f>IF(IGRF!J20="","",IGRF!J20)</f>
        <v>Jemerald</v>
      </c>
      <c r="D68" s="5" t="s">
        <v>441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442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3110</v>
      </c>
      <c r="C70" s="901" t="str">
        <f>IF(IGRF!J21="","",IGRF!J21)</f>
        <v>Grand DAM</v>
      </c>
      <c r="D70" s="882" t="s">
        <v>441</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442</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2</v>
      </c>
      <c r="P71" s="882">
        <f>IF($B70="","",COUNTIF(Penalties!$AS18:$BA18,P$55))</f>
        <v>1</v>
      </c>
      <c r="Q71" s="882">
        <f>IF($B70="","",COUNTIF(Penalties!$AS18:$BA18,Q$55))</f>
        <v>0</v>
      </c>
      <c r="R71" s="882">
        <f>IF($B70="","",COUNTIF(Penalties!$AS18:$BA18,R$55))</f>
        <v>0</v>
      </c>
      <c r="S71" s="882"/>
      <c r="T71" s="882"/>
      <c r="U71" s="902">
        <f>IF(B70="","",SUM(E71:T71))</f>
        <v>3</v>
      </c>
      <c r="V71" s="903">
        <f>IF(B70="","",SUM(E71:T71)*0.5)</f>
        <v>1.5</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4" t="str">
        <f>IF(IGRF!I22="","",IGRF!I22)</f>
        <v>333</v>
      </c>
      <c r="C72" s="669" t="str">
        <f>IF(IGRF!J22="","",IGRF!J22)</f>
        <v>Yonic Cyclonic</v>
      </c>
      <c r="D72" s="5" t="s">
        <v>441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442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4</v>
      </c>
      <c r="C74" s="901" t="str">
        <f>IF(IGRF!J23="","",IGRF!J23)</f>
        <v>Stabba</v>
      </c>
      <c r="D74" s="882" t="s">
        <v>441</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442</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9">
        <f>A74+1</f>
        <v>11</v>
      </c>
      <c r="B76" s="894" t="str">
        <f>IF(IGRF!I24="","",IGRF!I24)</f>
        <v>42</v>
      </c>
      <c r="C76" s="669" t="str">
        <f>IF(IGRF!J24="","",IGRF!J24)</f>
        <v>Pretty Carless</v>
      </c>
      <c r="D76" s="5" t="s">
        <v>441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5">
        <f>IF(B76="","",SUM(E76:T76))</f>
        <v>1</v>
      </c>
      <c r="V76" s="896">
        <f>IF(B76="","",SUM(E76:T76)*0.5)</f>
        <v>0.5</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442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0</v>
      </c>
      <c r="V77" s="896">
        <f>IF(B76="","",SUM(E77:T77)*0.5)</f>
        <v>0</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48</v>
      </c>
      <c r="C78" s="901" t="str">
        <f>IF(IGRF!J25="","",IGRF!J25)</f>
        <v>Tini from the Bloc</v>
      </c>
      <c r="D78" s="882" t="s">
        <v>441</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442</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4" t="str">
        <f>IF(IGRF!I26="","",IGRF!I26)</f>
        <v>167</v>
      </c>
      <c r="C80" s="669" t="str">
        <f>IF(IGRF!J26="","",IGRF!J26)</f>
        <v>Rile E Coyote</v>
      </c>
      <c r="D80" s="5" t="s">
        <v>441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442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602</v>
      </c>
      <c r="C82" s="901" t="str">
        <f>IF(IGRF!J27="","",IGRF!J27)</f>
        <v>Fearidum</v>
      </c>
      <c r="D82" s="882" t="s">
        <v>441</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1</v>
      </c>
      <c r="P82" s="882">
        <f>IF($B82="","",COUNTIF(Penalties!$Q30:$Y30,P$55))</f>
        <v>0</v>
      </c>
      <c r="Q82" s="882">
        <f>IF($B82="","",COUNTIF(Penalties!$Q30:$Y30,Q$55))</f>
        <v>0</v>
      </c>
      <c r="R82" s="882">
        <f>IF($B82="","",COUNTIF(Penalties!$Q30:$Y30,R$55))</f>
        <v>0</v>
      </c>
      <c r="S82" s="882"/>
      <c r="T82" s="882"/>
      <c r="U82" s="902">
        <f>IF(B82="","",SUM(E82:T82))</f>
        <v>1</v>
      </c>
      <c r="V82" s="903">
        <f>IF(B82="","",SUM(E82:T82)*0.5)</f>
        <v>0.5</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442</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0</v>
      </c>
      <c r="V83" s="903">
        <f>IF(B82="","",SUM(E83:T83)*0.5)</f>
        <v>0</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4" t="str">
        <f>IF(IGRF!I28="","",IGRF!I28)</f>
        <v>777</v>
      </c>
      <c r="C84" s="669" t="str">
        <f>IF(IGRF!J28="","",IGRF!J28)</f>
        <v>Des</v>
      </c>
      <c r="D84" s="5" t="s">
        <v>441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3</v>
      </c>
      <c r="O84" s="5">
        <f>IF($B84="","",COUNTIF(Penalties!$Q32:$Y32,O$55))</f>
        <v>1</v>
      </c>
      <c r="P84" s="5">
        <f>IF($B84="","",COUNTIF(Penalties!$Q32:$Y32,P$55))</f>
        <v>0</v>
      </c>
      <c r="Q84" s="5">
        <f>IF($B84="","",COUNTIF(Penalties!$Q32:$Y32,Q$55))</f>
        <v>0</v>
      </c>
      <c r="R84" s="5">
        <f>IF($B84="","",COUNTIF(Penalties!$Q32:$Y32,R$55))</f>
        <v>0</v>
      </c>
      <c r="S84" s="5"/>
      <c r="T84" s="5"/>
      <c r="U84" s="895">
        <f>IF(B84="","",SUM(E84:T84))</f>
        <v>5</v>
      </c>
      <c r="V84" s="896">
        <f>IF(B84="","",SUM(E84:T84)*0.5)</f>
        <v>2.5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442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88</v>
      </c>
      <c r="C86" s="901" t="str">
        <f>IF(IGRF!J29="","",IGRF!J29)</f>
        <v>diamond WEAPON</v>
      </c>
      <c r="D86" s="882" t="s">
        <v>441</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1</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1</v>
      </c>
      <c r="V86" s="903">
        <f>IF(B86="","",SUM(E86:T86)*0.5)</f>
        <v>0.5</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442</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4" t="str">
        <f>IF(IGRF!I30="","",IGRF!I30)</f>
        <v/>
      </c>
      <c r="C88" s="669" t="str">
        <f>IF(IGRF!J30="","",IGRF!J30)</f>
        <v/>
      </c>
      <c r="D88" s="5" t="s">
        <v>441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442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441</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442</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4" t="str">
        <f>IF(IGRF!I32="","",IGRF!I32)</f>
        <v/>
      </c>
      <c r="C92" s="669" t="str">
        <f>IF(IGRF!J32="","",IGRF!J32)</f>
        <v/>
      </c>
      <c r="D92" s="5" t="s">
        <v>441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442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441</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442</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443</v>
      </c>
      <c r="B96" s="204"/>
      <c r="C96" s="205"/>
      <c r="D96" s="909" t="s">
        <v>441</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5"/>
      <c r="B97" s="316"/>
      <c r="C97" s="317"/>
      <c r="D97" s="909" t="s">
        <v>442</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443</v>
      </c>
      <c r="B98" s="204"/>
      <c r="C98" s="205"/>
      <c r="D98" s="882" t="s">
        <v>441</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5"/>
      <c r="B99" s="316"/>
      <c r="C99" s="317"/>
      <c r="D99" s="882" t="s">
        <v>442</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445</v>
      </c>
      <c r="B100" s="205"/>
      <c r="C100" s="913" t="s">
        <v>444</v>
      </c>
      <c r="D100" s="914" t="s">
        <v>441</v>
      </c>
      <c r="E100" s="914">
        <f t="shared" ref="E100:AG100" si="6">SUM(E56,E58,E60,E62,E64,E66,E68,E70,E72,E74,E76,E78,E80,E82,E84,E86,E88,E90,E92,E94)</f>
        <v>0</v>
      </c>
      <c r="F100" s="914">
        <f t="shared" si="6"/>
        <v>0</v>
      </c>
      <c r="G100" s="914">
        <f t="shared" si="6"/>
        <v>3</v>
      </c>
      <c r="H100" s="914">
        <f t="shared" si="6"/>
        <v>0</v>
      </c>
      <c r="I100" s="914">
        <f t="shared" si="6"/>
        <v>0</v>
      </c>
      <c r="J100" s="914">
        <f t="shared" si="6"/>
        <v>0</v>
      </c>
      <c r="K100" s="914">
        <f t="shared" si="6"/>
        <v>0</v>
      </c>
      <c r="L100" s="914">
        <f t="shared" si="6"/>
        <v>2</v>
      </c>
      <c r="M100" s="914">
        <f t="shared" si="6"/>
        <v>0</v>
      </c>
      <c r="N100" s="914">
        <f t="shared" si="6"/>
        <v>4</v>
      </c>
      <c r="O100" s="914">
        <f t="shared" si="6"/>
        <v>2</v>
      </c>
      <c r="P100" s="914">
        <f t="shared" si="6"/>
        <v>2</v>
      </c>
      <c r="Q100" s="914">
        <f t="shared" si="6"/>
        <v>0</v>
      </c>
      <c r="R100" s="914">
        <f t="shared" si="6"/>
        <v>0</v>
      </c>
      <c r="S100" s="914">
        <f t="shared" si="6"/>
        <v>0</v>
      </c>
      <c r="T100" s="914">
        <f t="shared" si="6"/>
        <v>0</v>
      </c>
      <c r="U100" s="875">
        <f t="shared" si="6"/>
        <v>13</v>
      </c>
      <c r="V100" s="915">
        <f t="shared" si="6"/>
        <v>6.5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3"/>
      <c r="C101" s="681"/>
      <c r="D101" s="914" t="s">
        <v>442</v>
      </c>
      <c r="E101" s="914">
        <f t="shared" ref="E101:AG101" si="8">SUM(E57,E59,E61,E63,E65,E67,E69,E71,E73,E75,E77,E79,E81,E83,E85,E87,E89,E91,E93,E95)</f>
        <v>0</v>
      </c>
      <c r="F101" s="914">
        <f t="shared" si="8"/>
        <v>0</v>
      </c>
      <c r="G101" s="914">
        <f t="shared" si="8"/>
        <v>1</v>
      </c>
      <c r="H101" s="914">
        <f t="shared" si="8"/>
        <v>0</v>
      </c>
      <c r="I101" s="914">
        <f t="shared" si="8"/>
        <v>0</v>
      </c>
      <c r="J101" s="914">
        <f t="shared" si="8"/>
        <v>0</v>
      </c>
      <c r="K101" s="914">
        <f t="shared" si="8"/>
        <v>0</v>
      </c>
      <c r="L101" s="914">
        <f t="shared" si="8"/>
        <v>2</v>
      </c>
      <c r="M101" s="914">
        <f t="shared" si="8"/>
        <v>1</v>
      </c>
      <c r="N101" s="914">
        <f t="shared" si="8"/>
        <v>0</v>
      </c>
      <c r="O101" s="914">
        <f t="shared" si="8"/>
        <v>2</v>
      </c>
      <c r="P101" s="914">
        <f t="shared" si="8"/>
        <v>3</v>
      </c>
      <c r="Q101" s="914">
        <f t="shared" si="8"/>
        <v>0</v>
      </c>
      <c r="R101" s="914">
        <f t="shared" si="8"/>
        <v>0</v>
      </c>
      <c r="S101" s="914">
        <f t="shared" si="8"/>
        <v>0</v>
      </c>
      <c r="T101" s="914">
        <f t="shared" si="8"/>
        <v>0</v>
      </c>
      <c r="U101" s="875">
        <f t="shared" si="8"/>
        <v>9</v>
      </c>
      <c r="V101" s="915">
        <f t="shared" si="8"/>
        <v>4.5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2"/>
      <c r="D102" s="875" t="s">
        <v>398</v>
      </c>
      <c r="E102" s="875">
        <f t="shared" ref="E102:AI102" si="10">SUM(E100,E101)</f>
        <v>0</v>
      </c>
      <c r="F102" s="875">
        <f t="shared" si="10"/>
        <v>0</v>
      </c>
      <c r="G102" s="875">
        <f t="shared" si="10"/>
        <v>4</v>
      </c>
      <c r="H102" s="875">
        <f t="shared" si="10"/>
        <v>0</v>
      </c>
      <c r="I102" s="875">
        <f t="shared" si="10"/>
        <v>0</v>
      </c>
      <c r="J102" s="875">
        <f t="shared" si="10"/>
        <v>0</v>
      </c>
      <c r="K102" s="875">
        <f t="shared" si="10"/>
        <v>0</v>
      </c>
      <c r="L102" s="875">
        <f t="shared" si="10"/>
        <v>4</v>
      </c>
      <c r="M102" s="875">
        <f t="shared" si="10"/>
        <v>1</v>
      </c>
      <c r="N102" s="875">
        <f t="shared" si="10"/>
        <v>4</v>
      </c>
      <c r="O102" s="875">
        <f t="shared" si="10"/>
        <v>4</v>
      </c>
      <c r="P102" s="875">
        <f t="shared" si="10"/>
        <v>5</v>
      </c>
      <c r="Q102" s="875">
        <f t="shared" si="10"/>
        <v>0</v>
      </c>
      <c r="R102" s="875">
        <f t="shared" si="10"/>
        <v>0</v>
      </c>
      <c r="S102" s="875">
        <f t="shared" si="10"/>
        <v>0</v>
      </c>
      <c r="T102" s="875">
        <f t="shared" si="10"/>
        <v>0</v>
      </c>
      <c r="U102" s="919">
        <f t="shared" si="10"/>
        <v>22</v>
      </c>
      <c r="V102" s="920">
        <f t="shared" si="10"/>
        <v>11</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441</v>
      </c>
      <c r="B1" s="921" t="s">
        <v>439</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441</v>
      </c>
      <c r="R1" s="921" t="s">
        <v>445</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366</v>
      </c>
      <c r="B2" s="923" t="s">
        <v>446</v>
      </c>
      <c r="C2" s="923" t="s">
        <v>280</v>
      </c>
      <c r="D2" s="923" t="s">
        <v>447</v>
      </c>
      <c r="E2" s="923" t="s">
        <v>448</v>
      </c>
      <c r="F2" s="923" t="s">
        <v>449</v>
      </c>
      <c r="G2" s="926" t="s">
        <v>450</v>
      </c>
      <c r="H2" s="926" t="s">
        <v>431</v>
      </c>
      <c r="I2" s="925" t="s">
        <v>451</v>
      </c>
      <c r="J2" s="926" t="s">
        <v>452</v>
      </c>
      <c r="K2" s="926" t="s">
        <v>453</v>
      </c>
      <c r="L2" s="926" t="s">
        <v>209</v>
      </c>
      <c r="M2" s="923" t="s">
        <v>221</v>
      </c>
      <c r="N2" s="923" t="s">
        <v>454</v>
      </c>
      <c r="O2" s="923" t="s">
        <v>455</v>
      </c>
      <c r="P2" s="419"/>
      <c r="Q2" s="923" t="s">
        <v>366</v>
      </c>
      <c r="R2" s="923" t="s">
        <v>446</v>
      </c>
      <c r="S2" s="923" t="s">
        <v>280</v>
      </c>
      <c r="T2" s="923" t="s">
        <v>447</v>
      </c>
      <c r="U2" s="923" t="s">
        <v>448</v>
      </c>
      <c r="V2" s="923" t="s">
        <v>449</v>
      </c>
      <c r="W2" s="926" t="s">
        <v>450</v>
      </c>
      <c r="X2" s="926" t="s">
        <v>431</v>
      </c>
      <c r="Y2" s="925" t="s">
        <v>451</v>
      </c>
      <c r="Z2" s="926" t="s">
        <v>452</v>
      </c>
      <c r="AA2" s="926" t="s">
        <v>453</v>
      </c>
      <c r="AB2" s="926" t="s">
        <v>209</v>
      </c>
      <c r="AC2" s="923" t="s">
        <v>221</v>
      </c>
      <c r="AD2" s="923" t="s">
        <v>454</v>
      </c>
      <c r="AE2" s="923" t="s">
        <v>455</v>
      </c>
    </row>
    <row r="3" ht="12.75" customHeight="1">
      <c r="A3" s="669">
        <v>1.0</v>
      </c>
      <c r="B3" s="419">
        <f>IF(ISNA(MATCH($A3,Score!A$4:A$41,0)),"",MATCH($A3,Score!A$4:A$41,0)+ROW(Score!A$3))</f>
        <v>4</v>
      </c>
      <c r="C3" s="894" t="str">
        <f t="shared" ref="C3:D3" si="1">IF($B3="","",INDIRECT(ADDRESS($B3,C$1,1,,"Score")))</f>
        <v>16</v>
      </c>
      <c r="D3" s="419">
        <f t="shared" si="1"/>
        <v>0</v>
      </c>
      <c r="E3" s="669">
        <f>IF(B3="","",SUM(D3,D4))</f>
        <v>0</v>
      </c>
      <c r="F3" s="669">
        <f>IF(B3="","",E3-U3)</f>
        <v>-4</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19">
        <f t="shared" ref="M3:M78" si="9">IF($B3="","",INDIRECT(ADDRESS($B3,M$1,1,,"Score")))</f>
        <v>1</v>
      </c>
      <c r="N3" s="669" t="str">
        <f>IF(ISNA(MATCH($A3,'Game Clock'!A$11:A$48,0)),"",INDIRECT(ADDRESS(MATCH($A3,'Game Clock'!A$11:A$48,0)+ROW('Game Clock'!A$10),N$1,1,,"Game Clock")))</f>
        <v/>
      </c>
      <c r="O3" s="669" t="str">
        <f>IF(OR(N3="",N3=0),"",60*E3/N3)</f>
        <v/>
      </c>
      <c r="P3" s="419"/>
      <c r="Q3" s="669">
        <v>1.0</v>
      </c>
      <c r="R3" s="419">
        <f>IF(ISNA(MATCH($Q3,Score!T$4:T$41,0)),"",MATCH($Q3,Score!T$4:T$41,0)++ROW(Score!T$3))</f>
        <v>4</v>
      </c>
      <c r="S3" s="894" t="str">
        <f t="shared" ref="S3:T3" si="4">IF($R3="","",INDIRECT(ADDRESS($R3,S$1,1,,"Score")))</f>
        <v>101</v>
      </c>
      <c r="T3" s="419">
        <f t="shared" si="4"/>
        <v>4</v>
      </c>
      <c r="U3" s="669">
        <f>IF(R3="","",SUM(T3,T4))</f>
        <v>4</v>
      </c>
      <c r="V3" s="669">
        <f>IF(R3="","",U3-E3)</f>
        <v>4</v>
      </c>
      <c r="W3" s="927" t="str">
        <f t="shared" ref="W3:X3" si="5">IF($R3="","",IF(ISBLANK(INDIRECT(ADDRESS($R3,W$1,1,,"Score"))),"",1))</f>
        <v/>
      </c>
      <c r="X3" s="927">
        <f t="shared" si="5"/>
        <v>1</v>
      </c>
      <c r="Y3" s="928">
        <f>IF(X3=1,V3,"")</f>
        <v>4</v>
      </c>
      <c r="Z3" s="927">
        <f t="shared" ref="Z3:AB3" si="6">IF($R3="","",IF(ISBLANK(INDIRECT(ADDRESS($R3,Z$1,1,,"Score"))),"",1))</f>
        <v>1</v>
      </c>
      <c r="AA3" s="927" t="str">
        <f t="shared" si="6"/>
        <v/>
      </c>
      <c r="AB3" s="927" t="str">
        <f t="shared" si="6"/>
        <v/>
      </c>
      <c r="AC3" s="419">
        <f t="shared" ref="AC3:AC78" si="12">IF($R3="","",INDIRECT(ADDRESS($R3,AC$1,1,,"Score")))</f>
        <v>1</v>
      </c>
      <c r="AD3" s="669" t="str">
        <f>N3</f>
        <v/>
      </c>
      <c r="AE3" s="669" t="str">
        <f>IF(OR(AD3="",AD3=0),"",60*U3/AD3)</f>
        <v/>
      </c>
    </row>
    <row r="4" ht="12.75" customHeight="1">
      <c r="A4" s="669"/>
      <c r="B4" s="419" t="str">
        <f>IF($B3="","",IF(INDIRECT(ADDRESS($B3+1,C$1-1,1,,"Score"))="SP",$B3+1,""))</f>
        <v/>
      </c>
      <c r="C4" s="894" t="str">
        <f t="shared" ref="C4:D4" si="7">IF($B4="","",INDIRECT(ADDRESS($B4,C$1,1,,"Score")))</f>
        <v/>
      </c>
      <c r="D4" s="419" t="str">
        <f t="shared" si="7"/>
        <v/>
      </c>
      <c r="E4" s="669"/>
      <c r="F4" s="669"/>
      <c r="G4" s="927"/>
      <c r="H4" s="927"/>
      <c r="I4" s="928"/>
      <c r="J4" s="927" t="str">
        <f t="shared" ref="J4:L4" si="8">IF($B4="","",IF(ISBLANK(INDIRECT(ADDRESS($B4,J$1,1,,"Score"))),"",1))</f>
        <v/>
      </c>
      <c r="K4" s="927" t="str">
        <f t="shared" si="8"/>
        <v/>
      </c>
      <c r="L4" s="927" t="str">
        <f t="shared" si="8"/>
        <v/>
      </c>
      <c r="M4" s="419" t="str">
        <f t="shared" si="9"/>
        <v/>
      </c>
      <c r="N4" s="669"/>
      <c r="O4" s="669"/>
      <c r="P4" s="419"/>
      <c r="Q4" s="669"/>
      <c r="R4" s="419" t="str">
        <f>IF($R3="","",IF(INDIRECT(ADDRESS($R3+1,S$1-1,1,,"Score"))="SP",$R3+1,""))</f>
        <v/>
      </c>
      <c r="S4" s="894" t="str">
        <f t="shared" ref="S4:T4" si="10">IF($R4="","",INDIRECT(ADDRESS($R4,S$1,1,,"Score")))</f>
        <v/>
      </c>
      <c r="T4" s="419" t="str">
        <f t="shared" si="10"/>
        <v/>
      </c>
      <c r="U4" s="669"/>
      <c r="V4" s="669"/>
      <c r="W4" s="927"/>
      <c r="X4" s="927"/>
      <c r="Y4" s="928"/>
      <c r="Z4" s="927" t="str">
        <f t="shared" ref="Z4:AB4" si="11">IF($R4="","",IF(ISBLANK(INDIRECT(ADDRESS($R4,Z$1,1,,"Score"))),"",1))</f>
        <v/>
      </c>
      <c r="AA4" s="927" t="str">
        <f t="shared" si="11"/>
        <v/>
      </c>
      <c r="AB4" s="927" t="str">
        <f t="shared" si="11"/>
        <v/>
      </c>
      <c r="AC4" s="419" t="str">
        <f t="shared" si="12"/>
        <v/>
      </c>
      <c r="AD4" s="669"/>
      <c r="AE4" s="669"/>
    </row>
    <row r="5" ht="12.75" customHeight="1">
      <c r="A5" s="929">
        <f>A3+1</f>
        <v>2</v>
      </c>
      <c r="B5" s="930">
        <f>IF(ISNA(MATCH($A5,Score!A$4:A$41,0)),"",MATCH($A5,Score!A$4:A$41,0)+ROW(Score!A$3))</f>
        <v>5</v>
      </c>
      <c r="C5" s="931" t="str">
        <f t="shared" ref="C5:D5" si="13">IF($B5="","",INDIRECT(ADDRESS($B5,C$1,1,,"Score")))</f>
        <v>271</v>
      </c>
      <c r="D5" s="930">
        <f t="shared" si="13"/>
        <v>0</v>
      </c>
      <c r="E5" s="929">
        <f>IF(B5="","",SUM(D5,D6))</f>
        <v>0</v>
      </c>
      <c r="F5" s="929">
        <f>IF(B5="","",E5-U5)</f>
        <v>-12</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f t="shared" si="15"/>
        <v>1</v>
      </c>
      <c r="M5" s="930">
        <f t="shared" si="9"/>
        <v>0</v>
      </c>
      <c r="N5" s="669"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16</v>
      </c>
      <c r="T5" s="930">
        <f t="shared" si="16"/>
        <v>12</v>
      </c>
      <c r="U5" s="929">
        <f>IF(R5="","",SUM(T5,T6))</f>
        <v>12</v>
      </c>
      <c r="V5" s="929">
        <f>IF(R5="","",U5-E5)</f>
        <v>12</v>
      </c>
      <c r="W5" s="932" t="str">
        <f t="shared" ref="W5:X5" si="17">IF($R5="","",IF(ISBLANK(INDIRECT(ADDRESS($R5,W$1,1,,"Score"))),"",1))</f>
        <v/>
      </c>
      <c r="X5" s="932">
        <f t="shared" si="17"/>
        <v>1</v>
      </c>
      <c r="Y5" s="933">
        <f>IF(X5=1,V5,"")</f>
        <v>12</v>
      </c>
      <c r="Z5" s="932">
        <f t="shared" ref="Z5:AB5" si="18">IF($R5="","",IF(ISBLANK(INDIRECT(ADDRESS($R5,Z$1,1,,"Score"))),"",1))</f>
        <v>1</v>
      </c>
      <c r="AA5" s="932" t="str">
        <f t="shared" si="18"/>
        <v/>
      </c>
      <c r="AB5" s="932" t="str">
        <f t="shared" si="18"/>
        <v/>
      </c>
      <c r="AC5" s="930">
        <f t="shared" si="12"/>
        <v>3</v>
      </c>
      <c r="AD5" s="929" t="str">
        <f>N5</f>
        <v/>
      </c>
      <c r="AE5" s="929" t="str">
        <f>IF(OR(AD5="",AD5=0),"",60*U5/AD5)</f>
        <v/>
      </c>
    </row>
    <row r="6" ht="12.75" customHeight="1">
      <c r="A6" s="929"/>
      <c r="B6" s="930">
        <f>IF($B5="","",IF(INDIRECT(ADDRESS($B5+1,C$1-1,1,,"Score"))="SP",$B5+1,""))</f>
        <v>6</v>
      </c>
      <c r="C6" s="931" t="str">
        <f t="shared" ref="C6:D6" si="19">IF($B6="","",INDIRECT(ADDRESS($B6,C$1,1,,"Score")))</f>
        <v>42</v>
      </c>
      <c r="D6" s="930">
        <f t="shared" si="19"/>
        <v>0</v>
      </c>
      <c r="E6" s="929"/>
      <c r="F6" s="929"/>
      <c r="G6" s="932"/>
      <c r="H6" s="934"/>
      <c r="I6" s="933"/>
      <c r="J6" s="932" t="str">
        <f t="shared" ref="J6:L6" si="20">IF($B6="","",IF(ISBLANK(INDIRECT(ADDRESS($B6,J$1,1,,"Score"))),"",1))</f>
        <v/>
      </c>
      <c r="K6" s="932" t="str">
        <f t="shared" si="20"/>
        <v/>
      </c>
      <c r="L6" s="932" t="str">
        <f t="shared" si="20"/>
        <v/>
      </c>
      <c r="M6" s="930">
        <f t="shared" si="9"/>
        <v>1</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69">
        <f>A5+1</f>
        <v>3</v>
      </c>
      <c r="B7" s="419">
        <f>IF(ISNA(MATCH($A7,Score!A$4:A$41,0)),"",MATCH($A7,Score!A$4:A$41,0)+ROW(Score!A$3))</f>
        <v>7</v>
      </c>
      <c r="C7" s="894" t="str">
        <f t="shared" ref="C7:D7" si="23">IF($B7="","",INDIRECT(ADDRESS($B7,C$1,1,,"Score")))</f>
        <v>45</v>
      </c>
      <c r="D7" s="419">
        <f t="shared" si="23"/>
        <v>0</v>
      </c>
      <c r="E7" s="669">
        <f>IF(B7="","",SUM(D7,D8))</f>
        <v>0</v>
      </c>
      <c r="F7" s="669">
        <f>IF(B7="","",E7-U7)</f>
        <v>-11</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f t="shared" si="25"/>
        <v>1</v>
      </c>
      <c r="M7" s="419">
        <f t="shared" si="9"/>
        <v>0</v>
      </c>
      <c r="N7" s="669" t="str">
        <f>IF(ISNA(MATCH($A7,'Game Clock'!A$11:A$48,0)),"",INDIRECT(ADDRESS(MATCH($A7,'Game Clock'!A$11:A$48,0)+ROW('Game Clock'!A$10),N$1,1,,"Game Clock")))</f>
        <v/>
      </c>
      <c r="O7" s="669" t="str">
        <f>IF(OR(N7="",N7=0),"",60*E7/N7)</f>
        <v/>
      </c>
      <c r="P7" s="419"/>
      <c r="Q7" s="669">
        <f>Q5+1</f>
        <v>3</v>
      </c>
      <c r="R7" s="419">
        <f>IF(ISNA(MATCH($Q7,Score!T$4:T$41,0)),"",MATCH($Q7,Score!T$4:T$41,0)++ROW(Score!T$3))</f>
        <v>7</v>
      </c>
      <c r="S7" s="894" t="str">
        <f t="shared" ref="S7:T7" si="26">IF($R7="","",INDIRECT(ADDRESS($R7,S$1,1,,"Score")))</f>
        <v>11</v>
      </c>
      <c r="T7" s="419">
        <f t="shared" si="26"/>
        <v>11</v>
      </c>
      <c r="U7" s="669">
        <f>IF(R7="","",SUM(T7,T8))</f>
        <v>11</v>
      </c>
      <c r="V7" s="669">
        <f>IF(R7="","",U7-E7)</f>
        <v>11</v>
      </c>
      <c r="W7" s="927" t="str">
        <f t="shared" ref="W7:X7" si="27">IF($R7="","",IF(ISBLANK(INDIRECT(ADDRESS($R7,W$1,1,,"Score"))),"",1))</f>
        <v/>
      </c>
      <c r="X7" s="927">
        <f t="shared" si="27"/>
        <v>1</v>
      </c>
      <c r="Y7" s="928">
        <f>IF(X7=1,V7,"")</f>
        <v>11</v>
      </c>
      <c r="Z7" s="927">
        <f t="shared" ref="Z7:AB7" si="28">IF($R7="","",IF(ISBLANK(INDIRECT(ADDRESS($R7,Z$1,1,,"Score"))),"",1))</f>
        <v>1</v>
      </c>
      <c r="AA7" s="927" t="str">
        <f t="shared" si="28"/>
        <v/>
      </c>
      <c r="AB7" s="927" t="str">
        <f t="shared" si="28"/>
        <v/>
      </c>
      <c r="AC7" s="419">
        <f t="shared" si="12"/>
        <v>3</v>
      </c>
      <c r="AD7" s="669" t="str">
        <f>N7</f>
        <v/>
      </c>
      <c r="AE7" s="669" t="str">
        <f>IF(OR(AD7="",AD7=0),"",60*U7/AD7)</f>
        <v/>
      </c>
    </row>
    <row r="8" ht="12.75" customHeight="1">
      <c r="A8" s="669"/>
      <c r="B8" s="419">
        <f>IF($B7="","",IF(INDIRECT(ADDRESS($B7+1,C$1-1,1,,"Score"))="SP",$B7+1,""))</f>
        <v>8</v>
      </c>
      <c r="C8" s="894" t="str">
        <f t="shared" ref="C8:D8" si="29">IF($B8="","",INDIRECT(ADDRESS($B8,C$1,1,,"Score")))</f>
        <v>999</v>
      </c>
      <c r="D8" s="419">
        <f t="shared" si="29"/>
        <v>0</v>
      </c>
      <c r="E8" s="669"/>
      <c r="F8" s="669"/>
      <c r="G8" s="927"/>
      <c r="H8" s="927"/>
      <c r="I8" s="928"/>
      <c r="J8" s="927" t="str">
        <f t="shared" ref="J8:L8" si="30">IF($B8="","",IF(ISBLANK(INDIRECT(ADDRESS($B8,J$1,1,,"Score"))),"",1))</f>
        <v/>
      </c>
      <c r="K8" s="927" t="str">
        <f t="shared" si="30"/>
        <v/>
      </c>
      <c r="L8" s="927" t="str">
        <f t="shared" si="30"/>
        <v/>
      </c>
      <c r="M8" s="419">
        <f t="shared" si="9"/>
        <v>1</v>
      </c>
      <c r="N8" s="669"/>
      <c r="O8" s="669"/>
      <c r="P8" s="419"/>
      <c r="Q8" s="669"/>
      <c r="R8" s="419" t="str">
        <f>IF($R7="","",IF(INDIRECT(ADDRESS($R7+1,S$1-1,1,,"Score"))="SP",$R7+1,""))</f>
        <v/>
      </c>
      <c r="S8" s="894" t="str">
        <f t="shared" ref="S8:T8" si="31">IF($R8="","",INDIRECT(ADDRESS($R8,S$1,1,,"Score")))</f>
        <v/>
      </c>
      <c r="T8" s="419" t="str">
        <f t="shared" si="31"/>
        <v/>
      </c>
      <c r="U8" s="669"/>
      <c r="V8" s="669"/>
      <c r="W8" s="927"/>
      <c r="X8" s="927"/>
      <c r="Y8" s="928"/>
      <c r="Z8" s="927" t="str">
        <f t="shared" ref="Z8:AB8" si="32">IF($R8="","",IF(ISBLANK(INDIRECT(ADDRESS($R8,Z$1,1,,"Score"))),"",1))</f>
        <v/>
      </c>
      <c r="AA8" s="927" t="str">
        <f t="shared" si="32"/>
        <v/>
      </c>
      <c r="AB8" s="927" t="str">
        <f t="shared" si="32"/>
        <v/>
      </c>
      <c r="AC8" s="419" t="str">
        <f t="shared" si="12"/>
        <v/>
      </c>
      <c r="AD8" s="669"/>
      <c r="AE8" s="669"/>
    </row>
    <row r="9" ht="12.75" customHeight="1">
      <c r="A9" s="929">
        <f>A7+1</f>
        <v>4</v>
      </c>
      <c r="B9" s="930">
        <f>IF(ISNA(MATCH($A9,Score!A$4:A$41,0)),"",MATCH($A9,Score!A$4:A$41,0)+ROW(Score!A$3))</f>
        <v>9</v>
      </c>
      <c r="C9" s="931" t="str">
        <f t="shared" ref="C9:D9" si="33">IF($B9="","",INDIRECT(ADDRESS($B9,C$1,1,,"Score")))</f>
        <v>215</v>
      </c>
      <c r="D9" s="930">
        <f t="shared" si="33"/>
        <v>0</v>
      </c>
      <c r="E9" s="929">
        <f>IF(B9="","",SUM(D9,D10))</f>
        <v>0</v>
      </c>
      <c r="F9" s="929">
        <f>IF(B9="","",E9-U9)</f>
        <v>-6</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69" t="str">
        <f>IF(ISNA(MATCH($A9,'Game Clock'!A$11:A$48,0)),"",INDIRECT(ADDRESS(MATCH($A9,'Game Clock'!A$11:A$48,0)+ROW('Game Clock'!A$10),N$1,1,,"Game Clock")))</f>
        <v/>
      </c>
      <c r="O9" s="929" t="str">
        <f>IF(OR(N9="",N9=0),"",60*E9/N9)</f>
        <v/>
      </c>
      <c r="P9" s="419"/>
      <c r="Q9" s="929">
        <f>Q7+1</f>
        <v>4</v>
      </c>
      <c r="R9" s="930">
        <f>IF(ISNA(MATCH($Q9,Score!T$4:T$41,0)),"",MATCH($Q9,Score!T$4:T$41,0)++ROW(Score!T$3))</f>
        <v>9</v>
      </c>
      <c r="S9" s="931" t="str">
        <f t="shared" ref="S9:T9" si="36">IF($R9="","",INDIRECT(ADDRESS($R9,S$1,1,,"Score")))</f>
        <v>33</v>
      </c>
      <c r="T9" s="930">
        <f t="shared" si="36"/>
        <v>6</v>
      </c>
      <c r="U9" s="929">
        <f>IF(R9="","",SUM(T9,T10))</f>
        <v>6</v>
      </c>
      <c r="V9" s="929">
        <f>IF(R9="","",U9-E9)</f>
        <v>6</v>
      </c>
      <c r="W9" s="932" t="str">
        <f t="shared" ref="W9:X9" si="37">IF($R9="","",IF(ISBLANK(INDIRECT(ADDRESS($R9,W$1,1,,"Score"))),"",1))</f>
        <v/>
      </c>
      <c r="X9" s="932">
        <f t="shared" si="37"/>
        <v>1</v>
      </c>
      <c r="Y9" s="933">
        <f>IF(X9=1,V9,"")</f>
        <v>6</v>
      </c>
      <c r="Z9" s="932">
        <f t="shared" ref="Z9:AB9" si="38">IF($R9="","",IF(ISBLANK(INDIRECT(ADDRESS($R9,Z$1,1,,"Score"))),"",1))</f>
        <v>1</v>
      </c>
      <c r="AA9" s="932" t="str">
        <f t="shared" si="38"/>
        <v/>
      </c>
      <c r="AB9" s="932" t="str">
        <f t="shared" si="38"/>
        <v/>
      </c>
      <c r="AC9" s="930">
        <f t="shared" si="12"/>
        <v>2</v>
      </c>
      <c r="AD9" s="929" t="str">
        <f>N9</f>
        <v/>
      </c>
      <c r="AE9" s="929" t="str">
        <f>IF(OR(AD9="",AD9=0),"",60*U9/AD9)</f>
        <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69">
        <f>A9+1</f>
        <v>5</v>
      </c>
      <c r="B11" s="419">
        <f>IF(ISNA(MATCH($A11,Score!A$4:A$41,0)),"",MATCH($A11,Score!A$4:A$41,0)+ROW(Score!A$3))</f>
        <v>10</v>
      </c>
      <c r="C11" s="894" t="str">
        <f t="shared" ref="C11:D11" si="43">IF($B11="","",INDIRECT(ADDRESS($B11,C$1,1,,"Score")))</f>
        <v>93</v>
      </c>
      <c r="D11" s="419">
        <f t="shared" si="43"/>
        <v>0</v>
      </c>
      <c r="E11" s="669">
        <f>IF(B11="","",SUM(D11,D12))</f>
        <v>4</v>
      </c>
      <c r="F11" s="669">
        <f>IF(B11="","",E11-U11)</f>
        <v>-10</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f t="shared" si="45"/>
        <v>1</v>
      </c>
      <c r="M11" s="419">
        <f t="shared" si="9"/>
        <v>0</v>
      </c>
      <c r="N11" s="669" t="str">
        <f>IF(ISNA(MATCH($A11,'Game Clock'!A$11:A$48,0)),"",INDIRECT(ADDRESS(MATCH($A11,'Game Clock'!A$11:A$48,0)+ROW('Game Clock'!A$10),N$1,1,,"Game Clock")))</f>
        <v/>
      </c>
      <c r="O11" s="669" t="str">
        <f>IF(OR(N11="",N11=0),"",60*E11/N11)</f>
        <v/>
      </c>
      <c r="P11" s="419"/>
      <c r="Q11" s="669">
        <f>Q9+1</f>
        <v>5</v>
      </c>
      <c r="R11" s="419">
        <f>IF(ISNA(MATCH($Q11,Score!T$4:T$41,0)),"",MATCH($Q11,Score!T$4:T$41,0)++ROW(Score!T$3))</f>
        <v>10</v>
      </c>
      <c r="S11" s="894" t="str">
        <f t="shared" ref="S11:T11" si="46">IF($R11="","",INDIRECT(ADDRESS($R11,S$1,1,,"Score")))</f>
        <v>101</v>
      </c>
      <c r="T11" s="419">
        <f t="shared" si="46"/>
        <v>14</v>
      </c>
      <c r="U11" s="669">
        <f>IF(R11="","",SUM(T11,T12))</f>
        <v>14</v>
      </c>
      <c r="V11" s="669">
        <f>IF(R11="","",U11-E11)</f>
        <v>10</v>
      </c>
      <c r="W11" s="927">
        <f t="shared" ref="W11:X11" si="47">IF($R11="","",IF(ISBLANK(INDIRECT(ADDRESS($R11,W$1,1,,"Score"))),"",1))</f>
        <v>1</v>
      </c>
      <c r="X11" s="927">
        <f t="shared" si="47"/>
        <v>1</v>
      </c>
      <c r="Y11" s="928">
        <f>IF(X11=1,V11,"")</f>
        <v>10</v>
      </c>
      <c r="Z11" s="927" t="str">
        <f t="shared" ref="Z11:AB11" si="48">IF($R11="","",IF(ISBLANK(INDIRECT(ADDRESS($R11,Z$1,1,,"Score"))),"",1))</f>
        <v/>
      </c>
      <c r="AA11" s="927" t="str">
        <f t="shared" si="48"/>
        <v/>
      </c>
      <c r="AB11" s="927" t="str">
        <f t="shared" si="48"/>
        <v/>
      </c>
      <c r="AC11" s="419">
        <f t="shared" si="12"/>
        <v>4</v>
      </c>
      <c r="AD11" s="669" t="str">
        <f>N11</f>
        <v/>
      </c>
      <c r="AE11" s="669" t="str">
        <f>IF(OR(AD11="",AD11=0),"",60*U11/AD11)</f>
        <v/>
      </c>
    </row>
    <row r="12" ht="12.75" customHeight="1">
      <c r="A12" s="669"/>
      <c r="B12" s="419">
        <f>IF($B11="","",IF(INDIRECT(ADDRESS($B11+1,C$1-1,1,,"Score"))="SP",$B11+1,""))</f>
        <v>11</v>
      </c>
      <c r="C12" s="894" t="str">
        <f t="shared" ref="C12:D12" si="49">IF($B12="","",INDIRECT(ADDRESS($B12,C$1,1,,"Score")))</f>
        <v>999</v>
      </c>
      <c r="D12" s="419">
        <f t="shared" si="49"/>
        <v>4</v>
      </c>
      <c r="E12" s="669"/>
      <c r="F12" s="669"/>
      <c r="G12" s="927"/>
      <c r="H12" s="927"/>
      <c r="I12" s="928"/>
      <c r="J12" s="927" t="str">
        <f t="shared" ref="J12:L12" si="50">IF($B12="","",IF(ISBLANK(INDIRECT(ADDRESS($B12,J$1,1,,"Score"))),"",1))</f>
        <v/>
      </c>
      <c r="K12" s="927" t="str">
        <f t="shared" si="50"/>
        <v/>
      </c>
      <c r="L12" s="927" t="str">
        <f t="shared" si="50"/>
        <v/>
      </c>
      <c r="M12" s="419">
        <f t="shared" si="9"/>
        <v>1</v>
      </c>
      <c r="N12" s="669"/>
      <c r="O12" s="669"/>
      <c r="P12" s="419"/>
      <c r="Q12" s="669"/>
      <c r="R12" s="419" t="str">
        <f>IF($R11="","",IF(INDIRECT(ADDRESS($R11+1,S$1-1,1,,"Score"))="SP",$R11+1,""))</f>
        <v/>
      </c>
      <c r="S12" s="894" t="str">
        <f t="shared" ref="S12:T12" si="51">IF($R12="","",INDIRECT(ADDRESS($R12,S$1,1,,"Score")))</f>
        <v/>
      </c>
      <c r="T12" s="419" t="str">
        <f t="shared" si="51"/>
        <v/>
      </c>
      <c r="U12" s="669"/>
      <c r="V12" s="669"/>
      <c r="W12" s="927"/>
      <c r="X12" s="927"/>
      <c r="Y12" s="928"/>
      <c r="Z12" s="927" t="str">
        <f t="shared" ref="Z12:AB12" si="52">IF($R12="","",IF(ISBLANK(INDIRECT(ADDRESS($R12,Z$1,1,,"Score"))),"",1))</f>
        <v/>
      </c>
      <c r="AA12" s="927" t="str">
        <f t="shared" si="52"/>
        <v/>
      </c>
      <c r="AB12" s="927" t="str">
        <f t="shared" si="52"/>
        <v/>
      </c>
      <c r="AC12" s="419" t="str">
        <f t="shared" si="12"/>
        <v/>
      </c>
      <c r="AD12" s="669"/>
      <c r="AE12" s="669"/>
    </row>
    <row r="13" ht="12.75" customHeight="1">
      <c r="A13" s="929">
        <f>A11+1</f>
        <v>6</v>
      </c>
      <c r="B13" s="930">
        <f>IF(ISNA(MATCH($A13,Score!A$4:A$41,0)),"",MATCH($A13,Score!A$4:A$41,0)+ROW(Score!A$3))</f>
        <v>12</v>
      </c>
      <c r="C13" s="931" t="str">
        <f t="shared" ref="C13:D13" si="53">IF($B13="","",INDIRECT(ADDRESS($B13,C$1,1,,"Score")))</f>
        <v>16</v>
      </c>
      <c r="D13" s="930">
        <f t="shared" si="53"/>
        <v>0</v>
      </c>
      <c r="E13" s="929">
        <f>IF(B13="","",SUM(D13,D14))</f>
        <v>0</v>
      </c>
      <c r="F13" s="929">
        <f>IF(B13="","",E13-U13)</f>
        <v>-4</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t="str">
        <f t="shared" si="55"/>
        <v/>
      </c>
      <c r="M13" s="930">
        <f t="shared" si="9"/>
        <v>1</v>
      </c>
      <c r="N13" s="669" t="str">
        <f>IF(ISNA(MATCH($A13,'Game Clock'!A$11:A$48,0)),"",INDIRECT(ADDRESS(MATCH($A13,'Game Clock'!A$11:A$48,0)+ROW('Game Clock'!A$10),N$1,1,,"Game Clock")))</f>
        <v/>
      </c>
      <c r="O13" s="929" t="str">
        <f>IF(OR(N13="",N13=0),"",60*E13/N13)</f>
        <v/>
      </c>
      <c r="P13" s="419"/>
      <c r="Q13" s="929">
        <f>Q11+1</f>
        <v>6</v>
      </c>
      <c r="R13" s="930">
        <f>IF(ISNA(MATCH($Q13,Score!T$4:T$41,0)),"",MATCH($Q13,Score!T$4:T$41,0)++ROW(Score!T$3))</f>
        <v>12</v>
      </c>
      <c r="S13" s="931" t="str">
        <f t="shared" ref="S13:T13" si="56">IF($R13="","",INDIRECT(ADDRESS($R13,S$1,1,,"Score")))</f>
        <v>16</v>
      </c>
      <c r="T13" s="930">
        <f t="shared" si="56"/>
        <v>4</v>
      </c>
      <c r="U13" s="929">
        <f>IF(R13="","",SUM(T13,T14))</f>
        <v>4</v>
      </c>
      <c r="V13" s="929">
        <f>IF(R13="","",U13-E13)</f>
        <v>4</v>
      </c>
      <c r="W13" s="932" t="str">
        <f t="shared" ref="W13:X13" si="57">IF($R13="","",IF(ISBLANK(INDIRECT(ADDRESS($R13,W$1,1,,"Score"))),"",1))</f>
        <v/>
      </c>
      <c r="X13" s="932">
        <f t="shared" si="57"/>
        <v>1</v>
      </c>
      <c r="Y13" s="933">
        <f>IF(X13=1,V13,"")</f>
        <v>4</v>
      </c>
      <c r="Z13" s="932">
        <f t="shared" ref="Z13:AB13" si="58">IF($R13="","",IF(ISBLANK(INDIRECT(ADDRESS($R13,Z$1,1,,"Score"))),"",1))</f>
        <v>1</v>
      </c>
      <c r="AA13" s="932" t="str">
        <f t="shared" si="58"/>
        <v/>
      </c>
      <c r="AB13" s="932" t="str">
        <f t="shared" si="58"/>
        <v/>
      </c>
      <c r="AC13" s="930">
        <f t="shared" si="12"/>
        <v>1</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69">
        <f>A13+1</f>
        <v>7</v>
      </c>
      <c r="B15" s="419">
        <f>IF(ISNA(MATCH($A15,Score!A$4:A$41,0)),"",MATCH($A15,Score!A$4:A$41,0)+ROW(Score!A$3))</f>
        <v>13</v>
      </c>
      <c r="C15" s="894" t="str">
        <f t="shared" ref="C15:D15" si="63">IF($B15="","",INDIRECT(ADDRESS($B15,C$1,1,,"Score")))</f>
        <v>16</v>
      </c>
      <c r="D15" s="419">
        <f t="shared" si="63"/>
        <v>0</v>
      </c>
      <c r="E15" s="669">
        <f>IF(B15="","",SUM(D15,D16))</f>
        <v>0</v>
      </c>
      <c r="F15" s="669">
        <f>IF(B15="","",E15-U15)</f>
        <v>-12</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9">
        <f t="shared" si="9"/>
        <v>1</v>
      </c>
      <c r="N15" s="669" t="str">
        <f>IF(ISNA(MATCH($A15,'Game Clock'!A$11:A$48,0)),"",INDIRECT(ADDRESS(MATCH($A15,'Game Clock'!A$11:A$48,0)+ROW('Game Clock'!A$10),N$1,1,,"Game Clock")))</f>
        <v/>
      </c>
      <c r="O15" s="669" t="str">
        <f>IF(OR(N15="",N15=0),"",60*E15/N15)</f>
        <v/>
      </c>
      <c r="P15" s="419"/>
      <c r="Q15" s="669">
        <f>Q13+1</f>
        <v>7</v>
      </c>
      <c r="R15" s="419">
        <f>IF(ISNA(MATCH($Q15,Score!T$4:T$41,0)),"",MATCH($Q15,Score!T$4:T$41,0)++ROW(Score!T$3))</f>
        <v>13</v>
      </c>
      <c r="S15" s="894" t="str">
        <f t="shared" ref="S15:T15" si="66">IF($R15="","",INDIRECT(ADDRESS($R15,S$1,1,,"Score")))</f>
        <v>11</v>
      </c>
      <c r="T15" s="419">
        <f t="shared" si="66"/>
        <v>12</v>
      </c>
      <c r="U15" s="669">
        <f>IF(R15="","",SUM(T15,T16))</f>
        <v>12</v>
      </c>
      <c r="V15" s="669">
        <f>IF(R15="","",U15-E15)</f>
        <v>12</v>
      </c>
      <c r="W15" s="927" t="str">
        <f t="shared" ref="W15:X15" si="67">IF($R15="","",IF(ISBLANK(INDIRECT(ADDRESS($R15,W$1,1,,"Score"))),"",1))</f>
        <v/>
      </c>
      <c r="X15" s="927">
        <f t="shared" si="67"/>
        <v>1</v>
      </c>
      <c r="Y15" s="928">
        <f>IF(X15=1,V15,"")</f>
        <v>12</v>
      </c>
      <c r="Z15" s="927">
        <f t="shared" ref="Z15:AB15" si="68">IF($R15="","",IF(ISBLANK(INDIRECT(ADDRESS($R15,Z$1,1,,"Score"))),"",1))</f>
        <v>1</v>
      </c>
      <c r="AA15" s="927" t="str">
        <f t="shared" si="68"/>
        <v/>
      </c>
      <c r="AB15" s="927" t="str">
        <f t="shared" si="68"/>
        <v/>
      </c>
      <c r="AC15" s="419">
        <f t="shared" si="12"/>
        <v>3</v>
      </c>
      <c r="AD15" s="669" t="str">
        <f>N15</f>
        <v/>
      </c>
      <c r="AE15" s="669" t="str">
        <f>IF(OR(AD15="",AD15=0),"",60*U15/AD15)</f>
        <v/>
      </c>
    </row>
    <row r="16" ht="12.75" customHeight="1">
      <c r="A16" s="669"/>
      <c r="B16" s="419" t="str">
        <f>IF($B15="","",IF(INDIRECT(ADDRESS($B15+1,C$1-1,1,,"Score"))="SP",$B15+1,""))</f>
        <v/>
      </c>
      <c r="C16" s="894" t="str">
        <f t="shared" ref="C16:D16" si="69">IF($B16="","",INDIRECT(ADDRESS($B16,C$1,1,,"Score")))</f>
        <v/>
      </c>
      <c r="D16" s="419" t="str">
        <f t="shared" si="69"/>
        <v/>
      </c>
      <c r="E16" s="669"/>
      <c r="F16" s="669"/>
      <c r="G16" s="927"/>
      <c r="H16" s="927"/>
      <c r="I16" s="928"/>
      <c r="J16" s="927" t="str">
        <f t="shared" ref="J16:L16" si="70">IF($B16="","",IF(ISBLANK(INDIRECT(ADDRESS($B16,J$1,1,,"Score"))),"",1))</f>
        <v/>
      </c>
      <c r="K16" s="927" t="str">
        <f t="shared" si="70"/>
        <v/>
      </c>
      <c r="L16" s="927" t="str">
        <f t="shared" si="70"/>
        <v/>
      </c>
      <c r="M16" s="419" t="str">
        <f t="shared" si="9"/>
        <v/>
      </c>
      <c r="N16" s="669"/>
      <c r="O16" s="669"/>
      <c r="P16" s="419"/>
      <c r="Q16" s="669"/>
      <c r="R16" s="419" t="str">
        <f>IF($R15="","",IF(INDIRECT(ADDRESS($R15+1,S$1-1,1,,"Score"))="SP",$R15+1,""))</f>
        <v/>
      </c>
      <c r="S16" s="894" t="str">
        <f t="shared" ref="S16:T16" si="71">IF($R16="","",INDIRECT(ADDRESS($R16,S$1,1,,"Score")))</f>
        <v/>
      </c>
      <c r="T16" s="419" t="str">
        <f t="shared" si="71"/>
        <v/>
      </c>
      <c r="U16" s="669"/>
      <c r="V16" s="669"/>
      <c r="W16" s="927"/>
      <c r="X16" s="927"/>
      <c r="Y16" s="928"/>
      <c r="Z16" s="927" t="str">
        <f t="shared" ref="Z16:AB16" si="72">IF($R16="","",IF(ISBLANK(INDIRECT(ADDRESS($R16,Z$1,1,,"Score"))),"",1))</f>
        <v/>
      </c>
      <c r="AA16" s="927" t="str">
        <f t="shared" si="72"/>
        <v/>
      </c>
      <c r="AB16" s="927" t="str">
        <f t="shared" si="72"/>
        <v/>
      </c>
      <c r="AC16" s="419" t="str">
        <f t="shared" si="12"/>
        <v/>
      </c>
      <c r="AD16" s="669"/>
      <c r="AE16" s="669"/>
    </row>
    <row r="17" ht="12.75" customHeight="1">
      <c r="A17" s="929">
        <f>A15+1</f>
        <v>8</v>
      </c>
      <c r="B17" s="930">
        <f>IF(ISNA(MATCH($A17,Score!A$4:A$41,0)),"",MATCH($A17,Score!A$4:A$41,0)+ROW(Score!A$3))</f>
        <v>14</v>
      </c>
      <c r="C17" s="931" t="str">
        <f t="shared" ref="C17:D17" si="73">IF($B17="","",INDIRECT(ADDRESS($B17,C$1,1,,"Score")))</f>
        <v>271</v>
      </c>
      <c r="D17" s="930">
        <f t="shared" si="73"/>
        <v>4</v>
      </c>
      <c r="E17" s="929">
        <f>IF(B17="","",SUM(D17,D18))</f>
        <v>4</v>
      </c>
      <c r="F17" s="929">
        <f>IF(B17="","",E17-U17)</f>
        <v>1</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1</v>
      </c>
      <c r="N17" s="669" t="str">
        <f>IF(ISNA(MATCH($A17,'Game Clock'!A$11:A$48,0)),"",INDIRECT(ADDRESS(MATCH($A17,'Game Clock'!A$11:A$48,0)+ROW('Game Clock'!A$10),N$1,1,,"Game Clock")))</f>
        <v/>
      </c>
      <c r="O17" s="929" t="str">
        <f>IF(OR(N17="",N17=0),"",60*E17/N17)</f>
        <v/>
      </c>
      <c r="P17" s="419"/>
      <c r="Q17" s="929">
        <f>Q15+1</f>
        <v>8</v>
      </c>
      <c r="R17" s="930">
        <f>IF(ISNA(MATCH($Q17,Score!T$4:T$41,0)),"",MATCH($Q17,Score!T$4:T$41,0)++ROW(Score!T$3))</f>
        <v>14</v>
      </c>
      <c r="S17" s="931" t="str">
        <f t="shared" ref="S17:T17" si="76">IF($R17="","",INDIRECT(ADDRESS($R17,S$1,1,,"Score")))</f>
        <v>33</v>
      </c>
      <c r="T17" s="930">
        <f t="shared" si="76"/>
        <v>3</v>
      </c>
      <c r="U17" s="929">
        <f>IF(R17="","",SUM(T17,T18))</f>
        <v>3</v>
      </c>
      <c r="V17" s="929">
        <f>IF(R17="","",U17-E17)</f>
        <v>-1</v>
      </c>
      <c r="W17" s="932" t="str">
        <f t="shared" ref="W17:X17" si="77">IF($R17="","",IF(ISBLANK(INDIRECT(ADDRESS($R17,W$1,1,,"Score"))),"",1))</f>
        <v/>
      </c>
      <c r="X17" s="932">
        <f t="shared" si="77"/>
        <v>1</v>
      </c>
      <c r="Y17" s="933">
        <f>IF(X17=1,V17,"")</f>
        <v>-1</v>
      </c>
      <c r="Z17" s="932">
        <f t="shared" ref="Z17:AB17" si="78">IF($R17="","",IF(ISBLANK(INDIRECT(ADDRESS($R17,Z$1,1,,"Score"))),"",1))</f>
        <v>1</v>
      </c>
      <c r="AA17" s="932" t="str">
        <f t="shared" si="78"/>
        <v/>
      </c>
      <c r="AB17" s="932" t="str">
        <f t="shared" si="78"/>
        <v/>
      </c>
      <c r="AC17" s="930">
        <f t="shared" si="12"/>
        <v>1</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69">
        <f>A17+1</f>
        <v>9</v>
      </c>
      <c r="B19" s="419">
        <f>IF(ISNA(MATCH($A19,Score!A$4:A$41,0)),"",MATCH($A19,Score!A$4:A$41,0)+ROW(Score!A$3))</f>
        <v>15</v>
      </c>
      <c r="C19" s="894" t="str">
        <f t="shared" ref="C19:D19" si="83">IF($B19="","",INDIRECT(ADDRESS($B19,C$1,1,,"Score")))</f>
        <v>45</v>
      </c>
      <c r="D19" s="419">
        <f t="shared" si="83"/>
        <v>4</v>
      </c>
      <c r="E19" s="669">
        <f>IF(B19="","",SUM(D19,D20))</f>
        <v>4</v>
      </c>
      <c r="F19" s="669">
        <f>IF(B19="","",E19-U19)</f>
        <v>0</v>
      </c>
      <c r="G19" s="927" t="str">
        <f t="shared" ref="G19:H19" si="84">IF($B19="","",IF(ISBLANK(INDIRECT(ADDRESS($B19,G$1,1,,"Score"))),"",1))</f>
        <v/>
      </c>
      <c r="H19" s="927">
        <f t="shared" si="84"/>
        <v>1</v>
      </c>
      <c r="I19" s="928">
        <f>IF(H19=1,F19,"")</f>
        <v>0</v>
      </c>
      <c r="J19" s="927">
        <f t="shared" ref="J19:L19" si="85">IF($B19="","",IF(ISBLANK(INDIRECT(ADDRESS($B19,J$1,1,,"Score"))),"",1))</f>
        <v>1</v>
      </c>
      <c r="K19" s="927" t="str">
        <f t="shared" si="85"/>
        <v/>
      </c>
      <c r="L19" s="927" t="str">
        <f t="shared" si="85"/>
        <v/>
      </c>
      <c r="M19" s="419">
        <f t="shared" si="9"/>
        <v>1</v>
      </c>
      <c r="N19" s="669" t="str">
        <f>IF(ISNA(MATCH($A19,'Game Clock'!A$11:A$48,0)),"",INDIRECT(ADDRESS(MATCH($A19,'Game Clock'!A$11:A$48,0)+ROW('Game Clock'!A$10),N$1,1,,"Game Clock")))</f>
        <v/>
      </c>
      <c r="O19" s="669" t="str">
        <f>IF(OR(N19="",N19=0),"",60*E19/N19)</f>
        <v/>
      </c>
      <c r="P19" s="419"/>
      <c r="Q19" s="669">
        <f>Q17+1</f>
        <v>9</v>
      </c>
      <c r="R19" s="419">
        <f>IF(ISNA(MATCH($Q19,Score!T$4:T$41,0)),"",MATCH($Q19,Score!T$4:T$41,0)++ROW(Score!T$3))</f>
        <v>15</v>
      </c>
      <c r="S19" s="894" t="str">
        <f t="shared" ref="S19:T19" si="86">IF($R19="","",INDIRECT(ADDRESS($R19,S$1,1,,"Score")))</f>
        <v>101</v>
      </c>
      <c r="T19" s="419">
        <f t="shared" si="86"/>
        <v>4</v>
      </c>
      <c r="U19" s="669">
        <f>IF(R19="","",SUM(T19,T20))</f>
        <v>4</v>
      </c>
      <c r="V19" s="669">
        <f>IF(R19="","",U19-E19)</f>
        <v>0</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t="str">
        <f t="shared" si="88"/>
        <v/>
      </c>
      <c r="AC19" s="419">
        <f t="shared" si="12"/>
        <v>1</v>
      </c>
      <c r="AD19" s="669" t="str">
        <f>N19</f>
        <v/>
      </c>
      <c r="AE19" s="669" t="str">
        <f>IF(OR(AD19="",AD19=0),"",60*U19/AD19)</f>
        <v/>
      </c>
    </row>
    <row r="20" ht="12.75" customHeight="1">
      <c r="A20" s="669"/>
      <c r="B20" s="419" t="str">
        <f>IF($B19="","",IF(INDIRECT(ADDRESS($B19+1,C$1-1,1,,"Score"))="SP",$B19+1,""))</f>
        <v/>
      </c>
      <c r="C20" s="894" t="str">
        <f t="shared" ref="C20:D20" si="89">IF($B20="","",INDIRECT(ADDRESS($B20,C$1,1,,"Score")))</f>
        <v/>
      </c>
      <c r="D20" s="419" t="str">
        <f t="shared" si="89"/>
        <v/>
      </c>
      <c r="E20" s="669"/>
      <c r="F20" s="669"/>
      <c r="G20" s="927"/>
      <c r="H20" s="927"/>
      <c r="I20" s="928"/>
      <c r="J20" s="927" t="str">
        <f t="shared" ref="J20:L20" si="90">IF($B20="","",IF(ISBLANK(INDIRECT(ADDRESS($B20,J$1,1,,"Score"))),"",1))</f>
        <v/>
      </c>
      <c r="K20" s="927" t="str">
        <f t="shared" si="90"/>
        <v/>
      </c>
      <c r="L20" s="927" t="str">
        <f t="shared" si="90"/>
        <v/>
      </c>
      <c r="M20" s="419" t="str">
        <f t="shared" si="9"/>
        <v/>
      </c>
      <c r="N20" s="669"/>
      <c r="O20" s="669"/>
      <c r="P20" s="419"/>
      <c r="Q20" s="669"/>
      <c r="R20" s="419" t="str">
        <f>IF($R19="","",IF(INDIRECT(ADDRESS($R19+1,S$1-1,1,,"Score"))="SP",$R19+1,""))</f>
        <v/>
      </c>
      <c r="S20" s="894" t="str">
        <f t="shared" ref="S20:T20" si="91">IF($R20="","",INDIRECT(ADDRESS($R20,S$1,1,,"Score")))</f>
        <v/>
      </c>
      <c r="T20" s="419" t="str">
        <f t="shared" si="91"/>
        <v/>
      </c>
      <c r="U20" s="669"/>
      <c r="V20" s="669"/>
      <c r="W20" s="927"/>
      <c r="X20" s="927"/>
      <c r="Y20" s="928"/>
      <c r="Z20" s="927" t="str">
        <f t="shared" ref="Z20:AB20" si="92">IF($R20="","",IF(ISBLANK(INDIRECT(ADDRESS($R20,Z$1,1,,"Score"))),"",1))</f>
        <v/>
      </c>
      <c r="AA20" s="927" t="str">
        <f t="shared" si="92"/>
        <v/>
      </c>
      <c r="AB20" s="927" t="str">
        <f t="shared" si="92"/>
        <v/>
      </c>
      <c r="AC20" s="419" t="str">
        <f t="shared" si="12"/>
        <v/>
      </c>
      <c r="AD20" s="669"/>
      <c r="AE20" s="669"/>
    </row>
    <row r="21" ht="12.75" customHeight="1">
      <c r="A21" s="929">
        <f>A19+1</f>
        <v>10</v>
      </c>
      <c r="B21" s="930">
        <f>IF(ISNA(MATCH($A21,Score!A$4:A$41,0)),"",MATCH($A21,Score!A$4:A$41,0)+ROW(Score!A$3))</f>
        <v>16</v>
      </c>
      <c r="C21" s="931" t="str">
        <f t="shared" ref="C21:D21" si="93">IF($B21="","",INDIRECT(ADDRESS($B21,C$1,1,,"Score")))</f>
        <v>215</v>
      </c>
      <c r="D21" s="930">
        <f t="shared" si="93"/>
        <v>0</v>
      </c>
      <c r="E21" s="929">
        <f>IF(B21="","",SUM(D21,D22))</f>
        <v>0</v>
      </c>
      <c r="F21" s="929">
        <f>IF(B21="","",E21-U21)</f>
        <v>-12</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69" t="str">
        <f>IF(ISNA(MATCH($A21,'Game Clock'!A$11:A$48,0)),"",INDIRECT(ADDRESS(MATCH($A21,'Game Clock'!A$11:A$48,0)+ROW('Game Clock'!A$10),N$1,1,,"Game Clock")))</f>
        <v/>
      </c>
      <c r="O21" s="929" t="str">
        <f>IF(OR(N21="",N21=0),"",60*E21/N21)</f>
        <v/>
      </c>
      <c r="P21" s="419"/>
      <c r="Q21" s="929">
        <f>Q19+1</f>
        <v>10</v>
      </c>
      <c r="R21" s="930">
        <f>IF(ISNA(MATCH($Q21,Score!T$4:T$41,0)),"",MATCH($Q21,Score!T$4:T$41,0)++ROW(Score!T$3))</f>
        <v>16</v>
      </c>
      <c r="S21" s="931" t="str">
        <f t="shared" ref="S21:T21" si="96">IF($R21="","",INDIRECT(ADDRESS($R21,S$1,1,,"Score")))</f>
        <v>16</v>
      </c>
      <c r="T21" s="930">
        <f t="shared" si="96"/>
        <v>12</v>
      </c>
      <c r="U21" s="929">
        <f>IF(R21="","",SUM(T21,T22))</f>
        <v>12</v>
      </c>
      <c r="V21" s="929">
        <f>IF(R21="","",U21-E21)</f>
        <v>12</v>
      </c>
      <c r="W21" s="932" t="str">
        <f t="shared" ref="W21:X21" si="97">IF($R21="","",IF(ISBLANK(INDIRECT(ADDRESS($R21,W$1,1,,"Score"))),"",1))</f>
        <v/>
      </c>
      <c r="X21" s="932">
        <f t="shared" si="97"/>
        <v>1</v>
      </c>
      <c r="Y21" s="933">
        <f>IF(X21=1,V21,"")</f>
        <v>12</v>
      </c>
      <c r="Z21" s="932">
        <f t="shared" ref="Z21:AB21" si="98">IF($R21="","",IF(ISBLANK(INDIRECT(ADDRESS($R21,Z$1,1,,"Score"))),"",1))</f>
        <v>1</v>
      </c>
      <c r="AA21" s="932" t="str">
        <f t="shared" si="98"/>
        <v/>
      </c>
      <c r="AB21" s="932" t="str">
        <f t="shared" si="98"/>
        <v/>
      </c>
      <c r="AC21" s="930">
        <f t="shared" si="12"/>
        <v>3</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69">
        <f>A21+1</f>
        <v>11</v>
      </c>
      <c r="B23" s="419">
        <f>IF(ISNA(MATCH($A23,Score!A$4:A$41,0)),"",MATCH($A23,Score!A$4:A$41,0)+ROW(Score!A$3))</f>
        <v>17</v>
      </c>
      <c r="C23" s="894" t="str">
        <f t="shared" ref="C23:D23" si="103">IF($B23="","",INDIRECT(ADDRESS($B23,C$1,1,,"Score")))</f>
        <v>93</v>
      </c>
      <c r="D23" s="419">
        <f t="shared" si="103"/>
        <v>4</v>
      </c>
      <c r="E23" s="669">
        <f>IF(B23="","",SUM(D23,D24))</f>
        <v>4</v>
      </c>
      <c r="F23" s="669">
        <f>IF(B23="","",E23-U23)</f>
        <v>-12</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t="str">
        <f t="shared" si="105"/>
        <v/>
      </c>
      <c r="M23" s="419">
        <f t="shared" si="9"/>
        <v>1</v>
      </c>
      <c r="N23" s="669" t="str">
        <f>IF(ISNA(MATCH($A23,'Game Clock'!A$11:A$48,0)),"",INDIRECT(ADDRESS(MATCH($A23,'Game Clock'!A$11:A$48,0)+ROW('Game Clock'!A$10),N$1,1,,"Game Clock")))</f>
        <v/>
      </c>
      <c r="O23" s="669" t="str">
        <f>IF(OR(N23="",N23=0),"",60*E23/N23)</f>
        <v/>
      </c>
      <c r="P23" s="419"/>
      <c r="Q23" s="669">
        <f>Q21+1</f>
        <v>11</v>
      </c>
      <c r="R23" s="419">
        <f>IF(ISNA(MATCH($Q23,Score!T$4:T$41,0)),"",MATCH($Q23,Score!T$4:T$41,0)++ROW(Score!T$3))</f>
        <v>17</v>
      </c>
      <c r="S23" s="894" t="str">
        <f t="shared" ref="S23:T23" si="106">IF($R23="","",INDIRECT(ADDRESS($R23,S$1,1,,"Score")))</f>
        <v>11</v>
      </c>
      <c r="T23" s="419">
        <f t="shared" si="106"/>
        <v>16</v>
      </c>
      <c r="U23" s="669">
        <f>IF(R23="","",SUM(T23,T24))</f>
        <v>16</v>
      </c>
      <c r="V23" s="669">
        <f>IF(R23="","",U23-E23)</f>
        <v>12</v>
      </c>
      <c r="W23" s="927">
        <f t="shared" ref="W23:X23" si="107">IF($R23="","",IF(ISBLANK(INDIRECT(ADDRESS($R23,W$1,1,,"Score"))),"",1))</f>
        <v>1</v>
      </c>
      <c r="X23" s="927">
        <f t="shared" si="107"/>
        <v>1</v>
      </c>
      <c r="Y23" s="928">
        <f>IF(X23=1,V23,"")</f>
        <v>12</v>
      </c>
      <c r="Z23" s="927" t="str">
        <f t="shared" ref="Z23:AB23" si="108">IF($R23="","",IF(ISBLANK(INDIRECT(ADDRESS($R23,Z$1,1,,"Score"))),"",1))</f>
        <v/>
      </c>
      <c r="AA23" s="927" t="str">
        <f t="shared" si="108"/>
        <v/>
      </c>
      <c r="AB23" s="927" t="str">
        <f t="shared" si="108"/>
        <v/>
      </c>
      <c r="AC23" s="419">
        <f t="shared" si="12"/>
        <v>4</v>
      </c>
      <c r="AD23" s="669" t="str">
        <f>N23</f>
        <v/>
      </c>
      <c r="AE23" s="669" t="str">
        <f>IF(OR(AD23="",AD23=0),"",60*U23/AD23)</f>
        <v/>
      </c>
    </row>
    <row r="24" ht="12.75" customHeight="1">
      <c r="A24" s="669"/>
      <c r="B24" s="419" t="str">
        <f>IF($B23="","",IF(INDIRECT(ADDRESS($B23+1,C$1-1,1,,"Score"))="SP",$B23+1,""))</f>
        <v/>
      </c>
      <c r="C24" s="894" t="str">
        <f t="shared" ref="C24:D24" si="109">IF($B24="","",INDIRECT(ADDRESS($B24,C$1,1,,"Score")))</f>
        <v/>
      </c>
      <c r="D24" s="419" t="str">
        <f t="shared" si="109"/>
        <v/>
      </c>
      <c r="E24" s="669"/>
      <c r="F24" s="669"/>
      <c r="G24" s="927"/>
      <c r="H24" s="927"/>
      <c r="I24" s="928"/>
      <c r="J24" s="927" t="str">
        <f t="shared" ref="J24:L24" si="110">IF($B24="","",IF(ISBLANK(INDIRECT(ADDRESS($B24,J$1,1,,"Score"))),"",1))</f>
        <v/>
      </c>
      <c r="K24" s="927" t="str">
        <f t="shared" si="110"/>
        <v/>
      </c>
      <c r="L24" s="927" t="str">
        <f t="shared" si="110"/>
        <v/>
      </c>
      <c r="M24" s="419" t="str">
        <f t="shared" si="9"/>
        <v/>
      </c>
      <c r="N24" s="669"/>
      <c r="O24" s="669"/>
      <c r="P24" s="419"/>
      <c r="Q24" s="669"/>
      <c r="R24" s="419" t="str">
        <f>IF($R23="","",IF(INDIRECT(ADDRESS($R23+1,S$1-1,1,,"Score"))="SP",$R23+1,""))</f>
        <v/>
      </c>
      <c r="S24" s="894" t="str">
        <f t="shared" ref="S24:T24" si="111">IF($R24="","",INDIRECT(ADDRESS($R24,S$1,1,,"Score")))</f>
        <v/>
      </c>
      <c r="T24" s="419" t="str">
        <f t="shared" si="111"/>
        <v/>
      </c>
      <c r="U24" s="669"/>
      <c r="V24" s="669"/>
      <c r="W24" s="927"/>
      <c r="X24" s="927"/>
      <c r="Y24" s="928"/>
      <c r="Z24" s="927" t="str">
        <f t="shared" ref="Z24:AB24" si="112">IF($R24="","",IF(ISBLANK(INDIRECT(ADDRESS($R24,Z$1,1,,"Score"))),"",1))</f>
        <v/>
      </c>
      <c r="AA24" s="927" t="str">
        <f t="shared" si="112"/>
        <v/>
      </c>
      <c r="AB24" s="927" t="str">
        <f t="shared" si="112"/>
        <v/>
      </c>
      <c r="AC24" s="419" t="str">
        <f t="shared" si="12"/>
        <v/>
      </c>
      <c r="AD24" s="669"/>
      <c r="AE24" s="669"/>
    </row>
    <row r="25" ht="12.75" customHeight="1">
      <c r="A25" s="929">
        <f>A23+1</f>
        <v>12</v>
      </c>
      <c r="B25" s="930">
        <f>IF(ISNA(MATCH($A25,Score!A$4:A$41,0)),"",MATCH($A25,Score!A$4:A$41,0)+ROW(Score!A$3))</f>
        <v>18</v>
      </c>
      <c r="C25" s="931" t="str">
        <f t="shared" ref="C25:D25" si="113">IF($B25="","",INDIRECT(ADDRESS($B25,C$1,1,,"Score")))</f>
        <v>16</v>
      </c>
      <c r="D25" s="930">
        <f t="shared" si="113"/>
        <v>4</v>
      </c>
      <c r="E25" s="929">
        <f>IF(B25="","",SUM(D25,D26))</f>
        <v>4</v>
      </c>
      <c r="F25" s="929">
        <f>IF(B25="","",E25-U25)</f>
        <v>-3</v>
      </c>
      <c r="G25" s="932">
        <f t="shared" ref="G25:H25" si="114">IF($B25="","",IF(ISBLANK(INDIRECT(ADDRESS($B25,G$1,1,,"Score"))),"",1))</f>
        <v>1</v>
      </c>
      <c r="H25" s="932" t="str">
        <f t="shared" si="114"/>
        <v/>
      </c>
      <c r="I25" s="933" t="str">
        <f>IF(H25=1,F25,"")</f>
        <v/>
      </c>
      <c r="J25" s="932" t="str">
        <f t="shared" ref="J25:L25" si="115">IF($B25="","",IF(ISBLANK(INDIRECT(ADDRESS($B25,J$1,1,,"Score"))),"",1))</f>
        <v/>
      </c>
      <c r="K25" s="932" t="str">
        <f t="shared" si="115"/>
        <v/>
      </c>
      <c r="L25" s="932" t="str">
        <f t="shared" si="115"/>
        <v/>
      </c>
      <c r="M25" s="930">
        <f t="shared" si="9"/>
        <v>2</v>
      </c>
      <c r="N25" s="669" t="str">
        <f>IF(ISNA(MATCH($A25,'Game Clock'!A$11:A$48,0)),"",INDIRECT(ADDRESS(MATCH($A25,'Game Clock'!A$11:A$48,0)+ROW('Game Clock'!A$10),N$1,1,,"Game Clock")))</f>
        <v/>
      </c>
      <c r="O25" s="929" t="str">
        <f>IF(OR(N25="",N25=0),"",60*E25/N25)</f>
        <v/>
      </c>
      <c r="P25" s="419"/>
      <c r="Q25" s="929">
        <f>Q23+1</f>
        <v>12</v>
      </c>
      <c r="R25" s="930">
        <f>IF(ISNA(MATCH($Q25,Score!T$4:T$41,0)),"",MATCH($Q25,Score!T$4:T$41,0)++ROW(Score!T$3))</f>
        <v>18</v>
      </c>
      <c r="S25" s="931" t="str">
        <f t="shared" ref="S25:T25" si="116">IF($R25="","",INDIRECT(ADDRESS($R25,S$1,1,,"Score")))</f>
        <v>33</v>
      </c>
      <c r="T25" s="930">
        <f t="shared" si="116"/>
        <v>7</v>
      </c>
      <c r="U25" s="929">
        <f>IF(R25="","",SUM(T25,T26))</f>
        <v>7</v>
      </c>
      <c r="V25" s="929">
        <f>IF(R25="","",U25-E25)</f>
        <v>3</v>
      </c>
      <c r="W25" s="932" t="str">
        <f t="shared" ref="W25:X25" si="117">IF($R25="","",IF(ISBLANK(INDIRECT(ADDRESS($R25,W$1,1,,"Score"))),"",1))</f>
        <v/>
      </c>
      <c r="X25" s="932">
        <f t="shared" si="117"/>
        <v>1</v>
      </c>
      <c r="Y25" s="933">
        <f>IF(X25=1,V25,"")</f>
        <v>3</v>
      </c>
      <c r="Z25" s="932">
        <f t="shared" ref="Z25:AB25" si="118">IF($R25="","",IF(ISBLANK(INDIRECT(ADDRESS($R25,Z$1,1,,"Score"))),"",1))</f>
        <v>1</v>
      </c>
      <c r="AA25" s="932" t="str">
        <f t="shared" si="118"/>
        <v/>
      </c>
      <c r="AB25" s="932" t="str">
        <f t="shared" si="118"/>
        <v/>
      </c>
      <c r="AC25" s="930">
        <f t="shared" si="12"/>
        <v>2</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69">
        <f>A25+1</f>
        <v>13</v>
      </c>
      <c r="B27" s="419">
        <f>IF(ISNA(MATCH($A27,Score!A$4:A$41,0)),"",MATCH($A27,Score!A$4:A$41,0)+ROW(Score!A$3))</f>
        <v>19</v>
      </c>
      <c r="C27" s="894" t="str">
        <f t="shared" ref="C27:D27" si="123">IF($B27="","",INDIRECT(ADDRESS($B27,C$1,1,,"Score")))</f>
        <v>271</v>
      </c>
      <c r="D27" s="419">
        <f t="shared" si="123"/>
        <v>8</v>
      </c>
      <c r="E27" s="669">
        <f>IF(B27="","",SUM(D27,D28))</f>
        <v>8</v>
      </c>
      <c r="F27" s="669">
        <f>IF(B27="","",E27-U27)</f>
        <v>4</v>
      </c>
      <c r="G27" s="927" t="str">
        <f t="shared" ref="G27:H27" si="124">IF($B27="","",IF(ISBLANK(INDIRECT(ADDRESS($B27,G$1,1,,"Score"))),"",1))</f>
        <v/>
      </c>
      <c r="H27" s="927">
        <f t="shared" si="124"/>
        <v>1</v>
      </c>
      <c r="I27" s="928">
        <f>IF(H27=1,F27,"")</f>
        <v>4</v>
      </c>
      <c r="J27" s="927">
        <f t="shared" ref="J27:L27" si="125">IF($B27="","",IF(ISBLANK(INDIRECT(ADDRESS($B27,J$1,1,,"Score"))),"",1))</f>
        <v>1</v>
      </c>
      <c r="K27" s="927" t="str">
        <f t="shared" si="125"/>
        <v/>
      </c>
      <c r="L27" s="927" t="str">
        <f t="shared" si="125"/>
        <v/>
      </c>
      <c r="M27" s="419">
        <f t="shared" si="9"/>
        <v>2</v>
      </c>
      <c r="N27" s="669" t="str">
        <f>IF(ISNA(MATCH($A27,'Game Clock'!A$11:A$48,0)),"",INDIRECT(ADDRESS(MATCH($A27,'Game Clock'!A$11:A$48,0)+ROW('Game Clock'!A$10),N$1,1,,"Game Clock")))</f>
        <v/>
      </c>
      <c r="O27" s="669" t="str">
        <f>IF(OR(N27="",N27=0),"",60*E27/N27)</f>
        <v/>
      </c>
      <c r="P27" s="419"/>
      <c r="Q27" s="669">
        <f>Q25+1</f>
        <v>13</v>
      </c>
      <c r="R27" s="419">
        <f>IF(ISNA(MATCH($Q27,Score!T$4:T$41,0)),"",MATCH($Q27,Score!T$4:T$41,0)++ROW(Score!T$3))</f>
        <v>19</v>
      </c>
      <c r="S27" s="894" t="str">
        <f t="shared" ref="S27:T27" si="126">IF($R27="","",INDIRECT(ADDRESS($R27,S$1,1,,"Score")))</f>
        <v>101</v>
      </c>
      <c r="T27" s="419">
        <f t="shared" si="126"/>
        <v>4</v>
      </c>
      <c r="U27" s="669">
        <f>IF(R27="","",SUM(T27,T28))</f>
        <v>4</v>
      </c>
      <c r="V27" s="669">
        <f>IF(R27="","",U27-E27)</f>
        <v>-4</v>
      </c>
      <c r="W27" s="927" t="str">
        <f t="shared" ref="W27:X27" si="127">IF($R27="","",IF(ISBLANK(INDIRECT(ADDRESS($R27,W$1,1,,"Score"))),"",1))</f>
        <v/>
      </c>
      <c r="X27" s="927" t="str">
        <f t="shared" si="127"/>
        <v/>
      </c>
      <c r="Y27" s="928" t="str">
        <f>IF(X27=1,V27,"")</f>
        <v/>
      </c>
      <c r="Z27" s="927" t="str">
        <f t="shared" ref="Z27:AB27" si="128">IF($R27="","",IF(ISBLANK(INDIRECT(ADDRESS($R27,Z$1,1,,"Score"))),"",1))</f>
        <v/>
      </c>
      <c r="AA27" s="927" t="str">
        <f t="shared" si="128"/>
        <v/>
      </c>
      <c r="AB27" s="927" t="str">
        <f t="shared" si="128"/>
        <v/>
      </c>
      <c r="AC27" s="419">
        <f t="shared" si="12"/>
        <v>2</v>
      </c>
      <c r="AD27" s="669" t="str">
        <f>N27</f>
        <v/>
      </c>
      <c r="AE27" s="669" t="str">
        <f>IF(OR(AD27="",AD27=0),"",60*U27/AD27)</f>
        <v/>
      </c>
    </row>
    <row r="28" ht="12.75" customHeight="1">
      <c r="A28" s="669"/>
      <c r="B28" s="419" t="str">
        <f>IF($B27="","",IF(INDIRECT(ADDRESS($B27+1,C$1-1,1,,"Score"))="SP",$B27+1,""))</f>
        <v/>
      </c>
      <c r="C28" s="894" t="str">
        <f t="shared" ref="C28:D28" si="129">IF($B28="","",INDIRECT(ADDRESS($B28,C$1,1,,"Score")))</f>
        <v/>
      </c>
      <c r="D28" s="419" t="str">
        <f t="shared" si="129"/>
        <v/>
      </c>
      <c r="E28" s="669"/>
      <c r="F28" s="669"/>
      <c r="G28" s="927"/>
      <c r="H28" s="927"/>
      <c r="I28" s="928"/>
      <c r="J28" s="927" t="str">
        <f t="shared" ref="J28:L28" si="130">IF($B28="","",IF(ISBLANK(INDIRECT(ADDRESS($B28,J$1,1,,"Score"))),"",1))</f>
        <v/>
      </c>
      <c r="K28" s="927" t="str">
        <f t="shared" si="130"/>
        <v/>
      </c>
      <c r="L28" s="927" t="str">
        <f t="shared" si="130"/>
        <v/>
      </c>
      <c r="M28" s="419" t="str">
        <f t="shared" si="9"/>
        <v/>
      </c>
      <c r="N28" s="669"/>
      <c r="O28" s="669"/>
      <c r="P28" s="419"/>
      <c r="Q28" s="669"/>
      <c r="R28" s="419" t="str">
        <f>IF($R27="","",IF(INDIRECT(ADDRESS($R27+1,S$1-1,1,,"Score"))="SP",$R27+1,""))</f>
        <v/>
      </c>
      <c r="S28" s="894" t="str">
        <f t="shared" ref="S28:T28" si="131">IF($R28="","",INDIRECT(ADDRESS($R28,S$1,1,,"Score")))</f>
        <v/>
      </c>
      <c r="T28" s="419" t="str">
        <f t="shared" si="131"/>
        <v/>
      </c>
      <c r="U28" s="669"/>
      <c r="V28" s="669"/>
      <c r="W28" s="927"/>
      <c r="X28" s="927"/>
      <c r="Y28" s="928"/>
      <c r="Z28" s="927" t="str">
        <f t="shared" ref="Z28:AB28" si="132">IF($R28="","",IF(ISBLANK(INDIRECT(ADDRESS($R28,Z$1,1,,"Score"))),"",1))</f>
        <v/>
      </c>
      <c r="AA28" s="927" t="str">
        <f t="shared" si="132"/>
        <v/>
      </c>
      <c r="AB28" s="927" t="str">
        <f t="shared" si="132"/>
        <v/>
      </c>
      <c r="AC28" s="419" t="str">
        <f t="shared" si="12"/>
        <v/>
      </c>
      <c r="AD28" s="669"/>
      <c r="AE28" s="669"/>
    </row>
    <row r="29" ht="12.75" customHeight="1">
      <c r="A29" s="929">
        <f>A27+1</f>
        <v>14</v>
      </c>
      <c r="B29" s="930">
        <f>IF(ISNA(MATCH($A29,Score!A$4:A$41,0)),"",MATCH($A29,Score!A$4:A$41,0)+ROW(Score!A$3))</f>
        <v>20</v>
      </c>
      <c r="C29" s="931" t="str">
        <f t="shared" ref="C29:D29" si="133">IF($B29="","",INDIRECT(ADDRESS($B29,C$1,1,,"Score")))</f>
        <v>45</v>
      </c>
      <c r="D29" s="930">
        <f t="shared" si="133"/>
        <v>4</v>
      </c>
      <c r="E29" s="929">
        <f>IF(B29="","",SUM(D29,D30))</f>
        <v>4</v>
      </c>
      <c r="F29" s="929">
        <f>IF(B29="","",E29-U29)</f>
        <v>-8</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2</v>
      </c>
      <c r="N29" s="669" t="str">
        <f>IF(ISNA(MATCH($A29,'Game Clock'!A$11:A$48,0)),"",INDIRECT(ADDRESS(MATCH($A29,'Game Clock'!A$11:A$48,0)+ROW('Game Clock'!A$10),N$1,1,,"Game Clock")))</f>
        <v/>
      </c>
      <c r="O29" s="929" t="str">
        <f>IF(OR(N29="",N29=0),"",60*E29/N29)</f>
        <v/>
      </c>
      <c r="P29" s="419"/>
      <c r="Q29" s="929">
        <f>Q27+1</f>
        <v>14</v>
      </c>
      <c r="R29" s="930">
        <f>IF(ISNA(MATCH($Q29,Score!T$4:T$41,0)),"",MATCH($Q29,Score!T$4:T$41,0)++ROW(Score!T$3))</f>
        <v>20</v>
      </c>
      <c r="S29" s="931" t="str">
        <f t="shared" ref="S29:T29" si="136">IF($R29="","",INDIRECT(ADDRESS($R29,S$1,1,,"Score")))</f>
        <v>16</v>
      </c>
      <c r="T29" s="930">
        <f t="shared" si="136"/>
        <v>12</v>
      </c>
      <c r="U29" s="929">
        <f>IF(R29="","",SUM(T29,T30))</f>
        <v>12</v>
      </c>
      <c r="V29" s="929">
        <f>IF(R29="","",U29-E29)</f>
        <v>8</v>
      </c>
      <c r="W29" s="932" t="str">
        <f t="shared" ref="W29:X29" si="137">IF($R29="","",IF(ISBLANK(INDIRECT(ADDRESS($R29,W$1,1,,"Score"))),"",1))</f>
        <v/>
      </c>
      <c r="X29" s="932">
        <f t="shared" si="137"/>
        <v>1</v>
      </c>
      <c r="Y29" s="933">
        <f>IF(X29=1,V29,"")</f>
        <v>8</v>
      </c>
      <c r="Z29" s="932">
        <f t="shared" ref="Z29:AB29" si="138">IF($R29="","",IF(ISBLANK(INDIRECT(ADDRESS($R29,Z$1,1,,"Score"))),"",1))</f>
        <v>1</v>
      </c>
      <c r="AA29" s="932" t="str">
        <f t="shared" si="138"/>
        <v/>
      </c>
      <c r="AB29" s="932" t="str">
        <f t="shared" si="138"/>
        <v/>
      </c>
      <c r="AC29" s="930">
        <f t="shared" si="12"/>
        <v>3</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69">
        <f>A29+1</f>
        <v>15</v>
      </c>
      <c r="B31" s="419">
        <f>IF(ISNA(MATCH($A31,Score!A$4:A$41,0)),"",MATCH($A31,Score!A$4:A$41,0)+ROW(Score!A$3))</f>
        <v>21</v>
      </c>
      <c r="C31" s="894" t="str">
        <f t="shared" ref="C31:D31" si="143">IF($B31="","",INDIRECT(ADDRESS($B31,C$1,1,,"Score")))</f>
        <v>215</v>
      </c>
      <c r="D31" s="419">
        <f t="shared" si="143"/>
        <v>4</v>
      </c>
      <c r="E31" s="669">
        <f>IF(B31="","",SUM(D31,D32))</f>
        <v>4</v>
      </c>
      <c r="F31" s="669">
        <f>IF(B31="","",E31-U31)</f>
        <v>-3</v>
      </c>
      <c r="G31" s="927" t="str">
        <f t="shared" ref="G31:H31" si="144">IF($B31="","",IF(ISBLANK(INDIRECT(ADDRESS($B31,G$1,1,,"Score"))),"",1))</f>
        <v/>
      </c>
      <c r="H31" s="927">
        <f t="shared" si="144"/>
        <v>1</v>
      </c>
      <c r="I31" s="928">
        <f>IF(H31=1,F31,"")</f>
        <v>-3</v>
      </c>
      <c r="J31" s="927" t="str">
        <f t="shared" ref="J31:L31" si="145">IF($B31="","",IF(ISBLANK(INDIRECT(ADDRESS($B31,J$1,1,,"Score"))),"",1))</f>
        <v/>
      </c>
      <c r="K31" s="927">
        <f t="shared" si="145"/>
        <v>1</v>
      </c>
      <c r="L31" s="927" t="str">
        <f t="shared" si="145"/>
        <v/>
      </c>
      <c r="M31" s="419">
        <f t="shared" si="9"/>
        <v>1</v>
      </c>
      <c r="N31" s="669" t="str">
        <f>IF(ISNA(MATCH($A31,'Game Clock'!A$11:A$48,0)),"",INDIRECT(ADDRESS(MATCH($A31,'Game Clock'!A$11:A$48,0)+ROW('Game Clock'!A$10),N$1,1,,"Game Clock")))</f>
        <v/>
      </c>
      <c r="O31" s="669" t="str">
        <f>IF(OR(N31="",N31=0),"",60*E31/N31)</f>
        <v/>
      </c>
      <c r="P31" s="419"/>
      <c r="Q31" s="669">
        <f>Q29+1</f>
        <v>15</v>
      </c>
      <c r="R31" s="419">
        <f>IF(ISNA(MATCH($Q31,Score!T$4:T$41,0)),"",MATCH($Q31,Score!T$4:T$41,0)++ROW(Score!T$3))</f>
        <v>21</v>
      </c>
      <c r="S31" s="894" t="str">
        <f t="shared" ref="S31:T31" si="146">IF($R31="","",INDIRECT(ADDRESS($R31,S$1,1,,"Score")))</f>
        <v>11</v>
      </c>
      <c r="T31" s="419">
        <f t="shared" si="146"/>
        <v>0</v>
      </c>
      <c r="U31" s="669">
        <f>IF(R31="","",SUM(T31,T32))</f>
        <v>7</v>
      </c>
      <c r="V31" s="669">
        <f>IF(R31="","",U31-E31)</f>
        <v>3</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f t="shared" si="148"/>
        <v>1</v>
      </c>
      <c r="AC31" s="419">
        <f t="shared" si="12"/>
        <v>0</v>
      </c>
      <c r="AD31" s="669" t="str">
        <f>N31</f>
        <v/>
      </c>
      <c r="AE31" s="669" t="str">
        <f>IF(OR(AD31="",AD31=0),"",60*U31/AD31)</f>
        <v/>
      </c>
    </row>
    <row r="32" ht="12.75" customHeight="1">
      <c r="A32" s="669"/>
      <c r="B32" s="419">
        <f>IF($B31="","",IF(INDIRECT(ADDRESS($B31+1,C$1-1,1,,"Score"))="SP",$B31+1,""))</f>
        <v>22</v>
      </c>
      <c r="C32" s="894" t="str">
        <f t="shared" ref="C32:D32" si="149">IF($B32="","",INDIRECT(ADDRESS($B32,C$1,1,,"Score")))</f>
        <v/>
      </c>
      <c r="D32" s="419">
        <f t="shared" si="149"/>
        <v>0</v>
      </c>
      <c r="E32" s="669"/>
      <c r="F32" s="669"/>
      <c r="G32" s="927"/>
      <c r="H32" s="927"/>
      <c r="I32" s="928"/>
      <c r="J32" s="927" t="str">
        <f t="shared" ref="J32:L32" si="150">IF($B32="","",IF(ISBLANK(INDIRECT(ADDRESS($B32,J$1,1,,"Score"))),"",1))</f>
        <v/>
      </c>
      <c r="K32" s="927" t="str">
        <f t="shared" si="150"/>
        <v/>
      </c>
      <c r="L32" s="927" t="str">
        <f t="shared" si="150"/>
        <v/>
      </c>
      <c r="M32" s="419">
        <f t="shared" si="9"/>
        <v>0</v>
      </c>
      <c r="N32" s="669"/>
      <c r="O32" s="669"/>
      <c r="P32" s="419"/>
      <c r="Q32" s="669"/>
      <c r="R32" s="419">
        <f>IF($R31="","",IF(INDIRECT(ADDRESS($R31+1,S$1-1,1,,"Score"))="SP",$R31+1,""))</f>
        <v>22</v>
      </c>
      <c r="S32" s="894" t="str">
        <f t="shared" ref="S32:T32" si="151">IF($R32="","",INDIRECT(ADDRESS($R32,S$1,1,,"Score")))</f>
        <v>88</v>
      </c>
      <c r="T32" s="419">
        <f t="shared" si="151"/>
        <v>7</v>
      </c>
      <c r="U32" s="669"/>
      <c r="V32" s="669"/>
      <c r="W32" s="927"/>
      <c r="X32" s="927"/>
      <c r="Y32" s="928"/>
      <c r="Z32" s="927" t="str">
        <f t="shared" ref="Z32:AB32" si="152">IF($R32="","",IF(ISBLANK(INDIRECT(ADDRESS($R32,Z$1,1,,"Score"))),"",1))</f>
        <v/>
      </c>
      <c r="AA32" s="927">
        <f t="shared" si="152"/>
        <v>1</v>
      </c>
      <c r="AB32" s="927" t="str">
        <f t="shared" si="152"/>
        <v/>
      </c>
      <c r="AC32" s="419">
        <f t="shared" si="12"/>
        <v>2</v>
      </c>
      <c r="AD32" s="669"/>
      <c r="AE32" s="669"/>
    </row>
    <row r="33" ht="12.75" customHeight="1">
      <c r="A33" s="929">
        <f>A31+1</f>
        <v>16</v>
      </c>
      <c r="B33" s="930">
        <f>IF(ISNA(MATCH($A33,Score!A$4:A$41,0)),"",MATCH($A33,Score!A$4:A$41,0)+ROW(Score!A$3))</f>
        <v>23</v>
      </c>
      <c r="C33" s="931" t="str">
        <f t="shared" ref="C33:D33" si="153">IF($B33="","",INDIRECT(ADDRESS($B33,C$1,1,,"Score")))</f>
        <v>93</v>
      </c>
      <c r="D33" s="930">
        <f t="shared" si="153"/>
        <v>8</v>
      </c>
      <c r="E33" s="929">
        <f>IF(B33="","",SUM(D33,D34))</f>
        <v>8</v>
      </c>
      <c r="F33" s="929">
        <f>IF(B33="","",E33-U33)</f>
        <v>-2</v>
      </c>
      <c r="G33" s="932" t="str">
        <f t="shared" ref="G33:H33" si="154">IF($B33="","",IF(ISBLANK(INDIRECT(ADDRESS($B33,G$1,1,,"Score"))),"",1))</f>
        <v/>
      </c>
      <c r="H33" s="932">
        <f t="shared" si="154"/>
        <v>1</v>
      </c>
      <c r="I33" s="933">
        <f>IF(H33=1,F33,"")</f>
        <v>-2</v>
      </c>
      <c r="J33" s="932" t="str">
        <f t="shared" ref="J33:L33" si="155">IF($B33="","",IF(ISBLANK(INDIRECT(ADDRESS($B33,J$1,1,,"Score"))),"",1))</f>
        <v/>
      </c>
      <c r="K33" s="932" t="str">
        <f t="shared" si="155"/>
        <v/>
      </c>
      <c r="L33" s="932" t="str">
        <f t="shared" si="155"/>
        <v/>
      </c>
      <c r="M33" s="930">
        <f t="shared" si="9"/>
        <v>2</v>
      </c>
      <c r="N33" s="669" t="str">
        <f>IF(ISNA(MATCH($A33,'Game Clock'!A$11:A$48,0)),"",INDIRECT(ADDRESS(MATCH($A33,'Game Clock'!A$11:A$48,0)+ROW('Game Clock'!A$10),N$1,1,,"Game Clock")))</f>
        <v/>
      </c>
      <c r="O33" s="929" t="str">
        <f>IF(OR(N33="",N33=0),"",60*E33/N33)</f>
        <v/>
      </c>
      <c r="P33" s="419"/>
      <c r="Q33" s="929">
        <f>Q31+1</f>
        <v>16</v>
      </c>
      <c r="R33" s="930">
        <f>IF(ISNA(MATCH($Q33,Score!T$4:T$41,0)),"",MATCH($Q33,Score!T$4:T$41,0)++ROW(Score!T$3))</f>
        <v>23</v>
      </c>
      <c r="S33" s="931" t="str">
        <f t="shared" ref="S33:T33" si="156">IF($R33="","",INDIRECT(ADDRESS($R33,S$1,1,,"Score")))</f>
        <v>33</v>
      </c>
      <c r="T33" s="930">
        <f t="shared" si="156"/>
        <v>4</v>
      </c>
      <c r="U33" s="929">
        <f>IF(R33="","",SUM(T33,T34))</f>
        <v>10</v>
      </c>
      <c r="V33" s="929">
        <f>IF(R33="","",U33-E33)</f>
        <v>2</v>
      </c>
      <c r="W33" s="932" t="str">
        <f t="shared" ref="W33:X33" si="157">IF($R33="","",IF(ISBLANK(INDIRECT(ADDRESS($R33,W$1,1,,"Score"))),"",1))</f>
        <v/>
      </c>
      <c r="X33" s="932" t="str">
        <f t="shared" si="157"/>
        <v/>
      </c>
      <c r="Y33" s="933" t="str">
        <f>IF(X33=1,V33,"")</f>
        <v/>
      </c>
      <c r="Z33" s="932" t="str">
        <f t="shared" ref="Z33:AB33" si="158">IF($R33="","",IF(ISBLANK(INDIRECT(ADDRESS($R33,Z$1,1,,"Score"))),"",1))</f>
        <v/>
      </c>
      <c r="AA33" s="932" t="str">
        <f t="shared" si="158"/>
        <v/>
      </c>
      <c r="AB33" s="932" t="str">
        <f t="shared" si="158"/>
        <v/>
      </c>
      <c r="AC33" s="930">
        <f t="shared" si="12"/>
        <v>1</v>
      </c>
      <c r="AD33" s="929" t="str">
        <f>N33</f>
        <v/>
      </c>
      <c r="AE33" s="929" t="str">
        <f>IF(OR(AD33="",AD33=0),"",60*U33/AD33)</f>
        <v/>
      </c>
    </row>
    <row r="34" ht="12.75" customHeight="1">
      <c r="A34" s="929"/>
      <c r="B34" s="930">
        <f>IF($B33="","",IF(INDIRECT(ADDRESS($B33+1,C$1-1,1,,"Score"))="SP",$B33+1,""))</f>
        <v>24</v>
      </c>
      <c r="C34" s="931" t="str">
        <f t="shared" ref="C34:D34" si="159">IF($B34="","",INDIRECT(ADDRESS($B34,C$1,1,,"Score")))</f>
        <v/>
      </c>
      <c r="D34" s="930">
        <f t="shared" si="159"/>
        <v>0</v>
      </c>
      <c r="E34" s="929"/>
      <c r="F34" s="929"/>
      <c r="G34" s="932"/>
      <c r="H34" s="934"/>
      <c r="I34" s="933"/>
      <c r="J34" s="932" t="str">
        <f t="shared" ref="J34:L34" si="160">IF($B34="","",IF(ISBLANK(INDIRECT(ADDRESS($B34,J$1,1,,"Score"))),"",1))</f>
        <v/>
      </c>
      <c r="K34" s="932" t="str">
        <f t="shared" si="160"/>
        <v/>
      </c>
      <c r="L34" s="932" t="str">
        <f t="shared" si="160"/>
        <v/>
      </c>
      <c r="M34" s="930">
        <f t="shared" si="9"/>
        <v>0</v>
      </c>
      <c r="N34" s="929"/>
      <c r="O34" s="929"/>
      <c r="P34" s="419"/>
      <c r="Q34" s="929"/>
      <c r="R34" s="930">
        <f>IF($R33="","",IF(INDIRECT(ADDRESS($R33+1,S$1-1,1,,"Score"))="SP",$R33+1,""))</f>
        <v>24</v>
      </c>
      <c r="S34" s="931" t="str">
        <f t="shared" ref="S34:T34" si="161">IF($R34="","",INDIRECT(ADDRESS($R34,S$1,1,,"Score")))</f>
        <v>42</v>
      </c>
      <c r="T34" s="930">
        <f t="shared" si="161"/>
        <v>6</v>
      </c>
      <c r="U34" s="929"/>
      <c r="V34" s="929"/>
      <c r="W34" s="932"/>
      <c r="X34" s="934"/>
      <c r="Y34" s="933"/>
      <c r="Z34" s="932" t="str">
        <f t="shared" ref="Z34:AB34" si="162">IF($R34="","",IF(ISBLANK(INDIRECT(ADDRESS($R34,Z$1,1,,"Score"))),"",1))</f>
        <v/>
      </c>
      <c r="AA34" s="932" t="str">
        <f t="shared" si="162"/>
        <v/>
      </c>
      <c r="AB34" s="932" t="str">
        <f t="shared" si="162"/>
        <v/>
      </c>
      <c r="AC34" s="930">
        <f t="shared" si="12"/>
        <v>2</v>
      </c>
      <c r="AD34" s="929"/>
      <c r="AE34" s="929"/>
    </row>
    <row r="35" ht="12.75" customHeight="1">
      <c r="A35" s="669">
        <f>A33+1</f>
        <v>17</v>
      </c>
      <c r="B35" s="419">
        <f>IF(ISNA(MATCH($A35,Score!A$4:A$41,0)),"",MATCH($A35,Score!A$4:A$41,0)+ROW(Score!A$3))</f>
        <v>25</v>
      </c>
      <c r="C35" s="894" t="str">
        <f t="shared" ref="C35:D35" si="163">IF($B35="","",INDIRECT(ADDRESS($B35,C$1,1,,"Score")))</f>
        <v>16</v>
      </c>
      <c r="D35" s="419">
        <f t="shared" si="163"/>
        <v>6</v>
      </c>
      <c r="E35" s="669">
        <f>IF(B35="","",SUM(D35,D36))</f>
        <v>6</v>
      </c>
      <c r="F35" s="669">
        <f>IF(B35="","",E35-U35)</f>
        <v>2</v>
      </c>
      <c r="G35" s="927" t="str">
        <f t="shared" ref="G35:H35" si="164">IF($B35="","",IF(ISBLANK(INDIRECT(ADDRESS($B35,G$1,1,,"Score"))),"",1))</f>
        <v/>
      </c>
      <c r="H35" s="927">
        <f t="shared" si="164"/>
        <v>1</v>
      </c>
      <c r="I35" s="928">
        <f>IF(H35=1,F35,"")</f>
        <v>2</v>
      </c>
      <c r="J35" s="927">
        <f t="shared" ref="J35:L35" si="165">IF($B35="","",IF(ISBLANK(INDIRECT(ADDRESS($B35,J$1,1,,"Score"))),"",1))</f>
        <v>1</v>
      </c>
      <c r="K35" s="927" t="str">
        <f t="shared" si="165"/>
        <v/>
      </c>
      <c r="L35" s="927" t="str">
        <f t="shared" si="165"/>
        <v/>
      </c>
      <c r="M35" s="419">
        <f t="shared" si="9"/>
        <v>2</v>
      </c>
      <c r="N35" s="669" t="str">
        <f>IF(ISNA(MATCH($A35,'Game Clock'!A$11:A$48,0)),"",INDIRECT(ADDRESS(MATCH($A35,'Game Clock'!A$11:A$48,0)+ROW('Game Clock'!A$10),N$1,1,,"Game Clock")))</f>
        <v/>
      </c>
      <c r="O35" s="669" t="str">
        <f>IF(OR(N35="",N35=0),"",60*E35/N35)</f>
        <v/>
      </c>
      <c r="P35" s="419"/>
      <c r="Q35" s="669">
        <f>Q33+1</f>
        <v>17</v>
      </c>
      <c r="R35" s="419">
        <f>IF(ISNA(MATCH($Q35,Score!T$4:T$41,0)),"",MATCH($Q35,Score!T$4:T$41,0)++ROW(Score!T$3))</f>
        <v>25</v>
      </c>
      <c r="S35" s="894" t="str">
        <f t="shared" ref="S35:T35" si="166">IF($R35="","",INDIRECT(ADDRESS($R35,S$1,1,,"Score")))</f>
        <v>101</v>
      </c>
      <c r="T35" s="419">
        <f t="shared" si="166"/>
        <v>4</v>
      </c>
      <c r="U35" s="669">
        <f>IF(R35="","",SUM(T35,T36))</f>
        <v>4</v>
      </c>
      <c r="V35" s="669">
        <f>IF(R35="","",U35-E35)</f>
        <v>-2</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19">
        <f t="shared" si="12"/>
        <v>2</v>
      </c>
      <c r="AD35" s="669" t="str">
        <f>N35</f>
        <v/>
      </c>
      <c r="AE35" s="669" t="str">
        <f>IF(OR(AD35="",AD35=0),"",60*U35/AD35)</f>
        <v/>
      </c>
    </row>
    <row r="36" ht="12.75" customHeight="1">
      <c r="A36" s="669"/>
      <c r="B36" s="419" t="str">
        <f>IF($B35="","",IF(INDIRECT(ADDRESS($B35+1,C$1-1,1,,"Score"))="SP",$B35+1,""))</f>
        <v/>
      </c>
      <c r="C36" s="894" t="str">
        <f t="shared" ref="C36:D36" si="169">IF($B36="","",INDIRECT(ADDRESS($B36,C$1,1,,"Score")))</f>
        <v/>
      </c>
      <c r="D36" s="419" t="str">
        <f t="shared" si="169"/>
        <v/>
      </c>
      <c r="E36" s="669"/>
      <c r="F36" s="669"/>
      <c r="G36" s="927"/>
      <c r="H36" s="927"/>
      <c r="I36" s="928"/>
      <c r="J36" s="927" t="str">
        <f t="shared" ref="J36:L36" si="170">IF($B36="","",IF(ISBLANK(INDIRECT(ADDRESS($B36,J$1,1,,"Score"))),"",1))</f>
        <v/>
      </c>
      <c r="K36" s="927" t="str">
        <f t="shared" si="170"/>
        <v/>
      </c>
      <c r="L36" s="927" t="str">
        <f t="shared" si="170"/>
        <v/>
      </c>
      <c r="M36" s="419" t="str">
        <f t="shared" si="9"/>
        <v/>
      </c>
      <c r="N36" s="669"/>
      <c r="O36" s="669"/>
      <c r="P36" s="419"/>
      <c r="Q36" s="669"/>
      <c r="R36" s="419" t="str">
        <f>IF($R35="","",IF(INDIRECT(ADDRESS($R35+1,S$1-1,1,,"Score"))="SP",$R35+1,""))</f>
        <v/>
      </c>
      <c r="S36" s="894" t="str">
        <f t="shared" ref="S36:T36" si="171">IF($R36="","",INDIRECT(ADDRESS($R36,S$1,1,,"Score")))</f>
        <v/>
      </c>
      <c r="T36" s="419" t="str">
        <f t="shared" si="171"/>
        <v/>
      </c>
      <c r="U36" s="669"/>
      <c r="V36" s="669"/>
      <c r="W36" s="927"/>
      <c r="X36" s="927"/>
      <c r="Y36" s="928"/>
      <c r="Z36" s="927" t="str">
        <f t="shared" ref="Z36:AB36" si="172">IF($R36="","",IF(ISBLANK(INDIRECT(ADDRESS($R36,Z$1,1,,"Score"))),"",1))</f>
        <v/>
      </c>
      <c r="AA36" s="927" t="str">
        <f t="shared" si="172"/>
        <v/>
      </c>
      <c r="AB36" s="927" t="str">
        <f t="shared" si="172"/>
        <v/>
      </c>
      <c r="AC36" s="419" t="str">
        <f t="shared" si="12"/>
        <v/>
      </c>
      <c r="AD36" s="669"/>
      <c r="AE36" s="669"/>
    </row>
    <row r="37" ht="12.75" customHeight="1">
      <c r="A37" s="929">
        <f>A35+1</f>
        <v>18</v>
      </c>
      <c r="B37" s="930">
        <f>IF(ISNA(MATCH($A37,Score!A$4:A$41,0)),"",MATCH($A37,Score!A$4:A$41,0)+ROW(Score!A$3))</f>
        <v>26</v>
      </c>
      <c r="C37" s="931" t="str">
        <f t="shared" ref="C37:D37" si="173">IF($B37="","",INDIRECT(ADDRESS($B37,C$1,1,,"Score")))</f>
        <v>271</v>
      </c>
      <c r="D37" s="930">
        <f t="shared" si="173"/>
        <v>0</v>
      </c>
      <c r="E37" s="929">
        <f>IF(B37="","",SUM(D37,D38))</f>
        <v>0</v>
      </c>
      <c r="F37" s="929">
        <f>IF(B37="","",E37-U37)</f>
        <v>-12</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1</v>
      </c>
      <c r="N37" s="669" t="str">
        <f>IF(ISNA(MATCH($A37,'Game Clock'!A$11:A$48,0)),"",INDIRECT(ADDRESS(MATCH($A37,'Game Clock'!A$11:A$48,0)+ROW('Game Clock'!A$10),N$1,1,,"Game Clock")))</f>
        <v/>
      </c>
      <c r="O37" s="929" t="str">
        <f>IF(OR(N37="",N37=0),"",60*E37/N37)</f>
        <v/>
      </c>
      <c r="P37" s="419"/>
      <c r="Q37" s="929">
        <f>Q35+1</f>
        <v>18</v>
      </c>
      <c r="R37" s="930">
        <f>IF(ISNA(MATCH($Q37,Score!T$4:T$41,0)),"",MATCH($Q37,Score!T$4:T$41,0)++ROW(Score!T$3))</f>
        <v>26</v>
      </c>
      <c r="S37" s="931" t="str">
        <f t="shared" ref="S37:T37" si="176">IF($R37="","",INDIRECT(ADDRESS($R37,S$1,1,,"Score")))</f>
        <v>16</v>
      </c>
      <c r="T37" s="930">
        <f t="shared" si="176"/>
        <v>12</v>
      </c>
      <c r="U37" s="929">
        <f>IF(R37="","",SUM(T37,T38))</f>
        <v>12</v>
      </c>
      <c r="V37" s="929">
        <f>IF(R37="","",U37-E37)</f>
        <v>12</v>
      </c>
      <c r="W37" s="932" t="str">
        <f t="shared" ref="W37:X37" si="177">IF($R37="","",IF(ISBLANK(INDIRECT(ADDRESS($R37,W$1,1,,"Score"))),"",1))</f>
        <v/>
      </c>
      <c r="X37" s="932">
        <f t="shared" si="177"/>
        <v>1</v>
      </c>
      <c r="Y37" s="933">
        <f>IF(X37=1,V37,"")</f>
        <v>12</v>
      </c>
      <c r="Z37" s="932">
        <f t="shared" ref="Z37:AB37" si="178">IF($R37="","",IF(ISBLANK(INDIRECT(ADDRESS($R37,Z$1,1,,"Score"))),"",1))</f>
        <v>1</v>
      </c>
      <c r="AA37" s="932" t="str">
        <f t="shared" si="178"/>
        <v/>
      </c>
      <c r="AB37" s="932" t="str">
        <f t="shared" si="178"/>
        <v/>
      </c>
      <c r="AC37" s="930">
        <f t="shared" si="12"/>
        <v>3</v>
      </c>
      <c r="AD37" s="929" t="str">
        <f>N37</f>
        <v/>
      </c>
      <c r="AE37" s="929" t="str">
        <f>IF(OR(AD37="",AD37=0),"",60*U37/AD37)</f>
        <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69">
        <f>A37+1</f>
        <v>19</v>
      </c>
      <c r="B39" s="419">
        <f>IF(ISNA(MATCH($A39,Score!A$4:A$41,0)),"",MATCH($A39,Score!A$4:A$41,0)+ROW(Score!A$3))</f>
        <v>27</v>
      </c>
      <c r="C39" s="894" t="str">
        <f t="shared" ref="C39:D39" si="183">IF($B39="","",INDIRECT(ADDRESS($B39,C$1,1,,"Score")))</f>
        <v>45</v>
      </c>
      <c r="D39" s="419">
        <f t="shared" si="183"/>
        <v>0</v>
      </c>
      <c r="E39" s="669">
        <f>IF(B39="","",SUM(D39,D40))</f>
        <v>0</v>
      </c>
      <c r="F39" s="669">
        <f>IF(B39="","",E39-U39)</f>
        <v>-4</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f t="shared" si="185"/>
        <v>1</v>
      </c>
      <c r="M39" s="419">
        <f t="shared" si="9"/>
        <v>0</v>
      </c>
      <c r="N39" s="669" t="str">
        <f>IF(ISNA(MATCH($A39,'Game Clock'!A$11:A$48,0)),"",INDIRECT(ADDRESS(MATCH($A39,'Game Clock'!A$11:A$48,0)+ROW('Game Clock'!A$10),N$1,1,,"Game Clock")))</f>
        <v/>
      </c>
      <c r="O39" s="669" t="str">
        <f>IF(OR(N39="",N39=0),"",60*E39/N39)</f>
        <v/>
      </c>
      <c r="P39" s="419"/>
      <c r="Q39" s="669">
        <f>Q37+1</f>
        <v>19</v>
      </c>
      <c r="R39" s="419">
        <f>IF(ISNA(MATCH($Q39,Score!T$4:T$41,0)),"",MATCH($Q39,Score!T$4:T$41,0)++ROW(Score!T$3))</f>
        <v>27</v>
      </c>
      <c r="S39" s="894" t="str">
        <f t="shared" ref="S39:T39" si="186">IF($R39="","",INDIRECT(ADDRESS($R39,S$1,1,,"Score")))</f>
        <v>11</v>
      </c>
      <c r="T39" s="419">
        <f t="shared" si="186"/>
        <v>4</v>
      </c>
      <c r="U39" s="669">
        <f>IF(R39="","",SUM(T39,T40))</f>
        <v>4</v>
      </c>
      <c r="V39" s="669">
        <f>IF(R39="","",U39-E39)</f>
        <v>4</v>
      </c>
      <c r="W39" s="927" t="str">
        <f t="shared" ref="W39:X39" si="187">IF($R39="","",IF(ISBLANK(INDIRECT(ADDRESS($R39,W$1,1,,"Score"))),"",1))</f>
        <v/>
      </c>
      <c r="X39" s="927">
        <f t="shared" si="187"/>
        <v>1</v>
      </c>
      <c r="Y39" s="928">
        <f>IF(X39=1,V39,"")</f>
        <v>4</v>
      </c>
      <c r="Z39" s="927">
        <f t="shared" ref="Z39:AB39" si="188">IF($R39="","",IF(ISBLANK(INDIRECT(ADDRESS($R39,Z$1,1,,"Score"))),"",1))</f>
        <v>1</v>
      </c>
      <c r="AA39" s="927" t="str">
        <f t="shared" si="188"/>
        <v/>
      </c>
      <c r="AB39" s="927" t="str">
        <f t="shared" si="188"/>
        <v/>
      </c>
      <c r="AC39" s="419">
        <f t="shared" si="12"/>
        <v>1</v>
      </c>
      <c r="AD39" s="669" t="str">
        <f>N39</f>
        <v/>
      </c>
      <c r="AE39" s="669" t="str">
        <f>IF(OR(AD39="",AD39=0),"",60*U39/AD39)</f>
        <v/>
      </c>
    </row>
    <row r="40" ht="12.75" customHeight="1">
      <c r="A40" s="669"/>
      <c r="B40" s="419">
        <f>IF($B39="","",IF(INDIRECT(ADDRESS($B39+1,C$1-1,1,,"Score"))="SP",$B39+1,""))</f>
        <v>28</v>
      </c>
      <c r="C40" s="894" t="str">
        <f t="shared" ref="C40:D40" si="189">IF($B40="","",INDIRECT(ADDRESS($B40,C$1,1,,"Score")))</f>
        <v>999</v>
      </c>
      <c r="D40" s="419">
        <f t="shared" si="189"/>
        <v>0</v>
      </c>
      <c r="E40" s="669"/>
      <c r="F40" s="669"/>
      <c r="G40" s="927"/>
      <c r="H40" s="927"/>
      <c r="I40" s="928"/>
      <c r="J40" s="927" t="str">
        <f t="shared" ref="J40:L40" si="190">IF($B40="","",IF(ISBLANK(INDIRECT(ADDRESS($B40,J$1,1,,"Score"))),"",1))</f>
        <v/>
      </c>
      <c r="K40" s="927" t="str">
        <f t="shared" si="190"/>
        <v/>
      </c>
      <c r="L40" s="927" t="str">
        <f t="shared" si="190"/>
        <v/>
      </c>
      <c r="M40" s="419">
        <f t="shared" si="9"/>
        <v>1</v>
      </c>
      <c r="N40" s="669"/>
      <c r="O40" s="669"/>
      <c r="P40" s="419"/>
      <c r="Q40" s="669"/>
      <c r="R40" s="419" t="str">
        <f>IF($R39="","",IF(INDIRECT(ADDRESS($R39+1,S$1-1,1,,"Score"))="SP",$R39+1,""))</f>
        <v/>
      </c>
      <c r="S40" s="894" t="str">
        <f t="shared" ref="S40:T40" si="191">IF($R40="","",INDIRECT(ADDRESS($R40,S$1,1,,"Score")))</f>
        <v/>
      </c>
      <c r="T40" s="419" t="str">
        <f t="shared" si="191"/>
        <v/>
      </c>
      <c r="U40" s="669"/>
      <c r="V40" s="669"/>
      <c r="W40" s="927"/>
      <c r="X40" s="927"/>
      <c r="Y40" s="928"/>
      <c r="Z40" s="927" t="str">
        <f t="shared" ref="Z40:AB40" si="192">IF($R40="","",IF(ISBLANK(INDIRECT(ADDRESS($R40,Z$1,1,,"Score"))),"",1))</f>
        <v/>
      </c>
      <c r="AA40" s="927" t="str">
        <f t="shared" si="192"/>
        <v/>
      </c>
      <c r="AB40" s="927" t="str">
        <f t="shared" si="192"/>
        <v/>
      </c>
      <c r="AC40" s="419" t="str">
        <f t="shared" si="12"/>
        <v/>
      </c>
      <c r="AD40" s="669"/>
      <c r="AE40" s="669"/>
    </row>
    <row r="41" ht="12.75" customHeight="1">
      <c r="A41" s="929">
        <f>A39+1</f>
        <v>20</v>
      </c>
      <c r="B41" s="930">
        <f>IF(ISNA(MATCH($A41,Score!A$4:A$41,0)),"",MATCH($A41,Score!A$4:A$41,0)+ROW(Score!A$3))</f>
        <v>29</v>
      </c>
      <c r="C41" s="931" t="str">
        <f t="shared" ref="C41:D41" si="193">IF($B41="","",INDIRECT(ADDRESS($B41,C$1,1,,"Score")))</f>
        <v>93</v>
      </c>
      <c r="D41" s="930">
        <f t="shared" si="193"/>
        <v>0</v>
      </c>
      <c r="E41" s="929">
        <f>IF(B41="","",SUM(D41,D42))</f>
        <v>0</v>
      </c>
      <c r="F41" s="929">
        <f>IF(B41="","",E41-U41)</f>
        <v>-4</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f t="shared" si="9"/>
        <v>1</v>
      </c>
      <c r="N41" s="669" t="str">
        <f>IF(ISNA(MATCH($A41,'Game Clock'!A$11:A$48,0)),"",INDIRECT(ADDRESS(MATCH($A41,'Game Clock'!A$11:A$48,0)+ROW('Game Clock'!A$10),N$1,1,,"Game Clock")))</f>
        <v/>
      </c>
      <c r="O41" s="929" t="str">
        <f>IF(OR(N41="",N41=0),"",60*E41/N41)</f>
        <v/>
      </c>
      <c r="P41" s="419"/>
      <c r="Q41" s="929">
        <f>Q39+1</f>
        <v>20</v>
      </c>
      <c r="R41" s="930">
        <f>IF(ISNA(MATCH($Q41,Score!T$4:T$41,0)),"",MATCH($Q41,Score!T$4:T$41,0)++ROW(Score!T$3))</f>
        <v>29</v>
      </c>
      <c r="S41" s="931" t="str">
        <f t="shared" ref="S41:T41" si="196">IF($R41="","",INDIRECT(ADDRESS($R41,S$1,1,,"Score")))</f>
        <v>101</v>
      </c>
      <c r="T41" s="930">
        <f t="shared" si="196"/>
        <v>4</v>
      </c>
      <c r="U41" s="929">
        <f>IF(R41="","",SUM(T41,T42))</f>
        <v>4</v>
      </c>
      <c r="V41" s="929">
        <f>IF(R41="","",U41-E41)</f>
        <v>4</v>
      </c>
      <c r="W41" s="932" t="str">
        <f t="shared" ref="W41:X41" si="197">IF($R41="","",IF(ISBLANK(INDIRECT(ADDRESS($R41,W$1,1,,"Score"))),"",1))</f>
        <v/>
      </c>
      <c r="X41" s="932">
        <f t="shared" si="197"/>
        <v>1</v>
      </c>
      <c r="Y41" s="933">
        <f>IF(X41=1,V41,"")</f>
        <v>4</v>
      </c>
      <c r="Z41" s="932">
        <f t="shared" ref="Z41:AB41" si="198">IF($R41="","",IF(ISBLANK(INDIRECT(ADDRESS($R41,Z$1,1,,"Score"))),"",1))</f>
        <v>1</v>
      </c>
      <c r="AA41" s="932" t="str">
        <f t="shared" si="198"/>
        <v/>
      </c>
      <c r="AB41" s="932" t="str">
        <f t="shared" si="198"/>
        <v/>
      </c>
      <c r="AC41" s="930">
        <f t="shared" si="12"/>
        <v>1</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69">
        <f>A41+1</f>
        <v>21</v>
      </c>
      <c r="B43" s="419">
        <f>IF(ISNA(MATCH($A43,Score!A$4:A$41,0)),"",MATCH($A43,Score!A$4:A$41,0)+ROW(Score!A$3))</f>
        <v>30</v>
      </c>
      <c r="C43" s="894" t="str">
        <f t="shared" ref="C43:D43" si="203">IF($B43="","",INDIRECT(ADDRESS($B43,C$1,1,,"Score")))</f>
        <v>16</v>
      </c>
      <c r="D43" s="419">
        <f t="shared" si="203"/>
        <v>4</v>
      </c>
      <c r="E43" s="669">
        <f>IF(B43="","",SUM(D43,D44))</f>
        <v>8</v>
      </c>
      <c r="F43" s="669">
        <f>IF(B43="","",E43-U43)</f>
        <v>-18</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19">
        <f t="shared" si="9"/>
        <v>1</v>
      </c>
      <c r="N43" s="669" t="str">
        <f>IF(ISNA(MATCH($A43,'Game Clock'!A$11:A$48,0)),"",INDIRECT(ADDRESS(MATCH($A43,'Game Clock'!A$11:A$48,0)+ROW('Game Clock'!A$10),N$1,1,,"Game Clock")))</f>
        <v/>
      </c>
      <c r="O43" s="669" t="str">
        <f>IF(OR(N43="",N43=0),"",60*E43/N43)</f>
        <v/>
      </c>
      <c r="P43" s="419"/>
      <c r="Q43" s="669">
        <f>Q41+1</f>
        <v>21</v>
      </c>
      <c r="R43" s="419">
        <f>IF(ISNA(MATCH($Q43,Score!T$4:T$41,0)),"",MATCH($Q43,Score!T$4:T$41,0)++ROW(Score!T$3))</f>
        <v>30</v>
      </c>
      <c r="S43" s="894" t="str">
        <f t="shared" ref="S43:T43" si="206">IF($R43="","",INDIRECT(ADDRESS($R43,S$1,1,,"Score")))</f>
        <v>16</v>
      </c>
      <c r="T43" s="419">
        <f t="shared" si="206"/>
        <v>26</v>
      </c>
      <c r="U43" s="669">
        <f>IF(R43="","",SUM(T43,T44))</f>
        <v>26</v>
      </c>
      <c r="V43" s="669">
        <f>IF(R43="","",U43-E43)</f>
        <v>18</v>
      </c>
      <c r="W43" s="927" t="str">
        <f t="shared" ref="W43:X43" si="207">IF($R43="","",IF(ISBLANK(INDIRECT(ADDRESS($R43,W$1,1,,"Score"))),"",1))</f>
        <v/>
      </c>
      <c r="X43" s="927">
        <f t="shared" si="207"/>
        <v>1</v>
      </c>
      <c r="Y43" s="928">
        <f>IF(X43=1,V43,"")</f>
        <v>18</v>
      </c>
      <c r="Z43" s="927">
        <f t="shared" ref="Z43:AB43" si="208">IF($R43="","",IF(ISBLANK(INDIRECT(ADDRESS($R43,Z$1,1,,"Score"))),"",1))</f>
        <v>1</v>
      </c>
      <c r="AA43" s="927" t="str">
        <f t="shared" si="208"/>
        <v/>
      </c>
      <c r="AB43" s="927" t="str">
        <f t="shared" si="208"/>
        <v/>
      </c>
      <c r="AC43" s="419">
        <f t="shared" si="12"/>
        <v>7</v>
      </c>
      <c r="AD43" s="669" t="str">
        <f>N43</f>
        <v/>
      </c>
      <c r="AE43" s="669" t="str">
        <f>IF(OR(AD43="",AD43=0),"",60*U43/AD43)</f>
        <v/>
      </c>
    </row>
    <row r="44" ht="12.75" customHeight="1">
      <c r="A44" s="669"/>
      <c r="B44" s="419">
        <f>IF($B43="","",IF(INDIRECT(ADDRESS($B43+1,C$1-1,1,,"Score"))="SP",$B43+1,""))</f>
        <v>31</v>
      </c>
      <c r="C44" s="894" t="str">
        <f t="shared" ref="C44:D44" si="209">IF($B44="","",INDIRECT(ADDRESS($B44,C$1,1,,"Score")))</f>
        <v>220</v>
      </c>
      <c r="D44" s="419">
        <f t="shared" si="209"/>
        <v>4</v>
      </c>
      <c r="E44" s="669"/>
      <c r="F44" s="669"/>
      <c r="G44" s="927"/>
      <c r="H44" s="927"/>
      <c r="I44" s="928"/>
      <c r="J44" s="927" t="str">
        <f t="shared" ref="J44:L44" si="210">IF($B44="","",IF(ISBLANK(INDIRECT(ADDRESS($B44,J$1,1,,"Score"))),"",1))</f>
        <v/>
      </c>
      <c r="K44" s="927" t="str">
        <f t="shared" si="210"/>
        <v/>
      </c>
      <c r="L44" s="927" t="str">
        <f t="shared" si="210"/>
        <v/>
      </c>
      <c r="M44" s="419">
        <f t="shared" si="9"/>
        <v>1</v>
      </c>
      <c r="N44" s="669"/>
      <c r="O44" s="669"/>
      <c r="P44" s="419"/>
      <c r="Q44" s="669"/>
      <c r="R44" s="419" t="str">
        <f>IF($R43="","",IF(INDIRECT(ADDRESS($R43+1,S$1-1,1,,"Score"))="SP",$R43+1,""))</f>
        <v/>
      </c>
      <c r="S44" s="894" t="str">
        <f t="shared" ref="S44:T44" si="211">IF($R44="","",INDIRECT(ADDRESS($R44,S$1,1,,"Score")))</f>
        <v/>
      </c>
      <c r="T44" s="419" t="str">
        <f t="shared" si="211"/>
        <v/>
      </c>
      <c r="U44" s="669"/>
      <c r="V44" s="669"/>
      <c r="W44" s="927"/>
      <c r="X44" s="927"/>
      <c r="Y44" s="928"/>
      <c r="Z44" s="927" t="str">
        <f t="shared" ref="Z44:AB44" si="212">IF($R44="","",IF(ISBLANK(INDIRECT(ADDRESS($R44,Z$1,1,,"Score"))),"",1))</f>
        <v/>
      </c>
      <c r="AA44" s="927" t="str">
        <f t="shared" si="212"/>
        <v/>
      </c>
      <c r="AB44" s="927" t="str">
        <f t="shared" si="212"/>
        <v/>
      </c>
      <c r="AC44" s="419" t="str">
        <f t="shared" si="12"/>
        <v/>
      </c>
      <c r="AD44" s="669"/>
      <c r="AE44" s="669"/>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69" t="str">
        <f>IF(ISNA(MATCH($A45,'Game Clock'!A$11:A$48,0)),"",INDIRECT(ADDRESS(MATCH($A45,'Game Clock'!A$11:A$48,0)+ROW('Game Clock'!A$10),N$1,1,,"Game Clock")))</f>
        <v/>
      </c>
      <c r="O45" s="929" t="str">
        <f>IF(OR(N45="",N45=0),"",60*E45/N45)</f>
        <v/>
      </c>
      <c r="P45" s="419"/>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69">
        <f>A45+1</f>
        <v>23</v>
      </c>
      <c r="B47" s="419" t="str">
        <f>IF(ISNA(MATCH($A47,Score!A$4:A$41,0)),"",MATCH($A47,Score!A$4:A$41,0)+ROW(Score!A$3))</f>
        <v/>
      </c>
      <c r="C47" s="894" t="str">
        <f t="shared" ref="C47:D47" si="223">IF($B47="","",INDIRECT(ADDRESS($B47,C$1,1,,"Score")))</f>
        <v/>
      </c>
      <c r="D47" s="419" t="str">
        <f t="shared" si="223"/>
        <v/>
      </c>
      <c r="E47" s="669" t="str">
        <f>IF(B47="","",SUM(D47,D48))</f>
        <v/>
      </c>
      <c r="F47" s="669"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69" t="str">
        <f>IF(ISNA(MATCH($A47,'Game Clock'!A$11:A$48,0)),"",INDIRECT(ADDRESS(MATCH($A47,'Game Clock'!A$11:A$48,0)+ROW('Game Clock'!A$10),N$1,1,,"Game Clock")))</f>
        <v/>
      </c>
      <c r="O47" s="669" t="str">
        <f>IF(OR(N47="",N47=0),"",60*E47/N47)</f>
        <v/>
      </c>
      <c r="P47" s="419"/>
      <c r="Q47" s="669">
        <f>Q45+1</f>
        <v>23</v>
      </c>
      <c r="R47" s="419" t="str">
        <f>IF(ISNA(MATCH($Q47,Score!T$4:T$41,0)),"",MATCH($Q47,Score!T$4:T$41,0)++ROW(Score!T$3))</f>
        <v/>
      </c>
      <c r="S47" s="894" t="str">
        <f t="shared" ref="S47:T47" si="226">IF($R47="","",INDIRECT(ADDRESS($R47,S$1,1,,"Score")))</f>
        <v/>
      </c>
      <c r="T47" s="419" t="str">
        <f t="shared" si="226"/>
        <v/>
      </c>
      <c r="U47" s="669" t="str">
        <f>IF(R47="","",SUM(T47,T48))</f>
        <v/>
      </c>
      <c r="V47" s="669"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69" t="str">
        <f>N47</f>
        <v/>
      </c>
      <c r="AE47" s="669" t="str">
        <f>IF(OR(AD47="",AD47=0),"",60*U47/AD47)</f>
        <v/>
      </c>
    </row>
    <row r="48" ht="12.75" customHeight="1">
      <c r="A48" s="669"/>
      <c r="B48" s="419" t="str">
        <f>IF($B47="","",IF(INDIRECT(ADDRESS($B47+1,C$1-1,1,,"Score"))="SP",$B47+1,""))</f>
        <v/>
      </c>
      <c r="C48" s="894" t="str">
        <f t="shared" ref="C48:D48" si="229">IF($B48="","",INDIRECT(ADDRESS($B48,C$1,1,,"Score")))</f>
        <v/>
      </c>
      <c r="D48" s="419" t="str">
        <f t="shared" si="229"/>
        <v/>
      </c>
      <c r="E48" s="669"/>
      <c r="F48" s="669"/>
      <c r="G48" s="927"/>
      <c r="H48" s="927"/>
      <c r="I48" s="928"/>
      <c r="J48" s="927" t="str">
        <f t="shared" ref="J48:L48" si="230">IF($B48="","",IF(ISBLANK(INDIRECT(ADDRESS($B48,J$1,1,,"Score"))),"",1))</f>
        <v/>
      </c>
      <c r="K48" s="927" t="str">
        <f t="shared" si="230"/>
        <v/>
      </c>
      <c r="L48" s="927" t="str">
        <f t="shared" si="230"/>
        <v/>
      </c>
      <c r="M48" s="419" t="str">
        <f t="shared" si="9"/>
        <v/>
      </c>
      <c r="N48" s="669"/>
      <c r="O48" s="669"/>
      <c r="P48" s="419"/>
      <c r="Q48" s="669"/>
      <c r="R48" s="419" t="str">
        <f>IF($R47="","",IF(INDIRECT(ADDRESS($R47+1,S$1-1,1,,"Score"))="SP",$R47+1,""))</f>
        <v/>
      </c>
      <c r="S48" s="894" t="str">
        <f t="shared" ref="S48:T48" si="231">IF($R48="","",INDIRECT(ADDRESS($R48,S$1,1,,"Score")))</f>
        <v/>
      </c>
      <c r="T48" s="419" t="str">
        <f t="shared" si="231"/>
        <v/>
      </c>
      <c r="U48" s="669"/>
      <c r="V48" s="669"/>
      <c r="W48" s="927"/>
      <c r="X48" s="927"/>
      <c r="Y48" s="928"/>
      <c r="Z48" s="927" t="str">
        <f t="shared" ref="Z48:AB48" si="232">IF($R48="","",IF(ISBLANK(INDIRECT(ADDRESS($R48,Z$1,1,,"Score"))),"",1))</f>
        <v/>
      </c>
      <c r="AA48" s="927" t="str">
        <f t="shared" si="232"/>
        <v/>
      </c>
      <c r="AB48" s="927" t="str">
        <f t="shared" si="232"/>
        <v/>
      </c>
      <c r="AC48" s="419" t="str">
        <f t="shared" si="12"/>
        <v/>
      </c>
      <c r="AD48" s="669"/>
      <c r="AE48" s="669"/>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69">
        <f>A49+1</f>
        <v>25</v>
      </c>
      <c r="B51" s="419" t="str">
        <f>IF(ISNA(MATCH($A51,Score!A$4:A$41,0)),"",MATCH($A51,Score!A$4:A$41,0)+ROW(Score!A$3))</f>
        <v/>
      </c>
      <c r="C51" s="894" t="str">
        <f t="shared" ref="C51:D51" si="243">IF($B51="","",INDIRECT(ADDRESS($B51,C$1,1,,"Score")))</f>
        <v/>
      </c>
      <c r="D51" s="419"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69" t="str">
        <f>IF(ISNA(MATCH($A51,'Game Clock'!A$11:A$48,0)),"",INDIRECT(ADDRESS(MATCH($A51,'Game Clock'!A$11:A$48,0)+ROW('Game Clock'!A$10),N$1,1,,"Game Clock")))</f>
        <v/>
      </c>
      <c r="O51" s="669" t="str">
        <f>IF(OR(N51="",N51=0),"",60*E51/N51)</f>
        <v/>
      </c>
      <c r="P51" s="419"/>
      <c r="Q51" s="669">
        <f>Q49+1</f>
        <v>25</v>
      </c>
      <c r="R51" s="419" t="str">
        <f>IF(ISNA(MATCH($Q51,Score!T$4:T$41,0)),"",MATCH($Q51,Score!T$4:T$41,0)++ROW(Score!T$3))</f>
        <v/>
      </c>
      <c r="S51" s="894" t="str">
        <f t="shared" ref="S51:T51" si="246">IF($R51="","",INDIRECT(ADDRESS($R51,S$1,1,,"Score")))</f>
        <v/>
      </c>
      <c r="T51" s="419"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69" t="str">
        <f>N51</f>
        <v/>
      </c>
      <c r="AE51" s="669" t="str">
        <f>IF(OR(AD51="",AD51=0),"",60*U51/AD51)</f>
        <v/>
      </c>
    </row>
    <row r="52" ht="12.75" customHeight="1">
      <c r="A52" s="669"/>
      <c r="B52" s="419" t="str">
        <f>IF($B51="","",IF(INDIRECT(ADDRESS($B51+1,C$1-1,1,,"Score"))="SP",$B51+1,""))</f>
        <v/>
      </c>
      <c r="C52" s="894" t="str">
        <f t="shared" ref="C52:D52" si="249">IF($B52="","",INDIRECT(ADDRESS($B52,C$1,1,,"Score")))</f>
        <v/>
      </c>
      <c r="D52" s="419" t="str">
        <f t="shared" si="249"/>
        <v/>
      </c>
      <c r="E52" s="669"/>
      <c r="F52" s="669"/>
      <c r="G52" s="927"/>
      <c r="H52" s="927"/>
      <c r="I52" s="928"/>
      <c r="J52" s="927" t="str">
        <f t="shared" ref="J52:L52" si="250">IF($B52="","",IF(ISBLANK(INDIRECT(ADDRESS($B52,J$1,1,,"Score"))),"",1))</f>
        <v/>
      </c>
      <c r="K52" s="927" t="str">
        <f t="shared" si="250"/>
        <v/>
      </c>
      <c r="L52" s="927" t="str">
        <f t="shared" si="250"/>
        <v/>
      </c>
      <c r="M52" s="419" t="str">
        <f t="shared" si="9"/>
        <v/>
      </c>
      <c r="N52" s="669"/>
      <c r="O52" s="669"/>
      <c r="P52" s="419"/>
      <c r="Q52" s="669"/>
      <c r="R52" s="419" t="str">
        <f>IF($R51="","",IF(INDIRECT(ADDRESS($R51+1,S$1-1,1,,"Score"))="SP",$R51+1,""))</f>
        <v/>
      </c>
      <c r="S52" s="894" t="str">
        <f t="shared" ref="S52:T52" si="251">IF($R52="","",INDIRECT(ADDRESS($R52,S$1,1,,"Score")))</f>
        <v/>
      </c>
      <c r="T52" s="419" t="str">
        <f t="shared" si="251"/>
        <v/>
      </c>
      <c r="U52" s="669"/>
      <c r="V52" s="669"/>
      <c r="W52" s="927"/>
      <c r="X52" s="927"/>
      <c r="Y52" s="928"/>
      <c r="Z52" s="927" t="str">
        <f t="shared" ref="Z52:AB52" si="252">IF($R52="","",IF(ISBLANK(INDIRECT(ADDRESS($R52,Z$1,1,,"Score"))),"",1))</f>
        <v/>
      </c>
      <c r="AA52" s="927" t="str">
        <f t="shared" si="252"/>
        <v/>
      </c>
      <c r="AB52" s="927" t="str">
        <f t="shared" si="252"/>
        <v/>
      </c>
      <c r="AC52" s="419" t="str">
        <f t="shared" si="12"/>
        <v/>
      </c>
      <c r="AD52" s="669"/>
      <c r="AE52" s="669"/>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69">
        <f>A53+1</f>
        <v>27</v>
      </c>
      <c r="B55" s="419" t="str">
        <f>IF(ISNA(MATCH($A55,Score!A$4:A$41,0)),"",MATCH($A55,Score!A$4:A$41,0)+ROW(Score!A$3))</f>
        <v/>
      </c>
      <c r="C55" s="894" t="str">
        <f t="shared" ref="C55:D55" si="263">IF($B55="","",INDIRECT(ADDRESS($B55,C$1,1,,"Score")))</f>
        <v/>
      </c>
      <c r="D55" s="419"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69" t="str">
        <f>IF(ISNA(MATCH($A55,'Game Clock'!A$11:A$48,0)),"",INDIRECT(ADDRESS(MATCH($A55,'Game Clock'!A$11:A$48,0)+ROW('Game Clock'!A$10),N$1,1,,"Game Clock")))</f>
        <v/>
      </c>
      <c r="O55" s="669" t="str">
        <f>IF(OR(N55="",N55=0),"",60*E55/N55)</f>
        <v/>
      </c>
      <c r="P55" s="419"/>
      <c r="Q55" s="669">
        <f>Q53+1</f>
        <v>27</v>
      </c>
      <c r="R55" s="419" t="str">
        <f>IF(ISNA(MATCH($Q55,Score!T$4:T$41,0)),"",MATCH($Q55,Score!T$4:T$41,0)++ROW(Score!T$3))</f>
        <v/>
      </c>
      <c r="S55" s="894" t="str">
        <f t="shared" ref="S55:T55" si="266">IF($R55="","",INDIRECT(ADDRESS($R55,S$1,1,,"Score")))</f>
        <v/>
      </c>
      <c r="T55" s="419"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69" t="str">
        <f>N55</f>
        <v/>
      </c>
      <c r="AE55" s="669" t="str">
        <f>IF(OR(AD55="",AD55=0),"",60*U55/AD55)</f>
        <v/>
      </c>
    </row>
    <row r="56" ht="12.75" customHeight="1">
      <c r="A56" s="669"/>
      <c r="B56" s="419" t="str">
        <f>IF($B55="","",IF(INDIRECT(ADDRESS($B55+1,C$1-1,1,,"Score"))="SP",$B55+1,""))</f>
        <v/>
      </c>
      <c r="C56" s="894" t="str">
        <f t="shared" ref="C56:D56" si="269">IF($B56="","",INDIRECT(ADDRESS($B56,C$1,1,,"Score")))</f>
        <v/>
      </c>
      <c r="D56" s="419" t="str">
        <f t="shared" si="269"/>
        <v/>
      </c>
      <c r="E56" s="669"/>
      <c r="F56" s="669"/>
      <c r="G56" s="927"/>
      <c r="H56" s="927"/>
      <c r="I56" s="928"/>
      <c r="J56" s="927" t="str">
        <f t="shared" ref="J56:L56" si="270">IF($B56="","",IF(ISBLANK(INDIRECT(ADDRESS($B56,J$1,1,,"Score"))),"",1))</f>
        <v/>
      </c>
      <c r="K56" s="927" t="str">
        <f t="shared" si="270"/>
        <v/>
      </c>
      <c r="L56" s="927" t="str">
        <f t="shared" si="270"/>
        <v/>
      </c>
      <c r="M56" s="419" t="str">
        <f t="shared" si="9"/>
        <v/>
      </c>
      <c r="N56" s="669"/>
      <c r="O56" s="669"/>
      <c r="P56" s="419"/>
      <c r="Q56" s="669"/>
      <c r="R56" s="419" t="str">
        <f>IF($R55="","",IF(INDIRECT(ADDRESS($R55+1,S$1-1,1,,"Score"))="SP",$R55+1,""))</f>
        <v/>
      </c>
      <c r="S56" s="894" t="str">
        <f t="shared" ref="S56:T56" si="271">IF($R56="","",INDIRECT(ADDRESS($R56,S$1,1,,"Score")))</f>
        <v/>
      </c>
      <c r="T56" s="419" t="str">
        <f t="shared" si="271"/>
        <v/>
      </c>
      <c r="U56" s="669"/>
      <c r="V56" s="669"/>
      <c r="W56" s="927"/>
      <c r="X56" s="927"/>
      <c r="Y56" s="928"/>
      <c r="Z56" s="927" t="str">
        <f t="shared" ref="Z56:AB56" si="272">IF($R56="","",IF(ISBLANK(INDIRECT(ADDRESS($R56,Z$1,1,,"Score"))),"",1))</f>
        <v/>
      </c>
      <c r="AA56" s="927" t="str">
        <f t="shared" si="272"/>
        <v/>
      </c>
      <c r="AB56" s="927" t="str">
        <f t="shared" si="272"/>
        <v/>
      </c>
      <c r="AC56" s="419" t="str">
        <f t="shared" si="12"/>
        <v/>
      </c>
      <c r="AD56" s="669"/>
      <c r="AE56" s="669"/>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69">
        <f>A57+1</f>
        <v>29</v>
      </c>
      <c r="B59" s="419" t="str">
        <f>IF(ISNA(MATCH($A59,Score!A$4:A$41,0)),"",MATCH($A59,Score!A$4:A$41,0)+ROW(Score!A$3))</f>
        <v/>
      </c>
      <c r="C59" s="894" t="str">
        <f t="shared" ref="C59:D59" si="283">IF($B59="","",INDIRECT(ADDRESS($B59,C$1,1,,"Score")))</f>
        <v/>
      </c>
      <c r="D59" s="419"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69" t="str">
        <f>IF(ISNA(MATCH($A59,'Game Clock'!A$11:A$48,0)),"",INDIRECT(ADDRESS(MATCH($A59,'Game Clock'!A$11:A$48,0)+ROW('Game Clock'!A$10),N$1,1,,"Game Clock")))</f>
        <v/>
      </c>
      <c r="O59" s="669" t="str">
        <f>IF(OR(N59="",N59=0),"",60*E59/N59)</f>
        <v/>
      </c>
      <c r="P59" s="419"/>
      <c r="Q59" s="669">
        <f>Q57+1</f>
        <v>29</v>
      </c>
      <c r="R59" s="419" t="str">
        <f>IF(ISNA(MATCH($Q59,Score!T$4:T$41,0)),"",MATCH($Q59,Score!T$4:T$41,0)++ROW(Score!T$3))</f>
        <v/>
      </c>
      <c r="S59" s="894" t="str">
        <f t="shared" ref="S59:T59" si="286">IF($R59="","",INDIRECT(ADDRESS($R59,S$1,1,,"Score")))</f>
        <v/>
      </c>
      <c r="T59" s="419"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69" t="str">
        <f>N59</f>
        <v/>
      </c>
      <c r="AE59" s="669" t="str">
        <f>IF(OR(AD59="",AD59=0),"",60*U59/AD59)</f>
        <v/>
      </c>
    </row>
    <row r="60" ht="12.75" customHeight="1">
      <c r="A60" s="669"/>
      <c r="B60" s="419" t="str">
        <f>IF($B59="","",IF(INDIRECT(ADDRESS($B59+1,C$1-1,1,,"Score"))="SP",$B59+1,""))</f>
        <v/>
      </c>
      <c r="C60" s="894" t="str">
        <f t="shared" ref="C60:D60" si="289">IF($B60="","",INDIRECT(ADDRESS($B60,C$1,1,,"Score")))</f>
        <v/>
      </c>
      <c r="D60" s="419" t="str">
        <f t="shared" si="289"/>
        <v/>
      </c>
      <c r="E60" s="669"/>
      <c r="F60" s="669"/>
      <c r="G60" s="927"/>
      <c r="H60" s="927"/>
      <c r="I60" s="928"/>
      <c r="J60" s="927" t="str">
        <f t="shared" ref="J60:L60" si="290">IF($B60="","",IF(ISBLANK(INDIRECT(ADDRESS($B60,J$1,1,,"Score"))),"",1))</f>
        <v/>
      </c>
      <c r="K60" s="927" t="str">
        <f t="shared" si="290"/>
        <v/>
      </c>
      <c r="L60" s="927" t="str">
        <f t="shared" si="290"/>
        <v/>
      </c>
      <c r="M60" s="419" t="str">
        <f t="shared" si="9"/>
        <v/>
      </c>
      <c r="N60" s="669"/>
      <c r="O60" s="669"/>
      <c r="P60" s="419"/>
      <c r="Q60" s="669"/>
      <c r="R60" s="419" t="str">
        <f>IF($R59="","",IF(INDIRECT(ADDRESS($R59+1,S$1-1,1,,"Score"))="SP",$R59+1,""))</f>
        <v/>
      </c>
      <c r="S60" s="894" t="str">
        <f t="shared" ref="S60:T60" si="291">IF($R60="","",INDIRECT(ADDRESS($R60,S$1,1,,"Score")))</f>
        <v/>
      </c>
      <c r="T60" s="419" t="str">
        <f t="shared" si="291"/>
        <v/>
      </c>
      <c r="U60" s="669"/>
      <c r="V60" s="669"/>
      <c r="W60" s="927"/>
      <c r="X60" s="927"/>
      <c r="Y60" s="928"/>
      <c r="Z60" s="927" t="str">
        <f t="shared" ref="Z60:AB60" si="292">IF($R60="","",IF(ISBLANK(INDIRECT(ADDRESS($R60,Z$1,1,,"Score"))),"",1))</f>
        <v/>
      </c>
      <c r="AA60" s="927" t="str">
        <f t="shared" si="292"/>
        <v/>
      </c>
      <c r="AB60" s="927" t="str">
        <f t="shared" si="292"/>
        <v/>
      </c>
      <c r="AC60" s="419" t="str">
        <f t="shared" si="12"/>
        <v/>
      </c>
      <c r="AD60" s="669"/>
      <c r="AE60" s="669"/>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69">
        <f>A61+1</f>
        <v>31</v>
      </c>
      <c r="B63" s="419" t="str">
        <f>IF(ISNA(MATCH($A63,Score!A$4:A$41,0)),"",MATCH($A63,Score!A$4:A$41,0)+ROW(Score!A$3))</f>
        <v/>
      </c>
      <c r="C63" s="894" t="str">
        <f t="shared" ref="C63:D63" si="303">IF($B63="","",INDIRECT(ADDRESS($B63,C$1,1,,"Score")))</f>
        <v/>
      </c>
      <c r="D63" s="419"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69" t="str">
        <f>IF(ISNA(MATCH($A63,'Game Clock'!A$11:A$48,0)),"",INDIRECT(ADDRESS(MATCH($A63,'Game Clock'!A$11:A$48,0)+ROW('Game Clock'!A$10),N$1,1,,"Game Clock")))</f>
        <v/>
      </c>
      <c r="O63" s="669" t="str">
        <f>IF(OR(N63="",N63=0),"",60*E63/N63)</f>
        <v/>
      </c>
      <c r="P63" s="419"/>
      <c r="Q63" s="669">
        <f>Q61+1</f>
        <v>31</v>
      </c>
      <c r="R63" s="419" t="str">
        <f>IF(ISNA(MATCH($Q63,Score!T$4:T$41,0)),"",MATCH($Q63,Score!T$4:T$41,0)++ROW(Score!T$3))</f>
        <v/>
      </c>
      <c r="S63" s="894" t="str">
        <f t="shared" ref="S63:T63" si="306">IF($R63="","",INDIRECT(ADDRESS($R63,S$1,1,,"Score")))</f>
        <v/>
      </c>
      <c r="T63" s="419"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69" t="str">
        <f>N63</f>
        <v/>
      </c>
      <c r="AE63" s="669" t="str">
        <f>IF(OR(AD63="",AD63=0),"",60*U63/AD63)</f>
        <v/>
      </c>
    </row>
    <row r="64" ht="12.75" customHeight="1">
      <c r="A64" s="669"/>
      <c r="B64" s="419" t="str">
        <f>IF($B63="","",IF(INDIRECT(ADDRESS($B63+1,C$1-1,1,,"Score"))="SP",$B63+1,""))</f>
        <v/>
      </c>
      <c r="C64" s="894" t="str">
        <f t="shared" ref="C64:D64" si="309">IF($B64="","",INDIRECT(ADDRESS($B64,C$1,1,,"Score")))</f>
        <v/>
      </c>
      <c r="D64" s="419" t="str">
        <f t="shared" si="309"/>
        <v/>
      </c>
      <c r="E64" s="669"/>
      <c r="F64" s="669"/>
      <c r="G64" s="927"/>
      <c r="H64" s="927"/>
      <c r="I64" s="928"/>
      <c r="J64" s="927" t="str">
        <f t="shared" ref="J64:L64" si="310">IF($B64="","",IF(ISBLANK(INDIRECT(ADDRESS($B64,J$1,1,,"Score"))),"",1))</f>
        <v/>
      </c>
      <c r="K64" s="927" t="str">
        <f t="shared" si="310"/>
        <v/>
      </c>
      <c r="L64" s="927" t="str">
        <f t="shared" si="310"/>
        <v/>
      </c>
      <c r="M64" s="419" t="str">
        <f t="shared" si="9"/>
        <v/>
      </c>
      <c r="N64" s="669"/>
      <c r="O64" s="669"/>
      <c r="P64" s="419"/>
      <c r="Q64" s="669"/>
      <c r="R64" s="419" t="str">
        <f>IF($R63="","",IF(INDIRECT(ADDRESS($R63+1,S$1-1,1,,"Score"))="SP",$R63+1,""))</f>
        <v/>
      </c>
      <c r="S64" s="894" t="str">
        <f t="shared" ref="S64:T64" si="311">IF($R64="","",INDIRECT(ADDRESS($R64,S$1,1,,"Score")))</f>
        <v/>
      </c>
      <c r="T64" s="419" t="str">
        <f t="shared" si="311"/>
        <v/>
      </c>
      <c r="U64" s="669"/>
      <c r="V64" s="669"/>
      <c r="W64" s="927"/>
      <c r="X64" s="927"/>
      <c r="Y64" s="928"/>
      <c r="Z64" s="927" t="str">
        <f t="shared" ref="Z64:AB64" si="312">IF($R64="","",IF(ISBLANK(INDIRECT(ADDRESS($R64,Z$1,1,,"Score"))),"",1))</f>
        <v/>
      </c>
      <c r="AA64" s="927" t="str">
        <f t="shared" si="312"/>
        <v/>
      </c>
      <c r="AB64" s="927" t="str">
        <f t="shared" si="312"/>
        <v/>
      </c>
      <c r="AC64" s="419" t="str">
        <f t="shared" si="12"/>
        <v/>
      </c>
      <c r="AD64" s="669"/>
      <c r="AE64" s="669"/>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69">
        <f>A65+1</f>
        <v>33</v>
      </c>
      <c r="B67" s="419" t="str">
        <f>IF(ISNA(MATCH($A67,Score!A$4:A$41,0)),"",MATCH($A67,Score!A$4:A$41,0)+ROW(Score!A$3))</f>
        <v/>
      </c>
      <c r="C67" s="894" t="str">
        <f t="shared" ref="C67:D67" si="323">IF($B67="","",INDIRECT(ADDRESS($B67,C$1,1,,"Score")))</f>
        <v/>
      </c>
      <c r="D67" s="419"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69" t="str">
        <f>IF(ISNA(MATCH($A67,'Game Clock'!A$11:A$48,0)),"",INDIRECT(ADDRESS(MATCH($A67,'Game Clock'!A$11:A$48,0)+ROW('Game Clock'!A$10),N$1,1,,"Game Clock")))</f>
        <v/>
      </c>
      <c r="O67" s="669" t="str">
        <f>IF(OR(N67="",N67=0),"",60*E67/N67)</f>
        <v/>
      </c>
      <c r="P67" s="419"/>
      <c r="Q67" s="669">
        <f>Q65+1</f>
        <v>33</v>
      </c>
      <c r="R67" s="419" t="str">
        <f>IF(ISNA(MATCH($Q67,Score!T$4:T$41,0)),"",MATCH($Q67,Score!T$4:T$41,0)++ROW(Score!T$3))</f>
        <v/>
      </c>
      <c r="S67" s="894" t="str">
        <f t="shared" ref="S67:T67" si="326">IF($R67="","",INDIRECT(ADDRESS($R67,S$1,1,,"Score")))</f>
        <v/>
      </c>
      <c r="T67" s="419"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69" t="str">
        <f>N67</f>
        <v/>
      </c>
      <c r="AE67" s="669" t="str">
        <f>IF(OR(AD67="",AD67=0),"",60*U67/AD67)</f>
        <v/>
      </c>
    </row>
    <row r="68" ht="12.75" customHeight="1">
      <c r="A68" s="669"/>
      <c r="B68" s="419" t="str">
        <f>IF($B67="","",IF(INDIRECT(ADDRESS($B67+1,C$1-1,1,,"Score"))="SP",$B67+1,""))</f>
        <v/>
      </c>
      <c r="C68" s="894" t="str">
        <f t="shared" ref="C68:D68" si="329">IF($B68="","",INDIRECT(ADDRESS($B68,C$1,1,,"Score")))</f>
        <v/>
      </c>
      <c r="D68" s="419" t="str">
        <f t="shared" si="329"/>
        <v/>
      </c>
      <c r="E68" s="669"/>
      <c r="F68" s="669"/>
      <c r="G68" s="927"/>
      <c r="H68" s="927"/>
      <c r="I68" s="928"/>
      <c r="J68" s="927" t="str">
        <f t="shared" ref="J68:L68" si="330">IF($B68="","",IF(ISBLANK(INDIRECT(ADDRESS($B68,J$1,1,,"Score"))),"",1))</f>
        <v/>
      </c>
      <c r="K68" s="927" t="str">
        <f t="shared" si="330"/>
        <v/>
      </c>
      <c r="L68" s="927" t="str">
        <f t="shared" si="330"/>
        <v/>
      </c>
      <c r="M68" s="419" t="str">
        <f t="shared" si="9"/>
        <v/>
      </c>
      <c r="N68" s="669"/>
      <c r="O68" s="669"/>
      <c r="P68" s="419"/>
      <c r="Q68" s="669"/>
      <c r="R68" s="419" t="str">
        <f>IF($R67="","",IF(INDIRECT(ADDRESS($R67+1,S$1-1,1,,"Score"))="SP",$R67+1,""))</f>
        <v/>
      </c>
      <c r="S68" s="894" t="str">
        <f t="shared" ref="S68:T68" si="331">IF($R68="","",INDIRECT(ADDRESS($R68,S$1,1,,"Score")))</f>
        <v/>
      </c>
      <c r="T68" s="419" t="str">
        <f t="shared" si="331"/>
        <v/>
      </c>
      <c r="U68" s="669"/>
      <c r="V68" s="669"/>
      <c r="W68" s="927"/>
      <c r="X68" s="927"/>
      <c r="Y68" s="928"/>
      <c r="Z68" s="927" t="str">
        <f t="shared" ref="Z68:AB68" si="332">IF($R68="","",IF(ISBLANK(INDIRECT(ADDRESS($R68,Z$1,1,,"Score"))),"",1))</f>
        <v/>
      </c>
      <c r="AA68" s="927" t="str">
        <f t="shared" si="332"/>
        <v/>
      </c>
      <c r="AB68" s="927" t="str">
        <f t="shared" si="332"/>
        <v/>
      </c>
      <c r="AC68" s="419" t="str">
        <f t="shared" si="12"/>
        <v/>
      </c>
      <c r="AD68" s="669"/>
      <c r="AE68" s="669"/>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69">
        <f>A69+1</f>
        <v>35</v>
      </c>
      <c r="B71" s="419" t="str">
        <f>IF(ISNA(MATCH($A71,Score!A$4:A$41,0)),"",MATCH($A71,Score!A$4:A$41,0)+ROW(Score!A$3))</f>
        <v/>
      </c>
      <c r="C71" s="894" t="str">
        <f t="shared" ref="C71:D71" si="343">IF($B71="","",INDIRECT(ADDRESS($B71,C$1,1,,"Score")))</f>
        <v/>
      </c>
      <c r="D71" s="419"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69" t="str">
        <f>IF(ISNA(MATCH($A71,'Game Clock'!A$11:A$48,0)),"",INDIRECT(ADDRESS(MATCH($A71,'Game Clock'!A$11:A$48,0)+ROW('Game Clock'!A$10),N$1,1,,"Game Clock")))</f>
        <v/>
      </c>
      <c r="O71" s="669" t="str">
        <f>IF(OR(N71="",N71=0),"",60*E71/N71)</f>
        <v/>
      </c>
      <c r="P71" s="419"/>
      <c r="Q71" s="669">
        <f>Q69+1</f>
        <v>35</v>
      </c>
      <c r="R71" s="419" t="str">
        <f>IF(ISNA(MATCH($Q71,Score!T$4:T$41,0)),"",MATCH($Q71,Score!T$4:T$41,0)++ROW(Score!T$3))</f>
        <v/>
      </c>
      <c r="S71" s="894" t="str">
        <f t="shared" ref="S71:T71" si="346">IF($R71="","",INDIRECT(ADDRESS($R71,S$1,1,,"Score")))</f>
        <v/>
      </c>
      <c r="T71" s="419"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69" t="str">
        <f>N71</f>
        <v/>
      </c>
      <c r="AE71" s="669" t="str">
        <f>IF(OR(AD71="",AD71=0),"",60*U71/AD71)</f>
        <v/>
      </c>
    </row>
    <row r="72" ht="12.75" customHeight="1">
      <c r="A72" s="669"/>
      <c r="B72" s="419" t="str">
        <f>IF($B71="","",IF(INDIRECT(ADDRESS($B71+1,C$1-1,1,,"Score"))="SP",$B71+1,""))</f>
        <v/>
      </c>
      <c r="C72" s="894" t="str">
        <f t="shared" ref="C72:D72" si="349">IF($B72="","",INDIRECT(ADDRESS($B72,C$1,1,,"Score")))</f>
        <v/>
      </c>
      <c r="D72" s="419" t="str">
        <f t="shared" si="349"/>
        <v/>
      </c>
      <c r="E72" s="669"/>
      <c r="F72" s="669"/>
      <c r="G72" s="927"/>
      <c r="H72" s="927"/>
      <c r="I72" s="928"/>
      <c r="J72" s="927" t="str">
        <f t="shared" ref="J72:L72" si="350">IF($B72="","",IF(ISBLANK(INDIRECT(ADDRESS($B72,J$1,1,,"Score"))),"",1))</f>
        <v/>
      </c>
      <c r="K72" s="927" t="str">
        <f t="shared" si="350"/>
        <v/>
      </c>
      <c r="L72" s="927" t="str">
        <f t="shared" si="350"/>
        <v/>
      </c>
      <c r="M72" s="419" t="str">
        <f t="shared" si="9"/>
        <v/>
      </c>
      <c r="N72" s="669"/>
      <c r="O72" s="669"/>
      <c r="P72" s="419"/>
      <c r="Q72" s="669"/>
      <c r="R72" s="419" t="str">
        <f>IF($R71="","",IF(INDIRECT(ADDRESS($R71+1,S$1-1,1,,"Score"))="SP",$R71+1,""))</f>
        <v/>
      </c>
      <c r="S72" s="894" t="str">
        <f t="shared" ref="S72:T72" si="351">IF($R72="","",INDIRECT(ADDRESS($R72,S$1,1,,"Score")))</f>
        <v/>
      </c>
      <c r="T72" s="419" t="str">
        <f t="shared" si="351"/>
        <v/>
      </c>
      <c r="U72" s="669"/>
      <c r="V72" s="669"/>
      <c r="W72" s="927"/>
      <c r="X72" s="927"/>
      <c r="Y72" s="928"/>
      <c r="Z72" s="927" t="str">
        <f t="shared" ref="Z72:AB72" si="352">IF($R72="","",IF(ISBLANK(INDIRECT(ADDRESS($R72,Z$1,1,,"Score"))),"",1))</f>
        <v/>
      </c>
      <c r="AA72" s="927" t="str">
        <f t="shared" si="352"/>
        <v/>
      </c>
      <c r="AB72" s="927" t="str">
        <f t="shared" si="352"/>
        <v/>
      </c>
      <c r="AC72" s="419" t="str">
        <f t="shared" si="12"/>
        <v/>
      </c>
      <c r="AD72" s="669"/>
      <c r="AE72" s="669"/>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69">
        <f>A73+1</f>
        <v>37</v>
      </c>
      <c r="B75" s="419" t="str">
        <f>IF(ISNA(MATCH($A75,Score!A$4:A$41,0)),"",MATCH($A75,Score!A$4:A$41,0)+ROW(Score!A$3))</f>
        <v/>
      </c>
      <c r="C75" s="894" t="str">
        <f t="shared" ref="C75:D75" si="363">IF($B75="","",INDIRECT(ADDRESS($B75,C$1,1,,"Score")))</f>
        <v/>
      </c>
      <c r="D75" s="419"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69" t="str">
        <f>IF(ISNA(MATCH($A75,'Game Clock'!A$11:A$48,0)),"",INDIRECT(ADDRESS(MATCH($A75,'Game Clock'!A$11:A$48,0)+ROW('Game Clock'!A$10),N$1,1,,"Game Clock")))</f>
        <v/>
      </c>
      <c r="O75" s="669" t="str">
        <f>IF(OR(N75="",N75=0),"",60*E75/N75)</f>
        <v/>
      </c>
      <c r="P75" s="419"/>
      <c r="Q75" s="669">
        <f>Q73+1</f>
        <v>37</v>
      </c>
      <c r="R75" s="419" t="str">
        <f>IF(ISNA(MATCH($Q75,Score!T$4:T$41,0)),"",MATCH($Q75,Score!T$4:T$41,0)++ROW(Score!T$3))</f>
        <v/>
      </c>
      <c r="S75" s="894" t="str">
        <f t="shared" ref="S75:T75" si="366">IF($R75="","",INDIRECT(ADDRESS($R75,S$1,1,,"Score")))</f>
        <v/>
      </c>
      <c r="T75" s="419"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69" t="str">
        <f>N75</f>
        <v/>
      </c>
      <c r="AE75" s="669" t="str">
        <f>IF(OR(AD75="",AD75=0),"",60*U75/AD75)</f>
        <v/>
      </c>
    </row>
    <row r="76" ht="12.75" customHeight="1">
      <c r="A76" s="669"/>
      <c r="B76" s="419" t="str">
        <f>IF($B75="","",IF(INDIRECT(ADDRESS($B75+1,C$1-1,1,,"Score"))="SP",$B75+1,""))</f>
        <v/>
      </c>
      <c r="C76" s="894" t="str">
        <f t="shared" ref="C76:D76" si="369">IF($B76="","",INDIRECT(ADDRESS($B76,C$1,1,,"Score")))</f>
        <v/>
      </c>
      <c r="D76" s="419" t="str">
        <f t="shared" si="369"/>
        <v/>
      </c>
      <c r="E76" s="669"/>
      <c r="F76" s="669"/>
      <c r="G76" s="927"/>
      <c r="H76" s="927"/>
      <c r="I76" s="928"/>
      <c r="J76" s="927" t="str">
        <f t="shared" ref="J76:L76" si="370">IF($B76="","",IF(ISBLANK(INDIRECT(ADDRESS($B76,J$1,1,,"Score"))),"",1))</f>
        <v/>
      </c>
      <c r="K76" s="927" t="str">
        <f t="shared" si="370"/>
        <v/>
      </c>
      <c r="L76" s="927" t="str">
        <f t="shared" si="370"/>
        <v/>
      </c>
      <c r="M76" s="419" t="str">
        <f t="shared" si="9"/>
        <v/>
      </c>
      <c r="N76" s="669"/>
      <c r="O76" s="669"/>
      <c r="P76" s="419"/>
      <c r="Q76" s="669"/>
      <c r="R76" s="419" t="str">
        <f>IF($R75="","",IF(INDIRECT(ADDRESS($R75+1,S$1-1,1,,"Score"))="SP",$R75+1,""))</f>
        <v/>
      </c>
      <c r="S76" s="894" t="str">
        <f t="shared" ref="S76:T76" si="371">IF($R76="","",INDIRECT(ADDRESS($R76,S$1,1,,"Score")))</f>
        <v/>
      </c>
      <c r="T76" s="419" t="str">
        <f t="shared" si="371"/>
        <v/>
      </c>
      <c r="U76" s="669"/>
      <c r="V76" s="669"/>
      <c r="W76" s="927"/>
      <c r="X76" s="927"/>
      <c r="Y76" s="928"/>
      <c r="Z76" s="927" t="str">
        <f t="shared" ref="Z76:AB76" si="372">IF($R76="","",IF(ISBLANK(INDIRECT(ADDRESS($R76,Z$1,1,,"Score"))),"",1))</f>
        <v/>
      </c>
      <c r="AA76" s="927" t="str">
        <f t="shared" si="372"/>
        <v/>
      </c>
      <c r="AB76" s="927" t="str">
        <f t="shared" si="372"/>
        <v/>
      </c>
      <c r="AC76" s="419" t="str">
        <f t="shared" si="12"/>
        <v/>
      </c>
      <c r="AD76" s="669"/>
      <c r="AE76" s="669"/>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456</v>
      </c>
      <c r="B79" s="936"/>
      <c r="C79" s="936"/>
      <c r="D79" s="936"/>
      <c r="E79" s="937">
        <f>SUM(E3:E78)</f>
        <v>58</v>
      </c>
      <c r="F79" s="938"/>
      <c r="G79" s="926">
        <f t="shared" ref="G79:H79" si="383">SUM(G3:G78)</f>
        <v>1</v>
      </c>
      <c r="H79" s="926">
        <f t="shared" si="383"/>
        <v>5</v>
      </c>
      <c r="I79" s="925"/>
      <c r="J79" s="939">
        <f t="shared" ref="J79:K79" si="384">SUM(J3:J78)</f>
        <v>3</v>
      </c>
      <c r="K79" s="939">
        <f t="shared" si="384"/>
        <v>1</v>
      </c>
      <c r="L79" s="926">
        <f>SUM(L3,L5,L7,L9,L11,L13,L15,L17,L19,L21,L23,L25,L27,L29,L31,L33,L35,L37,L39,L41,L43,L45,L47,L49,L51,L53,L55,L57,L59,L61,L63,L65,L67,L69,L71,L73,L75,L77)</f>
        <v>4</v>
      </c>
      <c r="M79" s="936"/>
      <c r="N79" s="938" t="s">
        <v>457</v>
      </c>
      <c r="O79" s="937" t="str">
        <f>IF(COUNT(O3:O78),AVERAGE(O3:O78),"")</f>
        <v/>
      </c>
      <c r="P79" s="419"/>
      <c r="Q79" s="935" t="s">
        <v>456</v>
      </c>
      <c r="R79" s="936"/>
      <c r="S79" s="936"/>
      <c r="T79" s="936"/>
      <c r="U79" s="937">
        <f>SUM(U3:U78)</f>
        <v>188</v>
      </c>
      <c r="V79" s="938"/>
      <c r="W79" s="926">
        <f t="shared" ref="W79:X79" si="385">SUM(W3:W78)</f>
        <v>2</v>
      </c>
      <c r="X79" s="926">
        <f t="shared" si="385"/>
        <v>16</v>
      </c>
      <c r="Y79" s="925"/>
      <c r="Z79" s="939">
        <f t="shared" ref="Z79:AA79" si="386">SUM(Z3:Z78)</f>
        <v>14</v>
      </c>
      <c r="AA79" s="939">
        <f t="shared" si="386"/>
        <v>1</v>
      </c>
      <c r="AB79" s="926">
        <f t="shared" ref="AB79:AB80" si="387">SUM(AB3,AB5,AB7,AB9,AB11,AB13,AB15,AB17,AB19,AB21,AB23,AB25,AB27,AB29,AB31,AB33,AB35,AB37,AB39,AB41,AB43,AB45,AB47,AB49,AB51,AB53,AB55,AB57,AB59,AB61, AB63, AB65, AB67, AB69, AB71,AB73,AB75,AB77)</f>
        <v>1</v>
      </c>
      <c r="AC79" s="936"/>
      <c r="AD79" s="938" t="s">
        <v>457</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442</v>
      </c>
      <c r="B86" s="921" t="s">
        <v>439</v>
      </c>
      <c r="C86" s="922"/>
      <c r="D86" s="922"/>
      <c r="E86" s="923"/>
      <c r="F86" s="923"/>
      <c r="G86" s="924"/>
      <c r="H86" s="924"/>
      <c r="I86" s="925"/>
      <c r="J86" s="924"/>
      <c r="K86" s="924"/>
      <c r="L86" s="924"/>
      <c r="M86" s="922"/>
      <c r="N86" s="922"/>
      <c r="O86" s="923"/>
      <c r="P86" s="419"/>
      <c r="Q86" s="921" t="s">
        <v>442</v>
      </c>
      <c r="R86" s="921" t="s">
        <v>445</v>
      </c>
      <c r="S86" s="922"/>
      <c r="T86" s="922"/>
      <c r="U86" s="923"/>
      <c r="V86" s="923"/>
      <c r="W86" s="924"/>
      <c r="X86" s="924"/>
      <c r="Y86" s="925"/>
      <c r="Z86" s="924"/>
      <c r="AA86" s="924"/>
      <c r="AB86" s="924"/>
      <c r="AC86" s="922"/>
      <c r="AD86" s="922"/>
      <c r="AE86" s="923"/>
    </row>
    <row r="87" ht="12.75" customHeight="1">
      <c r="A87" s="923" t="s">
        <v>366</v>
      </c>
      <c r="B87" s="923" t="s">
        <v>446</v>
      </c>
      <c r="C87" s="923" t="s">
        <v>280</v>
      </c>
      <c r="D87" s="923" t="s">
        <v>447</v>
      </c>
      <c r="E87" s="923" t="s">
        <v>448</v>
      </c>
      <c r="F87" s="923" t="s">
        <v>449</v>
      </c>
      <c r="G87" s="926" t="s">
        <v>450</v>
      </c>
      <c r="H87" s="926" t="s">
        <v>431</v>
      </c>
      <c r="I87" s="925" t="s">
        <v>451</v>
      </c>
      <c r="J87" s="926" t="s">
        <v>452</v>
      </c>
      <c r="K87" s="926" t="s">
        <v>453</v>
      </c>
      <c r="L87" s="926" t="s">
        <v>209</v>
      </c>
      <c r="M87" s="923" t="s">
        <v>221</v>
      </c>
      <c r="N87" s="923" t="s">
        <v>454</v>
      </c>
      <c r="O87" s="923" t="s">
        <v>455</v>
      </c>
      <c r="P87" s="419"/>
      <c r="Q87" s="923" t="s">
        <v>366</v>
      </c>
      <c r="R87" s="923" t="s">
        <v>446</v>
      </c>
      <c r="S87" s="923" t="s">
        <v>280</v>
      </c>
      <c r="T87" s="923" t="s">
        <v>447</v>
      </c>
      <c r="U87" s="923" t="s">
        <v>448</v>
      </c>
      <c r="V87" s="923" t="s">
        <v>449</v>
      </c>
      <c r="W87" s="926" t="s">
        <v>450</v>
      </c>
      <c r="X87" s="926" t="s">
        <v>431</v>
      </c>
      <c r="Y87" s="925" t="s">
        <v>451</v>
      </c>
      <c r="Z87" s="926" t="s">
        <v>452</v>
      </c>
      <c r="AA87" s="926" t="s">
        <v>453</v>
      </c>
      <c r="AB87" s="926" t="s">
        <v>209</v>
      </c>
      <c r="AC87" s="923" t="s">
        <v>221</v>
      </c>
      <c r="AD87" s="923" t="s">
        <v>454</v>
      </c>
      <c r="AE87" s="923" t="s">
        <v>455</v>
      </c>
    </row>
    <row r="88" ht="12.75" customHeight="1">
      <c r="A88" s="669">
        <v>1.0</v>
      </c>
      <c r="B88" s="419">
        <f>IF(ISNA(MATCH($A88,Score!A$46:A$83,0)),"",MATCH($A88,Score!A$46:A$83,0)+ROW(Score!A$45))</f>
        <v>46</v>
      </c>
      <c r="C88" s="894" t="str">
        <f t="shared" ref="C88:D88" si="388">IF($B88="","",INDIRECT(ADDRESS($B88,C$1,1,,"Score")))</f>
        <v>271</v>
      </c>
      <c r="D88" s="419">
        <f t="shared" si="388"/>
        <v>0</v>
      </c>
      <c r="E88" s="669">
        <f>IF(B88="","",SUM(D88,D89))</f>
        <v>0</v>
      </c>
      <c r="F88" s="669">
        <f>IF(B88="","",E88-U88)</f>
        <v>0</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19">
        <f t="shared" ref="M88:M163" si="396">IF($B88="","",INDIRECT(ADDRESS($B88,M$1,1,,"Score")))</f>
        <v>1</v>
      </c>
      <c r="N88" s="669" t="str">
        <f>IF(ISNA(MATCH($A88,'Game Clock'!A$62:A$99,0)),"",INDIRECT(ADDRESS(MATCH($A88,'Game Clock'!A$62:A$99,0)+ROW('Game Clock'!A$61),N$1,1,,"Game Clock")))</f>
        <v/>
      </c>
      <c r="O88" s="669" t="str">
        <f>IF(OR(N88="",N88=0),"",60*E88/N88)</f>
        <v/>
      </c>
      <c r="P88" s="419"/>
      <c r="Q88" s="669">
        <v>1.0</v>
      </c>
      <c r="R88" s="419">
        <f>IF(ISNA(MATCH($Q88,Score!T$46:T$83,0)),"",MATCH($Q88,Score!T$46:T$83,0)+ROW(Score!T$45))</f>
        <v>46</v>
      </c>
      <c r="S88" s="894" t="str">
        <f t="shared" ref="S88:T88" si="391">IF($R88="","",INDIRECT(ADDRESS($R88,S$1,1,,"Score")))</f>
        <v>101</v>
      </c>
      <c r="T88" s="419">
        <f t="shared" si="391"/>
        <v>0</v>
      </c>
      <c r="U88" s="669">
        <f>IF(R88="","",SUM(T88,T89))</f>
        <v>0</v>
      </c>
      <c r="V88" s="669">
        <f>IF(R88="","",U88-E88)</f>
        <v>0</v>
      </c>
      <c r="W88" s="927" t="str">
        <f t="shared" ref="W88:X88" si="392">IF($R88="","",IF(ISBLANK(INDIRECT(ADDRESS($R88,W$1,1,,"Score"))),"",1))</f>
        <v/>
      </c>
      <c r="X88" s="927">
        <f t="shared" si="392"/>
        <v>1</v>
      </c>
      <c r="Y88" s="928">
        <f>IF(X88=1,V88,"")</f>
        <v>0</v>
      </c>
      <c r="Z88" s="927">
        <f t="shared" ref="Z88:AB88" si="393">IF($R88="","",IF(ISBLANK(INDIRECT(ADDRESS($R88,Z$1,1,,"Score"))),"",1))</f>
        <v>1</v>
      </c>
      <c r="AA88" s="927" t="str">
        <f t="shared" si="393"/>
        <v/>
      </c>
      <c r="AB88" s="927" t="str">
        <f t="shared" si="393"/>
        <v/>
      </c>
      <c r="AC88" s="419">
        <f t="shared" ref="AC88:AC163" si="399">IF($R88="","",INDIRECT(ADDRESS($R88,AC$1,1,,"Score")))</f>
        <v>1</v>
      </c>
      <c r="AD88" s="669" t="str">
        <f>N88</f>
        <v/>
      </c>
      <c r="AE88" s="669" t="str">
        <f>IF(OR(AD88="",AD88=0),"",60*U88/AD88)</f>
        <v/>
      </c>
    </row>
    <row r="89" ht="12.75" customHeight="1">
      <c r="A89" s="669"/>
      <c r="B89" s="419" t="str">
        <f>IF($B88="","",IF(INDIRECT(ADDRESS($B88+1,C$1-1,1,,"Score"))="SP",$B88+1,""))</f>
        <v/>
      </c>
      <c r="C89" s="894" t="str">
        <f t="shared" ref="C89:D89" si="394">IF($B89="","",INDIRECT(ADDRESS($B89,C$1,1,,"Score")))</f>
        <v/>
      </c>
      <c r="D89" s="419" t="str">
        <f t="shared" si="394"/>
        <v/>
      </c>
      <c r="E89" s="669"/>
      <c r="F89" s="669"/>
      <c r="G89" s="927"/>
      <c r="H89" s="927"/>
      <c r="I89" s="928"/>
      <c r="J89" s="927" t="str">
        <f t="shared" ref="J89:L89" si="395">IF($B89="","",IF(ISBLANK(INDIRECT(ADDRESS($B89,J$1,1,,"Score"))),"",1))</f>
        <v/>
      </c>
      <c r="K89" s="927" t="str">
        <f t="shared" si="395"/>
        <v/>
      </c>
      <c r="L89" s="927" t="str">
        <f t="shared" si="395"/>
        <v/>
      </c>
      <c r="M89" s="419" t="str">
        <f t="shared" si="396"/>
        <v/>
      </c>
      <c r="N89" s="669"/>
      <c r="O89" s="669"/>
      <c r="P89" s="419"/>
      <c r="Q89" s="669"/>
      <c r="R89" s="419" t="str">
        <f>IF($R88="","",IF(INDIRECT(ADDRESS($R88+1,S$1-1,1,,"Score"))="SP",$R88+1,""))</f>
        <v/>
      </c>
      <c r="S89" s="894" t="str">
        <f t="shared" ref="S89:T89" si="397">IF($R89="","",INDIRECT(ADDRESS($R89,S$1,1,,"Score")))</f>
        <v/>
      </c>
      <c r="T89" s="419" t="str">
        <f t="shared" si="397"/>
        <v/>
      </c>
      <c r="U89" s="669"/>
      <c r="V89" s="669"/>
      <c r="W89" s="927"/>
      <c r="X89" s="927"/>
      <c r="Y89" s="928"/>
      <c r="Z89" s="927" t="str">
        <f t="shared" ref="Z89:AB89" si="398">IF($R89="","",IF(ISBLANK(INDIRECT(ADDRESS($R89,Z$1,1,,"Score"))),"",1))</f>
        <v/>
      </c>
      <c r="AA89" s="927" t="str">
        <f t="shared" si="398"/>
        <v/>
      </c>
      <c r="AB89" s="927" t="str">
        <f t="shared" si="398"/>
        <v/>
      </c>
      <c r="AC89" s="419" t="str">
        <f t="shared" si="399"/>
        <v/>
      </c>
      <c r="AD89" s="669"/>
      <c r="AE89" s="669"/>
    </row>
    <row r="90" ht="12.75" customHeight="1">
      <c r="A90" s="929">
        <f>A88+1</f>
        <v>2</v>
      </c>
      <c r="B90" s="930">
        <f>IF(ISNA(MATCH($A90,Score!A$46:A$83,0)),"",MATCH($A90,Score!A$46:A$83,0)+ROW(Score!A$45))</f>
        <v>47</v>
      </c>
      <c r="C90" s="931" t="str">
        <f t="shared" ref="C90:D90" si="400">IF($B90="","",INDIRECT(ADDRESS($B90,C$1,1,,"Score")))</f>
        <v>45</v>
      </c>
      <c r="D90" s="930">
        <f t="shared" si="400"/>
        <v>4</v>
      </c>
      <c r="E90" s="929">
        <f>IF(B90="","",SUM(D90,D91))</f>
        <v>4</v>
      </c>
      <c r="F90" s="929">
        <f>IF(B90="","",E90-U90)</f>
        <v>0</v>
      </c>
      <c r="G90" s="932" t="str">
        <f t="shared" ref="G90:H90" si="401">IF($B90="","",IF(ISBLANK(INDIRECT(ADDRESS($B90,G$1,1,,"Score"))),"",1))</f>
        <v/>
      </c>
      <c r="H90" s="932">
        <f t="shared" si="401"/>
        <v>1</v>
      </c>
      <c r="I90" s="933">
        <f>IF(H90=1,F90,"")</f>
        <v>0</v>
      </c>
      <c r="J90" s="932">
        <f t="shared" ref="J90:L90" si="402">IF($B90="","",IF(ISBLANK(INDIRECT(ADDRESS($B90,J$1,1,,"Score"))),"",1))</f>
        <v>1</v>
      </c>
      <c r="K90" s="932" t="str">
        <f t="shared" si="402"/>
        <v/>
      </c>
      <c r="L90" s="932" t="str">
        <f t="shared" si="402"/>
        <v/>
      </c>
      <c r="M90" s="930">
        <f t="shared" si="396"/>
        <v>1</v>
      </c>
      <c r="N90" s="669"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16</v>
      </c>
      <c r="T90" s="930">
        <f t="shared" si="403"/>
        <v>4</v>
      </c>
      <c r="U90" s="929">
        <f>IF(R90="","",SUM(T90,T91))</f>
        <v>4</v>
      </c>
      <c r="V90" s="929">
        <f>IF(R90="","",U90-E90)</f>
        <v>0</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t="str">
        <f t="shared" si="405"/>
        <v/>
      </c>
      <c r="AC90" s="930">
        <f t="shared" si="399"/>
        <v>2</v>
      </c>
      <c r="AD90" s="929" t="str">
        <f>N90</f>
        <v/>
      </c>
      <c r="AE90" s="929" t="str">
        <f>IF(OR(AD90="",AD90=0),"",60*U90/AD90)</f>
        <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69">
        <f>A90+1</f>
        <v>3</v>
      </c>
      <c r="B92" s="419">
        <f>IF(ISNA(MATCH($A92,Score!A$46:A$83,0)),"",MATCH($A92,Score!A$46:A$83,0)+ROW(Score!A$45))</f>
        <v>48</v>
      </c>
      <c r="C92" s="894" t="str">
        <f t="shared" ref="C92:D92" si="410">IF($B92="","",INDIRECT(ADDRESS($B92,C$1,1,,"Score")))</f>
        <v>93</v>
      </c>
      <c r="D92" s="419">
        <f t="shared" si="410"/>
        <v>2</v>
      </c>
      <c r="E92" s="669">
        <f>IF(B92="","",SUM(D92,D93))</f>
        <v>2</v>
      </c>
      <c r="F92" s="669">
        <f>IF(B92="","",E92-U92)</f>
        <v>-10</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t="str">
        <f t="shared" si="412"/>
        <v/>
      </c>
      <c r="M92" s="419">
        <f t="shared" si="396"/>
        <v>1</v>
      </c>
      <c r="N92" s="669" t="str">
        <f>IF(ISNA(MATCH($A92,'Game Clock'!A$62:A$99,0)),"",INDIRECT(ADDRESS(MATCH($A92,'Game Clock'!A$62:A$99,0)+ROW('Game Clock'!A$61),N$1,1,,"Game Clock")))</f>
        <v/>
      </c>
      <c r="O92" s="669" t="str">
        <f>IF(OR(N92="",N92=0),"",60*E92/N92)</f>
        <v/>
      </c>
      <c r="P92" s="419"/>
      <c r="Q92" s="669">
        <f>Q90+1</f>
        <v>3</v>
      </c>
      <c r="R92" s="419">
        <f>IF(ISNA(MATCH($Q92,Score!T$46:T$83,0)),"",MATCH($Q92,Score!T$46:T$83,0)+ROW(Score!T$45))</f>
        <v>48</v>
      </c>
      <c r="S92" s="894" t="str">
        <f t="shared" ref="S92:T92" si="413">IF($R92="","",INDIRECT(ADDRESS($R92,S$1,1,,"Score")))</f>
        <v>11</v>
      </c>
      <c r="T92" s="419">
        <f t="shared" si="413"/>
        <v>12</v>
      </c>
      <c r="U92" s="669">
        <f>IF(R92="","",SUM(T92,T93))</f>
        <v>12</v>
      </c>
      <c r="V92" s="669">
        <f>IF(R92="","",U92-E92)</f>
        <v>10</v>
      </c>
      <c r="W92" s="927" t="str">
        <f t="shared" ref="W92:X92" si="414">IF($R92="","",IF(ISBLANK(INDIRECT(ADDRESS($R92,W$1,1,,"Score"))),"",1))</f>
        <v/>
      </c>
      <c r="X92" s="927">
        <f t="shared" si="414"/>
        <v>1</v>
      </c>
      <c r="Y92" s="928">
        <f>IF(X92=1,V92,"")</f>
        <v>10</v>
      </c>
      <c r="Z92" s="927">
        <f t="shared" ref="Z92:AB92" si="415">IF($R92="","",IF(ISBLANK(INDIRECT(ADDRESS($R92,Z$1,1,,"Score"))),"",1))</f>
        <v>1</v>
      </c>
      <c r="AA92" s="927" t="str">
        <f t="shared" si="415"/>
        <v/>
      </c>
      <c r="AB92" s="927" t="str">
        <f t="shared" si="415"/>
        <v/>
      </c>
      <c r="AC92" s="419">
        <f t="shared" si="399"/>
        <v>3</v>
      </c>
      <c r="AD92" s="669" t="str">
        <f>N92</f>
        <v/>
      </c>
      <c r="AE92" s="669" t="str">
        <f>IF(OR(AD92="",AD92=0),"",60*U92/AD92)</f>
        <v/>
      </c>
    </row>
    <row r="93" ht="12.75" customHeight="1">
      <c r="A93" s="669"/>
      <c r="B93" s="419" t="str">
        <f>IF($B92="","",IF(INDIRECT(ADDRESS($B92+1,C$1-1,1,,"Score"))="SP",$B92+1,""))</f>
        <v/>
      </c>
      <c r="C93" s="894" t="str">
        <f t="shared" ref="C93:D93" si="416">IF($B93="","",INDIRECT(ADDRESS($B93,C$1,1,,"Score")))</f>
        <v/>
      </c>
      <c r="D93" s="419" t="str">
        <f t="shared" si="416"/>
        <v/>
      </c>
      <c r="E93" s="669"/>
      <c r="F93" s="669"/>
      <c r="G93" s="927"/>
      <c r="H93" s="927"/>
      <c r="I93" s="928"/>
      <c r="J93" s="927" t="str">
        <f t="shared" ref="J93:L93" si="417">IF($B93="","",IF(ISBLANK(INDIRECT(ADDRESS($B93,J$1,1,,"Score"))),"",1))</f>
        <v/>
      </c>
      <c r="K93" s="927" t="str">
        <f t="shared" si="417"/>
        <v/>
      </c>
      <c r="L93" s="927" t="str">
        <f t="shared" si="417"/>
        <v/>
      </c>
      <c r="M93" s="419" t="str">
        <f t="shared" si="396"/>
        <v/>
      </c>
      <c r="N93" s="669"/>
      <c r="O93" s="669"/>
      <c r="P93" s="419"/>
      <c r="Q93" s="669"/>
      <c r="R93" s="419" t="str">
        <f>IF($R92="","",IF(INDIRECT(ADDRESS($R92+1,S$1-1,1,,"Score"))="SP",$R92+1,""))</f>
        <v/>
      </c>
      <c r="S93" s="894" t="str">
        <f t="shared" ref="S93:T93" si="418">IF($R93="","",INDIRECT(ADDRESS($R93,S$1,1,,"Score")))</f>
        <v/>
      </c>
      <c r="T93" s="419" t="str">
        <f t="shared" si="418"/>
        <v/>
      </c>
      <c r="U93" s="669"/>
      <c r="V93" s="669"/>
      <c r="W93" s="927"/>
      <c r="X93" s="927"/>
      <c r="Y93" s="928"/>
      <c r="Z93" s="927" t="str">
        <f t="shared" ref="Z93:AB93" si="419">IF($R93="","",IF(ISBLANK(INDIRECT(ADDRESS($R93,Z$1,1,,"Score"))),"",1))</f>
        <v/>
      </c>
      <c r="AA93" s="927" t="str">
        <f t="shared" si="419"/>
        <v/>
      </c>
      <c r="AB93" s="927" t="str">
        <f t="shared" si="419"/>
        <v/>
      </c>
      <c r="AC93" s="419" t="str">
        <f t="shared" si="399"/>
        <v/>
      </c>
      <c r="AD93" s="669"/>
      <c r="AE93" s="669"/>
    </row>
    <row r="94" ht="12.75" customHeight="1">
      <c r="A94" s="929">
        <f>A92+1</f>
        <v>4</v>
      </c>
      <c r="B94" s="930">
        <f>IF(ISNA(MATCH($A94,Score!A$46:A$83,0)),"",MATCH($A94,Score!A$46:A$83,0)+ROW(Score!A$45))</f>
        <v>49</v>
      </c>
      <c r="C94" s="931" t="str">
        <f t="shared" ref="C94:D94" si="420">IF($B94="","",INDIRECT(ADDRESS($B94,C$1,1,,"Score")))</f>
        <v>16</v>
      </c>
      <c r="D94" s="930">
        <f t="shared" si="420"/>
        <v>0</v>
      </c>
      <c r="E94" s="929">
        <f>IF(B94="","",SUM(D94,D95))</f>
        <v>0</v>
      </c>
      <c r="F94" s="929">
        <f>IF(B94="","",E94-U94)</f>
        <v>-4</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69" t="str">
        <f>IF(ISNA(MATCH($A94,'Game Clock'!A$62:A$99,0)),"",INDIRECT(ADDRESS(MATCH($A94,'Game Clock'!A$62:A$99,0)+ROW('Game Clock'!A$61),N$1,1,,"Game Clock")))</f>
        <v/>
      </c>
      <c r="O94" s="929" t="str">
        <f>IF(OR(N94="",N94=0),"",60*E94/N94)</f>
        <v/>
      </c>
      <c r="P94" s="419"/>
      <c r="Q94" s="929">
        <f>Q92+1</f>
        <v>4</v>
      </c>
      <c r="R94" s="930">
        <f>IF(ISNA(MATCH($Q94,Score!T$46:T$83,0)),"",MATCH($Q94,Score!T$46:T$83,0)+ROW(Score!T$45))</f>
        <v>49</v>
      </c>
      <c r="S94" s="931" t="str">
        <f t="shared" ref="S94:T94" si="423">IF($R94="","",INDIRECT(ADDRESS($R94,S$1,1,,"Score")))</f>
        <v>101</v>
      </c>
      <c r="T94" s="930">
        <f t="shared" si="423"/>
        <v>4</v>
      </c>
      <c r="U94" s="929">
        <f>IF(R94="","",SUM(T94,T95))</f>
        <v>4</v>
      </c>
      <c r="V94" s="929">
        <f>IF(R94="","",U94-E94)</f>
        <v>4</v>
      </c>
      <c r="W94" s="932" t="str">
        <f t="shared" ref="W94:X94" si="424">IF($R94="","",IF(ISBLANK(INDIRECT(ADDRESS($R94,W$1,1,,"Score"))),"",1))</f>
        <v/>
      </c>
      <c r="X94" s="932">
        <f t="shared" si="424"/>
        <v>1</v>
      </c>
      <c r="Y94" s="933">
        <f>IF(X94=1,V94,"")</f>
        <v>4</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2.7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69">
        <f>A94+1</f>
        <v>5</v>
      </c>
      <c r="B96" s="419">
        <f>IF(ISNA(MATCH($A96,Score!A$46:A$83,0)),"",MATCH($A96,Score!A$46:A$83,0)+ROW(Score!A$45))</f>
        <v>50</v>
      </c>
      <c r="C96" s="894" t="str">
        <f t="shared" ref="C96:D96" si="430">IF($B96="","",INDIRECT(ADDRESS($B96,C$1,1,,"Score")))</f>
        <v>271</v>
      </c>
      <c r="D96" s="419">
        <f t="shared" si="430"/>
        <v>0</v>
      </c>
      <c r="E96" s="669">
        <f>IF(B96="","",SUM(D96,D97))</f>
        <v>0</v>
      </c>
      <c r="F96" s="669">
        <f>IF(B96="","",E96-U96)</f>
        <v>-4</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t="str">
        <f t="shared" si="432"/>
        <v/>
      </c>
      <c r="M96" s="419">
        <f t="shared" si="396"/>
        <v>1</v>
      </c>
      <c r="N96" s="669" t="str">
        <f>IF(ISNA(MATCH($A96,'Game Clock'!A$62:A$99,0)),"",INDIRECT(ADDRESS(MATCH($A96,'Game Clock'!A$62:A$99,0)+ROW('Game Clock'!A$61),N$1,1,,"Game Clock")))</f>
        <v/>
      </c>
      <c r="O96" s="669" t="str">
        <f>IF(OR(N96="",N96=0),"",60*E96/N96)</f>
        <v/>
      </c>
      <c r="P96" s="419"/>
      <c r="Q96" s="669">
        <f>Q94+1</f>
        <v>5</v>
      </c>
      <c r="R96" s="419">
        <f>IF(ISNA(MATCH($Q96,Score!T$46:T$83,0)),"",MATCH($Q96,Score!T$46:T$83,0)+ROW(Score!T$45))</f>
        <v>50</v>
      </c>
      <c r="S96" s="894" t="str">
        <f t="shared" ref="S96:T96" si="433">IF($R96="","",INDIRECT(ADDRESS($R96,S$1,1,,"Score")))</f>
        <v>16</v>
      </c>
      <c r="T96" s="419">
        <f t="shared" si="433"/>
        <v>4</v>
      </c>
      <c r="U96" s="669">
        <f>IF(R96="","",SUM(T96,T97))</f>
        <v>4</v>
      </c>
      <c r="V96" s="669">
        <f>IF(R96="","",U96-E96)</f>
        <v>4</v>
      </c>
      <c r="W96" s="927" t="str">
        <f t="shared" ref="W96:X96" si="434">IF($R96="","",IF(ISBLANK(INDIRECT(ADDRESS($R96,W$1,1,,"Score"))),"",1))</f>
        <v/>
      </c>
      <c r="X96" s="927">
        <f t="shared" si="434"/>
        <v>1</v>
      </c>
      <c r="Y96" s="928">
        <f>IF(X96=1,V96,"")</f>
        <v>4</v>
      </c>
      <c r="Z96" s="927">
        <f t="shared" ref="Z96:AB96" si="435">IF($R96="","",IF(ISBLANK(INDIRECT(ADDRESS($R96,Z$1,1,,"Score"))),"",1))</f>
        <v>1</v>
      </c>
      <c r="AA96" s="927" t="str">
        <f t="shared" si="435"/>
        <v/>
      </c>
      <c r="AB96" s="927" t="str">
        <f t="shared" si="435"/>
        <v/>
      </c>
      <c r="AC96" s="419">
        <f t="shared" si="399"/>
        <v>1</v>
      </c>
      <c r="AD96" s="669" t="str">
        <f>N96</f>
        <v/>
      </c>
      <c r="AE96" s="669" t="str">
        <f>IF(OR(AD96="",AD96=0),"",60*U96/AD96)</f>
        <v/>
      </c>
    </row>
    <row r="97" ht="12.75" customHeight="1">
      <c r="A97" s="669"/>
      <c r="B97" s="419" t="str">
        <f>IF($B96="","",IF(INDIRECT(ADDRESS($B96+1,C$1-1,1,,"Score"))="SP",$B96+1,""))</f>
        <v/>
      </c>
      <c r="C97" s="894" t="str">
        <f t="shared" ref="C97:D97" si="436">IF($B97="","",INDIRECT(ADDRESS($B97,C$1,1,,"Score")))</f>
        <v/>
      </c>
      <c r="D97" s="419" t="str">
        <f t="shared" si="436"/>
        <v/>
      </c>
      <c r="E97" s="669"/>
      <c r="F97" s="669"/>
      <c r="G97" s="927"/>
      <c r="H97" s="927"/>
      <c r="I97" s="928"/>
      <c r="J97" s="927" t="str">
        <f t="shared" ref="J97:L97" si="437">IF($B97="","",IF(ISBLANK(INDIRECT(ADDRESS($B97,J$1,1,,"Score"))),"",1))</f>
        <v/>
      </c>
      <c r="K97" s="927" t="str">
        <f t="shared" si="437"/>
        <v/>
      </c>
      <c r="L97" s="927" t="str">
        <f t="shared" si="437"/>
        <v/>
      </c>
      <c r="M97" s="419" t="str">
        <f t="shared" si="396"/>
        <v/>
      </c>
      <c r="N97" s="669"/>
      <c r="O97" s="669"/>
      <c r="P97" s="419"/>
      <c r="Q97" s="669"/>
      <c r="R97" s="419" t="str">
        <f>IF($R96="","",IF(INDIRECT(ADDRESS($R96+1,S$1-1,1,,"Score"))="SP",$R96+1,""))</f>
        <v/>
      </c>
      <c r="S97" s="894" t="str">
        <f t="shared" ref="S97:T97" si="438">IF($R97="","",INDIRECT(ADDRESS($R97,S$1,1,,"Score")))</f>
        <v/>
      </c>
      <c r="T97" s="419" t="str">
        <f t="shared" si="438"/>
        <v/>
      </c>
      <c r="U97" s="669"/>
      <c r="V97" s="669"/>
      <c r="W97" s="927"/>
      <c r="X97" s="927"/>
      <c r="Y97" s="928"/>
      <c r="Z97" s="927" t="str">
        <f t="shared" ref="Z97:AB97" si="439">IF($R97="","",IF(ISBLANK(INDIRECT(ADDRESS($R97,Z$1,1,,"Score"))),"",1))</f>
        <v/>
      </c>
      <c r="AA97" s="927" t="str">
        <f t="shared" si="439"/>
        <v/>
      </c>
      <c r="AB97" s="927" t="str">
        <f t="shared" si="439"/>
        <v/>
      </c>
      <c r="AC97" s="419" t="str">
        <f t="shared" si="399"/>
        <v/>
      </c>
      <c r="AD97" s="669"/>
      <c r="AE97" s="669"/>
    </row>
    <row r="98" ht="12.75" customHeight="1">
      <c r="A98" s="929">
        <f>A96+1</f>
        <v>6</v>
      </c>
      <c r="B98" s="930">
        <f>IF(ISNA(MATCH($A98,Score!A$46:A$83,0)),"",MATCH($A98,Score!A$46:A$83,0)+ROW(Score!A$45))</f>
        <v>51</v>
      </c>
      <c r="C98" s="931" t="str">
        <f t="shared" ref="C98:D98" si="440">IF($B98="","",INDIRECT(ADDRESS($B98,C$1,1,,"Score")))</f>
        <v>45</v>
      </c>
      <c r="D98" s="930">
        <f t="shared" si="440"/>
        <v>4</v>
      </c>
      <c r="E98" s="929">
        <f>IF(B98="","",SUM(D98,D99))</f>
        <v>4</v>
      </c>
      <c r="F98" s="929">
        <f>IF(B98="","",E98-U98)</f>
        <v>-4</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69" t="str">
        <f>IF(ISNA(MATCH($A98,'Game Clock'!A$62:A$99,0)),"",INDIRECT(ADDRESS(MATCH($A98,'Game Clock'!A$62:A$99,0)+ROW('Game Clock'!A$61),N$1,1,,"Game Clock")))</f>
        <v/>
      </c>
      <c r="O98" s="929" t="str">
        <f>IF(OR(N98="",N98=0),"",60*E98/N98)</f>
        <v/>
      </c>
      <c r="P98" s="419"/>
      <c r="Q98" s="929">
        <f>Q96+1</f>
        <v>6</v>
      </c>
      <c r="R98" s="930">
        <f>IF(ISNA(MATCH($Q98,Score!T$46:T$83,0)),"",MATCH($Q98,Score!T$46:T$83,0)+ROW(Score!T$45))</f>
        <v>51</v>
      </c>
      <c r="S98" s="931" t="str">
        <f t="shared" ref="S98:T98" si="443">IF($R98="","",INDIRECT(ADDRESS($R98,S$1,1,,"Score")))</f>
        <v>11</v>
      </c>
      <c r="T98" s="930">
        <f t="shared" si="443"/>
        <v>8</v>
      </c>
      <c r="U98" s="929">
        <f>IF(R98="","",SUM(T98,T99))</f>
        <v>8</v>
      </c>
      <c r="V98" s="929">
        <f>IF(R98="","",U98-E98)</f>
        <v>4</v>
      </c>
      <c r="W98" s="932">
        <f t="shared" ref="W98:X98" si="444">IF($R98="","",IF(ISBLANK(INDIRECT(ADDRESS($R98,W$1,1,,"Score"))),"",1))</f>
        <v>1</v>
      </c>
      <c r="X98" s="932">
        <f t="shared" si="444"/>
        <v>1</v>
      </c>
      <c r="Y98" s="933">
        <f>IF(X98=1,V98,"")</f>
        <v>4</v>
      </c>
      <c r="Z98" s="932" t="str">
        <f t="shared" ref="Z98:AB98" si="445">IF($R98="","",IF(ISBLANK(INDIRECT(ADDRESS($R98,Z$1,1,,"Score"))),"",1))</f>
        <v/>
      </c>
      <c r="AA98" s="932" t="str">
        <f t="shared" si="445"/>
        <v/>
      </c>
      <c r="AB98" s="932" t="str">
        <f t="shared" si="445"/>
        <v/>
      </c>
      <c r="AC98" s="930">
        <f t="shared" si="399"/>
        <v>2</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69">
        <f>A98+1</f>
        <v>7</v>
      </c>
      <c r="B100" s="419">
        <f>IF(ISNA(MATCH($A100,Score!A$46:A$83,0)),"",MATCH($A100,Score!A$46:A$83,0)+ROW(Score!A$45))</f>
        <v>52</v>
      </c>
      <c r="C100" s="894" t="str">
        <f t="shared" ref="C100:D100" si="450">IF($B100="","",INDIRECT(ADDRESS($B100,C$1,1,,"Score")))</f>
        <v>93</v>
      </c>
      <c r="D100" s="419">
        <f t="shared" si="450"/>
        <v>0</v>
      </c>
      <c r="E100" s="669">
        <f>IF(B100="","",SUM(D100,D101))</f>
        <v>0</v>
      </c>
      <c r="F100" s="669">
        <f>IF(B100="","",E100-U100)</f>
        <v>-4</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19">
        <f t="shared" si="396"/>
        <v>1</v>
      </c>
      <c r="N100" s="669" t="str">
        <f>IF(ISNA(MATCH($A100,'Game Clock'!A$62:A$99,0)),"",INDIRECT(ADDRESS(MATCH($A100,'Game Clock'!A$62:A$99,0)+ROW('Game Clock'!A$61),N$1,1,,"Game Clock")))</f>
        <v/>
      </c>
      <c r="O100" s="669" t="str">
        <f>IF(OR(N100="",N100=0),"",60*E100/N100)</f>
        <v/>
      </c>
      <c r="P100" s="419"/>
      <c r="Q100" s="669">
        <f>Q98+1</f>
        <v>7</v>
      </c>
      <c r="R100" s="419">
        <f>IF(ISNA(MATCH($Q100,Score!T$46:T$83,0)),"",MATCH($Q100,Score!T$46:T$83,0)+ROW(Score!T$45))</f>
        <v>52</v>
      </c>
      <c r="S100" s="894" t="str">
        <f t="shared" ref="S100:T100" si="453">IF($R100="","",INDIRECT(ADDRESS($R100,S$1,1,,"Score")))</f>
        <v>101</v>
      </c>
      <c r="T100" s="419">
        <f t="shared" si="453"/>
        <v>4</v>
      </c>
      <c r="U100" s="669">
        <f>IF(R100="","",SUM(T100,T101))</f>
        <v>4</v>
      </c>
      <c r="V100" s="669">
        <f>IF(R100="","",U100-E100)</f>
        <v>4</v>
      </c>
      <c r="W100" s="927" t="str">
        <f t="shared" ref="W100:X100" si="454">IF($R100="","",IF(ISBLANK(INDIRECT(ADDRESS($R100,W$1,1,,"Score"))),"",1))</f>
        <v/>
      </c>
      <c r="X100" s="927">
        <f t="shared" si="454"/>
        <v>1</v>
      </c>
      <c r="Y100" s="928">
        <f>IF(X100=1,V100,"")</f>
        <v>4</v>
      </c>
      <c r="Z100" s="927">
        <f t="shared" ref="Z100:AB100" si="455">IF($R100="","",IF(ISBLANK(INDIRECT(ADDRESS($R100,Z$1,1,,"Score"))),"",1))</f>
        <v>1</v>
      </c>
      <c r="AA100" s="927" t="str">
        <f t="shared" si="455"/>
        <v/>
      </c>
      <c r="AB100" s="927" t="str">
        <f t="shared" si="455"/>
        <v/>
      </c>
      <c r="AC100" s="419">
        <f t="shared" si="399"/>
        <v>1</v>
      </c>
      <c r="AD100" s="669" t="str">
        <f>N100</f>
        <v/>
      </c>
      <c r="AE100" s="669" t="str">
        <f>IF(OR(AD100="",AD100=0),"",60*U100/AD100)</f>
        <v/>
      </c>
    </row>
    <row r="101" ht="12.75" customHeight="1">
      <c r="A101" s="669"/>
      <c r="B101" s="419" t="str">
        <f>IF($B100="","",IF(INDIRECT(ADDRESS($B100+1,C$1-1,1,,"Score"))="SP",$B100+1,""))</f>
        <v/>
      </c>
      <c r="C101" s="894" t="str">
        <f t="shared" ref="C101:D101" si="456">IF($B101="","",INDIRECT(ADDRESS($B101,C$1,1,,"Score")))</f>
        <v/>
      </c>
      <c r="D101" s="419" t="str">
        <f t="shared" si="456"/>
        <v/>
      </c>
      <c r="E101" s="669"/>
      <c r="F101" s="669"/>
      <c r="G101" s="927"/>
      <c r="H101" s="927"/>
      <c r="I101" s="928"/>
      <c r="J101" s="927" t="str">
        <f t="shared" ref="J101:L101" si="457">IF($B101="","",IF(ISBLANK(INDIRECT(ADDRESS($B101,J$1,1,,"Score"))),"",1))</f>
        <v/>
      </c>
      <c r="K101" s="927" t="str">
        <f t="shared" si="457"/>
        <v/>
      </c>
      <c r="L101" s="927" t="str">
        <f t="shared" si="457"/>
        <v/>
      </c>
      <c r="M101" s="419" t="str">
        <f t="shared" si="396"/>
        <v/>
      </c>
      <c r="N101" s="669"/>
      <c r="O101" s="669"/>
      <c r="P101" s="419"/>
      <c r="Q101" s="669"/>
      <c r="R101" s="419" t="str">
        <f>IF($R100="","",IF(INDIRECT(ADDRESS($R100+1,S$1-1,1,,"Score"))="SP",$R100+1,""))</f>
        <v/>
      </c>
      <c r="S101" s="894" t="str">
        <f t="shared" ref="S101:T101" si="458">IF($R101="","",INDIRECT(ADDRESS($R101,S$1,1,,"Score")))</f>
        <v/>
      </c>
      <c r="T101" s="419" t="str">
        <f t="shared" si="458"/>
        <v/>
      </c>
      <c r="U101" s="669"/>
      <c r="V101" s="669"/>
      <c r="W101" s="927"/>
      <c r="X101" s="927"/>
      <c r="Y101" s="928"/>
      <c r="Z101" s="927" t="str">
        <f t="shared" ref="Z101:AB101" si="459">IF($R101="","",IF(ISBLANK(INDIRECT(ADDRESS($R101,Z$1,1,,"Score"))),"",1))</f>
        <v/>
      </c>
      <c r="AA101" s="927" t="str">
        <f t="shared" si="459"/>
        <v/>
      </c>
      <c r="AB101" s="927" t="str">
        <f t="shared" si="459"/>
        <v/>
      </c>
      <c r="AC101" s="419" t="str">
        <f t="shared" si="399"/>
        <v/>
      </c>
      <c r="AD101" s="669"/>
      <c r="AE101" s="669"/>
    </row>
    <row r="102" ht="12.75" customHeight="1">
      <c r="A102" s="929">
        <f>A100+1</f>
        <v>8</v>
      </c>
      <c r="B102" s="930">
        <f>IF(ISNA(MATCH($A102,Score!A$46:A$83,0)),"",MATCH($A102,Score!A$46:A$83,0)+ROW(Score!A$45))</f>
        <v>53</v>
      </c>
      <c r="C102" s="931" t="str">
        <f t="shared" ref="C102:D102" si="460">IF($B102="","",INDIRECT(ADDRESS($B102,C$1,1,,"Score")))</f>
        <v>16</v>
      </c>
      <c r="D102" s="930">
        <f t="shared" si="460"/>
        <v>0</v>
      </c>
      <c r="E102" s="929">
        <f>IF(B102="","",SUM(D102,D103))</f>
        <v>0</v>
      </c>
      <c r="F102" s="929">
        <f>IF(B102="","",E102-U102)</f>
        <v>-4</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69"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53</v>
      </c>
      <c r="S102" s="931" t="str">
        <f t="shared" ref="S102:T102" si="463">IF($R102="","",INDIRECT(ADDRESS($R102,S$1,1,,"Score")))</f>
        <v>16</v>
      </c>
      <c r="T102" s="930">
        <f t="shared" si="463"/>
        <v>4</v>
      </c>
      <c r="U102" s="929">
        <f>IF(R102="","",SUM(T102,T103))</f>
        <v>4</v>
      </c>
      <c r="V102" s="929">
        <f>IF(R102="","",U102-E102)</f>
        <v>4</v>
      </c>
      <c r="W102" s="932" t="str">
        <f t="shared" ref="W102:X102" si="464">IF($R102="","",IF(ISBLANK(INDIRECT(ADDRESS($R102,W$1,1,,"Score"))),"",1))</f>
        <v/>
      </c>
      <c r="X102" s="932">
        <f t="shared" si="464"/>
        <v>1</v>
      </c>
      <c r="Y102" s="933">
        <f>IF(X102=1,V102,"")</f>
        <v>4</v>
      </c>
      <c r="Z102" s="932">
        <f t="shared" ref="Z102:AB102" si="465">IF($R102="","",IF(ISBLANK(INDIRECT(ADDRESS($R102,Z$1,1,,"Score"))),"",1))</f>
        <v>1</v>
      </c>
      <c r="AA102" s="932" t="str">
        <f t="shared" si="465"/>
        <v/>
      </c>
      <c r="AB102" s="932" t="str">
        <f t="shared" si="465"/>
        <v/>
      </c>
      <c r="AC102" s="930">
        <f t="shared" si="399"/>
        <v>1</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69">
        <f>A102+1</f>
        <v>9</v>
      </c>
      <c r="B104" s="419">
        <f>IF(ISNA(MATCH($A104,Score!A$46:A$83,0)),"",MATCH($A104,Score!A$46:A$83,0)+ROW(Score!A$45))</f>
        <v>54</v>
      </c>
      <c r="C104" s="894" t="str">
        <f t="shared" ref="C104:D104" si="470">IF($B104="","",INDIRECT(ADDRESS($B104,C$1,1,,"Score")))</f>
        <v>271</v>
      </c>
      <c r="D104" s="419">
        <f t="shared" si="470"/>
        <v>12</v>
      </c>
      <c r="E104" s="669">
        <f>IF(B104="","",SUM(D104,D105))</f>
        <v>12</v>
      </c>
      <c r="F104" s="669">
        <f>IF(B104="","",E104-U104)</f>
        <v>8</v>
      </c>
      <c r="G104" s="927" t="str">
        <f t="shared" ref="G104:H104" si="471">IF($B104="","",IF(ISBLANK(INDIRECT(ADDRESS($B104,G$1,1,,"Score"))),"",1))</f>
        <v/>
      </c>
      <c r="H104" s="927">
        <f t="shared" si="471"/>
        <v>1</v>
      </c>
      <c r="I104" s="928">
        <f>IF(H104=1,F104,"")</f>
        <v>8</v>
      </c>
      <c r="J104" s="927">
        <f t="shared" ref="J104:L104" si="472">IF($B104="","",IF(ISBLANK(INDIRECT(ADDRESS($B104,J$1,1,,"Score"))),"",1))</f>
        <v>1</v>
      </c>
      <c r="K104" s="927" t="str">
        <f t="shared" si="472"/>
        <v/>
      </c>
      <c r="L104" s="927" t="str">
        <f t="shared" si="472"/>
        <v/>
      </c>
      <c r="M104" s="419">
        <f t="shared" si="396"/>
        <v>3</v>
      </c>
      <c r="N104" s="669" t="str">
        <f>IF(ISNA(MATCH($A104,'Game Clock'!A$62:A$99,0)),"",INDIRECT(ADDRESS(MATCH($A104,'Game Clock'!A$62:A$99,0)+ROW('Game Clock'!A$61),N$1,1,,"Game Clock")))</f>
        <v/>
      </c>
      <c r="O104" s="669" t="str">
        <f>IF(OR(N104="",N104=0),"",60*E104/N104)</f>
        <v/>
      </c>
      <c r="P104" s="419"/>
      <c r="Q104" s="669">
        <f>Q102+1</f>
        <v>9</v>
      </c>
      <c r="R104" s="419">
        <f>IF(ISNA(MATCH($Q104,Score!T$46:T$83,0)),"",MATCH($Q104,Score!T$46:T$83,0)+ROW(Score!T$45))</f>
        <v>54</v>
      </c>
      <c r="S104" s="894" t="str">
        <f t="shared" ref="S104:T104" si="473">IF($R104="","",INDIRECT(ADDRESS($R104,S$1,1,,"Score")))</f>
        <v>11</v>
      </c>
      <c r="T104" s="419">
        <f t="shared" si="473"/>
        <v>0</v>
      </c>
      <c r="U104" s="669">
        <f>IF(R104="","",SUM(T104,T105))</f>
        <v>4</v>
      </c>
      <c r="V104" s="669">
        <f>IF(R104="","",U104-E104)</f>
        <v>-8</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f t="shared" si="475"/>
        <v>1</v>
      </c>
      <c r="AC104" s="419">
        <f t="shared" si="399"/>
        <v>0</v>
      </c>
      <c r="AD104" s="669" t="str">
        <f>N104</f>
        <v/>
      </c>
      <c r="AE104" s="669" t="str">
        <f>IF(OR(AD104="",AD104=0),"",60*U104/AD104)</f>
        <v/>
      </c>
    </row>
    <row r="105" ht="12.75" customHeight="1">
      <c r="A105" s="669"/>
      <c r="B105" s="419" t="str">
        <f>IF($B104="","",IF(INDIRECT(ADDRESS($B104+1,C$1-1,1,,"Score"))="SP",$B104+1,""))</f>
        <v/>
      </c>
      <c r="C105" s="894" t="str">
        <f t="shared" ref="C105:D105" si="476">IF($B105="","",INDIRECT(ADDRESS($B105,C$1,1,,"Score")))</f>
        <v/>
      </c>
      <c r="D105" s="419" t="str">
        <f t="shared" si="476"/>
        <v/>
      </c>
      <c r="E105" s="669"/>
      <c r="F105" s="669"/>
      <c r="G105" s="927"/>
      <c r="H105" s="927"/>
      <c r="I105" s="928"/>
      <c r="J105" s="927" t="str">
        <f t="shared" ref="J105:L105" si="477">IF($B105="","",IF(ISBLANK(INDIRECT(ADDRESS($B105,J$1,1,,"Score"))),"",1))</f>
        <v/>
      </c>
      <c r="K105" s="927" t="str">
        <f t="shared" si="477"/>
        <v/>
      </c>
      <c r="L105" s="927" t="str">
        <f t="shared" si="477"/>
        <v/>
      </c>
      <c r="M105" s="419" t="str">
        <f t="shared" si="396"/>
        <v/>
      </c>
      <c r="N105" s="669"/>
      <c r="O105" s="669"/>
      <c r="P105" s="419"/>
      <c r="Q105" s="669"/>
      <c r="R105" s="419">
        <f>IF($R104="","",IF(INDIRECT(ADDRESS($R104+1,S$1-1,1,,"Score"))="SP",$R104+1,""))</f>
        <v>55</v>
      </c>
      <c r="S105" s="894" t="str">
        <f t="shared" ref="S105:T105" si="478">IF($R105="","",INDIRECT(ADDRESS($R105,S$1,1,,"Score")))</f>
        <v>88</v>
      </c>
      <c r="T105" s="419">
        <f t="shared" si="478"/>
        <v>4</v>
      </c>
      <c r="U105" s="669"/>
      <c r="V105" s="669"/>
      <c r="W105" s="927"/>
      <c r="X105" s="927"/>
      <c r="Y105" s="928"/>
      <c r="Z105" s="927" t="str">
        <f t="shared" ref="Z105:AB105" si="479">IF($R105="","",IF(ISBLANK(INDIRECT(ADDRESS($R105,Z$1,1,,"Score"))),"",1))</f>
        <v/>
      </c>
      <c r="AA105" s="927" t="str">
        <f t="shared" si="479"/>
        <v/>
      </c>
      <c r="AB105" s="927" t="str">
        <f t="shared" si="479"/>
        <v/>
      </c>
      <c r="AC105" s="419">
        <f t="shared" si="399"/>
        <v>2</v>
      </c>
      <c r="AD105" s="669"/>
      <c r="AE105" s="669"/>
    </row>
    <row r="106" ht="12.75" customHeight="1">
      <c r="A106" s="929">
        <f>A104+1</f>
        <v>10</v>
      </c>
      <c r="B106" s="930">
        <f>IF(ISNA(MATCH($A106,Score!A$46:A$83,0)),"",MATCH($A106,Score!A$46:A$83,0)+ROW(Score!A$45))</f>
        <v>56</v>
      </c>
      <c r="C106" s="931" t="str">
        <f t="shared" ref="C106:D106" si="480">IF($B106="","",INDIRECT(ADDRESS($B106,C$1,1,,"Score")))</f>
        <v>45</v>
      </c>
      <c r="D106" s="930">
        <f t="shared" si="480"/>
        <v>4</v>
      </c>
      <c r="E106" s="929">
        <f>IF(B106="","",SUM(D106,D107))</f>
        <v>4</v>
      </c>
      <c r="F106" s="929">
        <f>IF(B106="","",E106-U106)</f>
        <v>-4</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2</v>
      </c>
      <c r="N106" s="669"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56</v>
      </c>
      <c r="S106" s="931" t="str">
        <f t="shared" ref="S106:T106" si="483">IF($R106="","",INDIRECT(ADDRESS($R106,S$1,1,,"Score")))</f>
        <v>101</v>
      </c>
      <c r="T106" s="930">
        <f t="shared" si="483"/>
        <v>8</v>
      </c>
      <c r="U106" s="929">
        <f>IF(R106="","",SUM(T106,T107))</f>
        <v>8</v>
      </c>
      <c r="V106" s="929">
        <f>IF(R106="","",U106-E106)</f>
        <v>4</v>
      </c>
      <c r="W106" s="932" t="str">
        <f t="shared" ref="W106:X106" si="484">IF($R106="","",IF(ISBLANK(INDIRECT(ADDRESS($R106,W$1,1,,"Score"))),"",1))</f>
        <v/>
      </c>
      <c r="X106" s="932">
        <f t="shared" si="484"/>
        <v>1</v>
      </c>
      <c r="Y106" s="933">
        <f>IF(X106=1,V106,"")</f>
        <v>4</v>
      </c>
      <c r="Z106" s="932" t="str">
        <f t="shared" ref="Z106:AB106" si="485">IF($R106="","",IF(ISBLANK(INDIRECT(ADDRESS($R106,Z$1,1,,"Score"))),"",1))</f>
        <v/>
      </c>
      <c r="AA106" s="932" t="str">
        <f t="shared" si="485"/>
        <v/>
      </c>
      <c r="AB106" s="932" t="str">
        <f t="shared" si="485"/>
        <v/>
      </c>
      <c r="AC106" s="930">
        <f t="shared" si="399"/>
        <v>2</v>
      </c>
      <c r="AD106" s="929" t="str">
        <f>N106</f>
        <v/>
      </c>
      <c r="AE106" s="929" t="str">
        <f>IF(OR(AD106="",AD106=0),"",60*U106/AD106)</f>
        <v/>
      </c>
    </row>
    <row r="107" ht="12.7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69">
        <f>A106+1</f>
        <v>11</v>
      </c>
      <c r="B108" s="419">
        <f>IF(ISNA(MATCH($A108,Score!A$46:A$83,0)),"",MATCH($A108,Score!A$46:A$83,0)+ROW(Score!A$45))</f>
        <v>57</v>
      </c>
      <c r="C108" s="894" t="str">
        <f t="shared" ref="C108:D108" si="490">IF($B108="","",INDIRECT(ADDRESS($B108,C$1,1,,"Score")))</f>
        <v>93</v>
      </c>
      <c r="D108" s="419">
        <f t="shared" si="490"/>
        <v>0</v>
      </c>
      <c r="E108" s="669">
        <f>IF(B108="","",SUM(D108,D109))</f>
        <v>0</v>
      </c>
      <c r="F108" s="669">
        <f>IF(B108="","",E108-U108)</f>
        <v>-4</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19">
        <f t="shared" si="396"/>
        <v>1</v>
      </c>
      <c r="N108" s="669" t="str">
        <f>IF(ISNA(MATCH($A108,'Game Clock'!A$62:A$99,0)),"",INDIRECT(ADDRESS(MATCH($A108,'Game Clock'!A$62:A$99,0)+ROW('Game Clock'!A$61),N$1,1,,"Game Clock")))</f>
        <v/>
      </c>
      <c r="O108" s="669" t="str">
        <f>IF(OR(N108="",N108=0),"",60*E108/N108)</f>
        <v/>
      </c>
      <c r="P108" s="419"/>
      <c r="Q108" s="669">
        <f>Q106+1</f>
        <v>11</v>
      </c>
      <c r="R108" s="419">
        <f>IF(ISNA(MATCH($Q108,Score!T$46:T$83,0)),"",MATCH($Q108,Score!T$46:T$83,0)+ROW(Score!T$45))</f>
        <v>57</v>
      </c>
      <c r="S108" s="894" t="str">
        <f t="shared" ref="S108:T108" si="493">IF($R108="","",INDIRECT(ADDRESS($R108,S$1,1,,"Score")))</f>
        <v>16</v>
      </c>
      <c r="T108" s="419">
        <f t="shared" si="493"/>
        <v>4</v>
      </c>
      <c r="U108" s="669">
        <f>IF(R108="","",SUM(T108,T109))</f>
        <v>4</v>
      </c>
      <c r="V108" s="669">
        <f>IF(R108="","",U108-E108)</f>
        <v>4</v>
      </c>
      <c r="W108" s="927" t="str">
        <f t="shared" ref="W108:X108" si="494">IF($R108="","",IF(ISBLANK(INDIRECT(ADDRESS($R108,W$1,1,,"Score"))),"",1))</f>
        <v/>
      </c>
      <c r="X108" s="927">
        <f t="shared" si="494"/>
        <v>1</v>
      </c>
      <c r="Y108" s="928">
        <f>IF(X108=1,V108,"")</f>
        <v>4</v>
      </c>
      <c r="Z108" s="927">
        <f t="shared" ref="Z108:AB108" si="495">IF($R108="","",IF(ISBLANK(INDIRECT(ADDRESS($R108,Z$1,1,,"Score"))),"",1))</f>
        <v>1</v>
      </c>
      <c r="AA108" s="927" t="str">
        <f t="shared" si="495"/>
        <v/>
      </c>
      <c r="AB108" s="927" t="str">
        <f t="shared" si="495"/>
        <v/>
      </c>
      <c r="AC108" s="419">
        <f t="shared" si="399"/>
        <v>1</v>
      </c>
      <c r="AD108" s="669" t="str">
        <f>N108</f>
        <v/>
      </c>
      <c r="AE108" s="669" t="str">
        <f>IF(OR(AD108="",AD108=0),"",60*U108/AD108)</f>
        <v/>
      </c>
    </row>
    <row r="109" ht="12.75" customHeight="1">
      <c r="A109" s="669"/>
      <c r="B109" s="419" t="str">
        <f>IF($B108="","",IF(INDIRECT(ADDRESS($B108+1,C$1-1,1,,"Score"))="SP",$B108+1,""))</f>
        <v/>
      </c>
      <c r="C109" s="894" t="str">
        <f t="shared" ref="C109:D109" si="496">IF($B109="","",INDIRECT(ADDRESS($B109,C$1,1,,"Score")))</f>
        <v/>
      </c>
      <c r="D109" s="419" t="str">
        <f t="shared" si="496"/>
        <v/>
      </c>
      <c r="E109" s="669"/>
      <c r="F109" s="669"/>
      <c r="G109" s="927"/>
      <c r="H109" s="927"/>
      <c r="I109" s="928"/>
      <c r="J109" s="927" t="str">
        <f t="shared" ref="J109:L109" si="497">IF($B109="","",IF(ISBLANK(INDIRECT(ADDRESS($B109,J$1,1,,"Score"))),"",1))</f>
        <v/>
      </c>
      <c r="K109" s="927" t="str">
        <f t="shared" si="497"/>
        <v/>
      </c>
      <c r="L109" s="927" t="str">
        <f t="shared" si="497"/>
        <v/>
      </c>
      <c r="M109" s="419" t="str">
        <f t="shared" si="396"/>
        <v/>
      </c>
      <c r="N109" s="669"/>
      <c r="O109" s="669"/>
      <c r="P109" s="419"/>
      <c r="Q109" s="669"/>
      <c r="R109" s="419" t="str">
        <f>IF($R108="","",IF(INDIRECT(ADDRESS($R108+1,S$1-1,1,,"Score"))="SP",$R108+1,""))</f>
        <v/>
      </c>
      <c r="S109" s="894" t="str">
        <f t="shared" ref="S109:T109" si="498">IF($R109="","",INDIRECT(ADDRESS($R109,S$1,1,,"Score")))</f>
        <v/>
      </c>
      <c r="T109" s="419" t="str">
        <f t="shared" si="498"/>
        <v/>
      </c>
      <c r="U109" s="669"/>
      <c r="V109" s="669"/>
      <c r="W109" s="927"/>
      <c r="X109" s="927"/>
      <c r="Y109" s="928"/>
      <c r="Z109" s="927" t="str">
        <f t="shared" ref="Z109:AB109" si="499">IF($R109="","",IF(ISBLANK(INDIRECT(ADDRESS($R109,Z$1,1,,"Score"))),"",1))</f>
        <v/>
      </c>
      <c r="AA109" s="927" t="str">
        <f t="shared" si="499"/>
        <v/>
      </c>
      <c r="AB109" s="927" t="str">
        <f t="shared" si="499"/>
        <v/>
      </c>
      <c r="AC109" s="419" t="str">
        <f t="shared" si="399"/>
        <v/>
      </c>
      <c r="AD109" s="669"/>
      <c r="AE109" s="669"/>
    </row>
    <row r="110" ht="12.75" customHeight="1">
      <c r="A110" s="929">
        <f>A108+1</f>
        <v>12</v>
      </c>
      <c r="B110" s="930">
        <f>IF(ISNA(MATCH($A110,Score!A$46:A$83,0)),"",MATCH($A110,Score!A$46:A$83,0)+ROW(Score!A$45))</f>
        <v>58</v>
      </c>
      <c r="C110" s="931" t="str">
        <f t="shared" ref="C110:D110" si="500">IF($B110="","",INDIRECT(ADDRESS($B110,C$1,1,,"Score")))</f>
        <v>16</v>
      </c>
      <c r="D110" s="930">
        <f t="shared" si="500"/>
        <v>0</v>
      </c>
      <c r="E110" s="929">
        <f>IF(B110="","",SUM(D110,D111))</f>
        <v>0</v>
      </c>
      <c r="F110" s="929">
        <f>IF(B110="","",E110-U110)</f>
        <v>0</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1</v>
      </c>
      <c r="N110" s="669"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58</v>
      </c>
      <c r="S110" s="931" t="str">
        <f t="shared" ref="S110:T110" si="503">IF($R110="","",INDIRECT(ADDRESS($R110,S$1,1,,"Score")))</f>
        <v>11</v>
      </c>
      <c r="T110" s="930">
        <f t="shared" si="503"/>
        <v>0</v>
      </c>
      <c r="U110" s="929">
        <f>IF(R110="","",SUM(T110,T111))</f>
        <v>0</v>
      </c>
      <c r="V110" s="929">
        <f>IF(R110="","",U110-E110)</f>
        <v>0</v>
      </c>
      <c r="W110" s="932" t="str">
        <f t="shared" ref="W110:X110" si="504">IF($R110="","",IF(ISBLANK(INDIRECT(ADDRESS($R110,W$1,1,,"Score"))),"",1))</f>
        <v/>
      </c>
      <c r="X110" s="932">
        <f t="shared" si="504"/>
        <v>1</v>
      </c>
      <c r="Y110" s="933">
        <f>IF(X110=1,V110,"")</f>
        <v>0</v>
      </c>
      <c r="Z110" s="932" t="str">
        <f t="shared" ref="Z110:AB110" si="505">IF($R110="","",IF(ISBLANK(INDIRECT(ADDRESS($R110,Z$1,1,,"Score"))),"",1))</f>
        <v/>
      </c>
      <c r="AA110" s="932" t="str">
        <f t="shared" si="505"/>
        <v/>
      </c>
      <c r="AB110" s="932" t="str">
        <f t="shared" si="505"/>
        <v/>
      </c>
      <c r="AC110" s="930">
        <f t="shared" si="399"/>
        <v>1</v>
      </c>
      <c r="AD110" s="929" t="str">
        <f>N110</f>
        <v/>
      </c>
      <c r="AE110" s="929" t="str">
        <f>IF(OR(AD110="",AD110=0),"",60*U110/AD110)</f>
        <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69">
        <f>A110+1</f>
        <v>13</v>
      </c>
      <c r="B112" s="419">
        <f>IF(ISNA(MATCH($A112,Score!A$46:A$83,0)),"",MATCH($A112,Score!A$46:A$83,0)+ROW(Score!A$45))</f>
        <v>59</v>
      </c>
      <c r="C112" s="894" t="str">
        <f t="shared" ref="C112:D112" si="510">IF($B112="","",INDIRECT(ADDRESS($B112,C$1,1,,"Score")))</f>
        <v>271</v>
      </c>
      <c r="D112" s="419">
        <f t="shared" si="510"/>
        <v>0</v>
      </c>
      <c r="E112" s="669">
        <f>IF(B112="","",SUM(D112,D113))</f>
        <v>0</v>
      </c>
      <c r="F112" s="669">
        <f>IF(B112="","",E112-U112)</f>
        <v>-16</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f t="shared" si="512"/>
        <v>1</v>
      </c>
      <c r="M112" s="419">
        <f t="shared" si="396"/>
        <v>0</v>
      </c>
      <c r="N112" s="669" t="str">
        <f>IF(ISNA(MATCH($A112,'Game Clock'!A$62:A$99,0)),"",INDIRECT(ADDRESS(MATCH($A112,'Game Clock'!A$62:A$99,0)+ROW('Game Clock'!A$61),N$1,1,,"Game Clock")))</f>
        <v/>
      </c>
      <c r="O112" s="669" t="str">
        <f>IF(OR(N112="",N112=0),"",60*E112/N112)</f>
        <v/>
      </c>
      <c r="P112" s="419"/>
      <c r="Q112" s="669">
        <f>Q110+1</f>
        <v>13</v>
      </c>
      <c r="R112" s="419">
        <f>IF(ISNA(MATCH($Q112,Score!T$46:T$83,0)),"",MATCH($Q112,Score!T$46:T$83,0)+ROW(Score!T$45))</f>
        <v>59</v>
      </c>
      <c r="S112" s="894" t="str">
        <f t="shared" ref="S112:T112" si="513">IF($R112="","",INDIRECT(ADDRESS($R112,S$1,1,,"Score")))</f>
        <v>101</v>
      </c>
      <c r="T112" s="419">
        <f t="shared" si="513"/>
        <v>16</v>
      </c>
      <c r="U112" s="669">
        <f>IF(R112="","",SUM(T112,T113))</f>
        <v>16</v>
      </c>
      <c r="V112" s="669">
        <f>IF(R112="","",U112-E112)</f>
        <v>16</v>
      </c>
      <c r="W112" s="927" t="str">
        <f t="shared" ref="W112:X112" si="514">IF($R112="","",IF(ISBLANK(INDIRECT(ADDRESS($R112,W$1,1,,"Score"))),"",1))</f>
        <v/>
      </c>
      <c r="X112" s="927">
        <f t="shared" si="514"/>
        <v>1</v>
      </c>
      <c r="Y112" s="928">
        <f>IF(X112=1,V112,"")</f>
        <v>16</v>
      </c>
      <c r="Z112" s="927">
        <f t="shared" ref="Z112:AB112" si="515">IF($R112="","",IF(ISBLANK(INDIRECT(ADDRESS($R112,Z$1,1,,"Score"))),"",1))</f>
        <v>1</v>
      </c>
      <c r="AA112" s="927" t="str">
        <f t="shared" si="515"/>
        <v/>
      </c>
      <c r="AB112" s="927" t="str">
        <f t="shared" si="515"/>
        <v/>
      </c>
      <c r="AC112" s="419">
        <f t="shared" si="399"/>
        <v>4</v>
      </c>
      <c r="AD112" s="669" t="str">
        <f>N112</f>
        <v/>
      </c>
      <c r="AE112" s="669" t="str">
        <f>IF(OR(AD112="",AD112=0),"",60*U112/AD112)</f>
        <v/>
      </c>
    </row>
    <row r="113" ht="12.75" customHeight="1">
      <c r="A113" s="669"/>
      <c r="B113" s="419">
        <f>IF($B112="","",IF(INDIRECT(ADDRESS($B112+1,C$1-1,1,,"Score"))="SP",$B112+1,""))</f>
        <v>60</v>
      </c>
      <c r="C113" s="894" t="str">
        <f t="shared" ref="C113:D113" si="516">IF($B113="","",INDIRECT(ADDRESS($B113,C$1,1,,"Score")))</f>
        <v>912</v>
      </c>
      <c r="D113" s="419">
        <f t="shared" si="516"/>
        <v>0</v>
      </c>
      <c r="E113" s="669"/>
      <c r="F113" s="669"/>
      <c r="G113" s="927"/>
      <c r="H113" s="927"/>
      <c r="I113" s="928"/>
      <c r="J113" s="927" t="str">
        <f t="shared" ref="J113:L113" si="517">IF($B113="","",IF(ISBLANK(INDIRECT(ADDRESS($B113,J$1,1,,"Score"))),"",1))</f>
        <v/>
      </c>
      <c r="K113" s="927" t="str">
        <f t="shared" si="517"/>
        <v/>
      </c>
      <c r="L113" s="927" t="str">
        <f t="shared" si="517"/>
        <v/>
      </c>
      <c r="M113" s="419">
        <f t="shared" si="396"/>
        <v>1</v>
      </c>
      <c r="N113" s="669"/>
      <c r="O113" s="669"/>
      <c r="P113" s="419"/>
      <c r="Q113" s="669"/>
      <c r="R113" s="419" t="str">
        <f>IF($R112="","",IF(INDIRECT(ADDRESS($R112+1,S$1-1,1,,"Score"))="SP",$R112+1,""))</f>
        <v/>
      </c>
      <c r="S113" s="894" t="str">
        <f t="shared" ref="S113:T113" si="518">IF($R113="","",INDIRECT(ADDRESS($R113,S$1,1,,"Score")))</f>
        <v/>
      </c>
      <c r="T113" s="419" t="str">
        <f t="shared" si="518"/>
        <v/>
      </c>
      <c r="U113" s="669"/>
      <c r="V113" s="669"/>
      <c r="W113" s="927"/>
      <c r="X113" s="927"/>
      <c r="Y113" s="928"/>
      <c r="Z113" s="927" t="str">
        <f t="shared" ref="Z113:AB113" si="519">IF($R113="","",IF(ISBLANK(INDIRECT(ADDRESS($R113,Z$1,1,,"Score"))),"",1))</f>
        <v/>
      </c>
      <c r="AA113" s="927" t="str">
        <f t="shared" si="519"/>
        <v/>
      </c>
      <c r="AB113" s="927" t="str">
        <f t="shared" si="519"/>
        <v/>
      </c>
      <c r="AC113" s="419" t="str">
        <f t="shared" si="399"/>
        <v/>
      </c>
      <c r="AD113" s="669"/>
      <c r="AE113" s="669"/>
    </row>
    <row r="114" ht="12.75" customHeight="1">
      <c r="A114" s="929">
        <f>A112+1</f>
        <v>14</v>
      </c>
      <c r="B114" s="930">
        <f>IF(ISNA(MATCH($A114,Score!A$46:A$83,0)),"",MATCH($A114,Score!A$46:A$83,0)+ROW(Score!A$45))</f>
        <v>61</v>
      </c>
      <c r="C114" s="931" t="str">
        <f t="shared" ref="C114:D114" si="520">IF($B114="","",INDIRECT(ADDRESS($B114,C$1,1,,"Score")))</f>
        <v>45</v>
      </c>
      <c r="D114" s="930">
        <f t="shared" si="520"/>
        <v>0</v>
      </c>
      <c r="E114" s="929">
        <f>IF(B114="","",SUM(D114,D115))</f>
        <v>4</v>
      </c>
      <c r="F114" s="929">
        <f>IF(B114="","",E114-U114)</f>
        <v>-4</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f t="shared" si="522"/>
        <v>1</v>
      </c>
      <c r="M114" s="930">
        <f t="shared" si="396"/>
        <v>0</v>
      </c>
      <c r="N114" s="669"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61</v>
      </c>
      <c r="S114" s="931" t="str">
        <f t="shared" ref="S114:T114" si="523">IF($R114="","",INDIRECT(ADDRESS($R114,S$1,1,,"Score")))</f>
        <v>16</v>
      </c>
      <c r="T114" s="930">
        <f t="shared" si="523"/>
        <v>8</v>
      </c>
      <c r="U114" s="929">
        <f>IF(R114="","",SUM(T114,T115))</f>
        <v>8</v>
      </c>
      <c r="V114" s="929">
        <f>IF(R114="","",U114-E114)</f>
        <v>4</v>
      </c>
      <c r="W114" s="932" t="str">
        <f t="shared" ref="W114:X114" si="524">IF($R114="","",IF(ISBLANK(INDIRECT(ADDRESS($R114,W$1,1,,"Score"))),"",1))</f>
        <v/>
      </c>
      <c r="X114" s="932">
        <f t="shared" si="524"/>
        <v>1</v>
      </c>
      <c r="Y114" s="933">
        <f>IF(X114=1,V114,"")</f>
        <v>4</v>
      </c>
      <c r="Z114" s="932" t="str">
        <f t="shared" ref="Z114:AB114" si="525">IF($R114="","",IF(ISBLANK(INDIRECT(ADDRESS($R114,Z$1,1,,"Score"))),"",1))</f>
        <v/>
      </c>
      <c r="AA114" s="932" t="str">
        <f t="shared" si="525"/>
        <v/>
      </c>
      <c r="AB114" s="932" t="str">
        <f t="shared" si="525"/>
        <v/>
      </c>
      <c r="AC114" s="930">
        <f t="shared" si="399"/>
        <v>3</v>
      </c>
      <c r="AD114" s="929" t="str">
        <f>N114</f>
        <v/>
      </c>
      <c r="AE114" s="929" t="str">
        <f>IF(OR(AD114="",AD114=0),"",60*U114/AD114)</f>
        <v/>
      </c>
    </row>
    <row r="115" ht="12.75" customHeight="1">
      <c r="A115" s="929"/>
      <c r="B115" s="930">
        <f>IF($B114="","",IF(INDIRECT(ADDRESS($B114+1,C$1-1,1,,"Score"))="SP",$B114+1,""))</f>
        <v>62</v>
      </c>
      <c r="C115" s="931" t="str">
        <f t="shared" ref="C115:D115" si="526">IF($B115="","",INDIRECT(ADDRESS($B115,C$1,1,,"Score")))</f>
        <v>999</v>
      </c>
      <c r="D115" s="930">
        <f t="shared" si="526"/>
        <v>4</v>
      </c>
      <c r="E115" s="929"/>
      <c r="F115" s="929"/>
      <c r="G115" s="932"/>
      <c r="H115" s="934"/>
      <c r="I115" s="933"/>
      <c r="J115" s="932" t="str">
        <f t="shared" ref="J115:L115" si="527">IF($B115="","",IF(ISBLANK(INDIRECT(ADDRESS($B115,J$1,1,,"Score"))),"",1))</f>
        <v/>
      </c>
      <c r="K115" s="932" t="str">
        <f t="shared" si="527"/>
        <v/>
      </c>
      <c r="L115" s="932" t="str">
        <f t="shared" si="527"/>
        <v/>
      </c>
      <c r="M115" s="930">
        <f t="shared" si="396"/>
        <v>2</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69">
        <f>A114+1</f>
        <v>15</v>
      </c>
      <c r="B116" s="419">
        <f>IF(ISNA(MATCH($A116,Score!A$46:A$83,0)),"",MATCH($A116,Score!A$46:A$83,0)+ROW(Score!A$45))</f>
        <v>63</v>
      </c>
      <c r="C116" s="894" t="str">
        <f t="shared" ref="C116:D116" si="530">IF($B116="","",INDIRECT(ADDRESS($B116,C$1,1,,"Score")))</f>
        <v>93</v>
      </c>
      <c r="D116" s="419">
        <f t="shared" si="530"/>
        <v>4</v>
      </c>
      <c r="E116" s="669">
        <f>IF(B116="","",SUM(D116,D117))</f>
        <v>4</v>
      </c>
      <c r="F116" s="669">
        <f>IF(B116="","",E116-U116)</f>
        <v>-4</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19">
        <f t="shared" si="396"/>
        <v>1</v>
      </c>
      <c r="N116" s="669" t="str">
        <f>IF(ISNA(MATCH($A116,'Game Clock'!A$62:A$99,0)),"",INDIRECT(ADDRESS(MATCH($A116,'Game Clock'!A$62:A$99,0)+ROW('Game Clock'!A$61),N$1,1,,"Game Clock")))</f>
        <v/>
      </c>
      <c r="O116" s="669" t="str">
        <f>IF(OR(N116="",N116=0),"",60*E116/N116)</f>
        <v/>
      </c>
      <c r="P116" s="419"/>
      <c r="Q116" s="669">
        <f>Q114+1</f>
        <v>15</v>
      </c>
      <c r="R116" s="419">
        <f>IF(ISNA(MATCH($Q116,Score!T$46:T$83,0)),"",MATCH($Q116,Score!T$46:T$83,0)+ROW(Score!T$45))</f>
        <v>63</v>
      </c>
      <c r="S116" s="894" t="str">
        <f t="shared" ref="S116:T116" si="533">IF($R116="","",INDIRECT(ADDRESS($R116,S$1,1,,"Score")))</f>
        <v>11</v>
      </c>
      <c r="T116" s="419">
        <f t="shared" si="533"/>
        <v>8</v>
      </c>
      <c r="U116" s="669">
        <f>IF(R116="","",SUM(T116,T117))</f>
        <v>8</v>
      </c>
      <c r="V116" s="669">
        <f>IF(R116="","",U116-E116)</f>
        <v>4</v>
      </c>
      <c r="W116" s="927">
        <f t="shared" ref="W116:X116" si="534">IF($R116="","",IF(ISBLANK(INDIRECT(ADDRESS($R116,W$1,1,,"Score"))),"",1))</f>
        <v>1</v>
      </c>
      <c r="X116" s="927">
        <f t="shared" si="534"/>
        <v>1</v>
      </c>
      <c r="Y116" s="928">
        <f>IF(X116=1,V116,"")</f>
        <v>4</v>
      </c>
      <c r="Z116" s="927" t="str">
        <f t="shared" ref="Z116:AB116" si="535">IF($R116="","",IF(ISBLANK(INDIRECT(ADDRESS($R116,Z$1,1,,"Score"))),"",1))</f>
        <v/>
      </c>
      <c r="AA116" s="927" t="str">
        <f t="shared" si="535"/>
        <v/>
      </c>
      <c r="AB116" s="927" t="str">
        <f t="shared" si="535"/>
        <v/>
      </c>
      <c r="AC116" s="419">
        <f t="shared" si="399"/>
        <v>2</v>
      </c>
      <c r="AD116" s="669" t="str">
        <f>N116</f>
        <v/>
      </c>
      <c r="AE116" s="669" t="str">
        <f>IF(OR(AD116="",AD116=0),"",60*U116/AD116)</f>
        <v/>
      </c>
    </row>
    <row r="117" ht="12.75" customHeight="1">
      <c r="A117" s="669"/>
      <c r="B117" s="419" t="str">
        <f>IF($B116="","",IF(INDIRECT(ADDRESS($B116+1,C$1-1,1,,"Score"))="SP",$B116+1,""))</f>
        <v/>
      </c>
      <c r="C117" s="894" t="str">
        <f t="shared" ref="C117:D117" si="536">IF($B117="","",INDIRECT(ADDRESS($B117,C$1,1,,"Score")))</f>
        <v/>
      </c>
      <c r="D117" s="419" t="str">
        <f t="shared" si="536"/>
        <v/>
      </c>
      <c r="E117" s="669"/>
      <c r="F117" s="669"/>
      <c r="G117" s="927"/>
      <c r="H117" s="927"/>
      <c r="I117" s="928"/>
      <c r="J117" s="927" t="str">
        <f t="shared" ref="J117:L117" si="537">IF($B117="","",IF(ISBLANK(INDIRECT(ADDRESS($B117,J$1,1,,"Score"))),"",1))</f>
        <v/>
      </c>
      <c r="K117" s="927" t="str">
        <f t="shared" si="537"/>
        <v/>
      </c>
      <c r="L117" s="927" t="str">
        <f t="shared" si="537"/>
        <v/>
      </c>
      <c r="M117" s="419" t="str">
        <f t="shared" si="396"/>
        <v/>
      </c>
      <c r="N117" s="669"/>
      <c r="O117" s="669"/>
      <c r="P117" s="419"/>
      <c r="Q117" s="669"/>
      <c r="R117" s="419" t="str">
        <f>IF($R116="","",IF(INDIRECT(ADDRESS($R116+1,S$1-1,1,,"Score"))="SP",$R116+1,""))</f>
        <v/>
      </c>
      <c r="S117" s="894" t="str">
        <f t="shared" ref="S117:T117" si="538">IF($R117="","",INDIRECT(ADDRESS($R117,S$1,1,,"Score")))</f>
        <v/>
      </c>
      <c r="T117" s="419" t="str">
        <f t="shared" si="538"/>
        <v/>
      </c>
      <c r="U117" s="669"/>
      <c r="V117" s="669"/>
      <c r="W117" s="927"/>
      <c r="X117" s="927"/>
      <c r="Y117" s="928"/>
      <c r="Z117" s="927" t="str">
        <f t="shared" ref="Z117:AB117" si="539">IF($R117="","",IF(ISBLANK(INDIRECT(ADDRESS($R117,Z$1,1,,"Score"))),"",1))</f>
        <v/>
      </c>
      <c r="AA117" s="927" t="str">
        <f t="shared" si="539"/>
        <v/>
      </c>
      <c r="AB117" s="927" t="str">
        <f t="shared" si="539"/>
        <v/>
      </c>
      <c r="AC117" s="419" t="str">
        <f t="shared" si="399"/>
        <v/>
      </c>
      <c r="AD117" s="669"/>
      <c r="AE117" s="669"/>
    </row>
    <row r="118" ht="12.75" customHeight="1">
      <c r="A118" s="929">
        <f>A116+1</f>
        <v>16</v>
      </c>
      <c r="B118" s="930">
        <f>IF(ISNA(MATCH($A118,Score!A$46:A$83,0)),"",MATCH($A118,Score!A$46:A$83,0)+ROW(Score!A$45))</f>
        <v>64</v>
      </c>
      <c r="C118" s="931" t="str">
        <f t="shared" ref="C118:D118" si="540">IF($B118="","",INDIRECT(ADDRESS($B118,C$1,1,,"Score")))</f>
        <v>93</v>
      </c>
      <c r="D118" s="930">
        <f t="shared" si="540"/>
        <v>3</v>
      </c>
      <c r="E118" s="929">
        <f>IF(B118="","",SUM(D118,D119))</f>
        <v>3</v>
      </c>
      <c r="F118" s="929">
        <f>IF(B118="","",E118-U118)</f>
        <v>-13</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t="str">
        <f t="shared" si="542"/>
        <v/>
      </c>
      <c r="M118" s="930">
        <f t="shared" si="396"/>
        <v>1</v>
      </c>
      <c r="N118" s="669"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64</v>
      </c>
      <c r="S118" s="931" t="str">
        <f t="shared" ref="S118:T118" si="543">IF($R118="","",INDIRECT(ADDRESS($R118,S$1,1,,"Score")))</f>
        <v>101</v>
      </c>
      <c r="T118" s="930">
        <f t="shared" si="543"/>
        <v>16</v>
      </c>
      <c r="U118" s="929">
        <f>IF(R118="","",SUM(T118,T119))</f>
        <v>16</v>
      </c>
      <c r="V118" s="929">
        <f>IF(R118="","",U118-E118)</f>
        <v>13</v>
      </c>
      <c r="W118" s="932" t="str">
        <f t="shared" ref="W118:X118" si="544">IF($R118="","",IF(ISBLANK(INDIRECT(ADDRESS($R118,W$1,1,,"Score"))),"",1))</f>
        <v/>
      </c>
      <c r="X118" s="932">
        <f t="shared" si="544"/>
        <v>1</v>
      </c>
      <c r="Y118" s="933">
        <f>IF(X118=1,V118,"")</f>
        <v>13</v>
      </c>
      <c r="Z118" s="932">
        <f t="shared" ref="Z118:AB118" si="545">IF($R118="","",IF(ISBLANK(INDIRECT(ADDRESS($R118,Z$1,1,,"Score"))),"",1))</f>
        <v>1</v>
      </c>
      <c r="AA118" s="932" t="str">
        <f t="shared" si="545"/>
        <v/>
      </c>
      <c r="AB118" s="932" t="str">
        <f t="shared" si="545"/>
        <v/>
      </c>
      <c r="AC118" s="930">
        <f t="shared" si="399"/>
        <v>4</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69">
        <f>A118+1</f>
        <v>17</v>
      </c>
      <c r="B120" s="419">
        <f>IF(ISNA(MATCH($A120,Score!A$46:A$83,0)),"",MATCH($A120,Score!A$46:A$83,0)+ROW(Score!A$45))</f>
        <v>65</v>
      </c>
      <c r="C120" s="894" t="str">
        <f t="shared" ref="C120:D120" si="550">IF($B120="","",INDIRECT(ADDRESS($B120,C$1,1,,"Score")))</f>
        <v>16</v>
      </c>
      <c r="D120" s="419">
        <f t="shared" si="550"/>
        <v>4</v>
      </c>
      <c r="E120" s="669">
        <f>IF(B120="","",SUM(D120,D121))</f>
        <v>4</v>
      </c>
      <c r="F120" s="669">
        <f>IF(B120="","",E120-U120)</f>
        <v>2</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t="str">
        <f t="shared" si="552"/>
        <v/>
      </c>
      <c r="M120" s="419">
        <f t="shared" si="396"/>
        <v>1</v>
      </c>
      <c r="N120" s="669" t="str">
        <f>IF(ISNA(MATCH($A120,'Game Clock'!A$62:A$99,0)),"",INDIRECT(ADDRESS(MATCH($A120,'Game Clock'!A$62:A$99,0)+ROW('Game Clock'!A$61),N$1,1,,"Game Clock")))</f>
        <v/>
      </c>
      <c r="O120" s="669" t="str">
        <f>IF(OR(N120="",N120=0),"",60*E120/N120)</f>
        <v/>
      </c>
      <c r="P120" s="419"/>
      <c r="Q120" s="669">
        <f>Q118+1</f>
        <v>17</v>
      </c>
      <c r="R120" s="419">
        <f>IF(ISNA(MATCH($Q120,Score!T$46:T$83,0)),"",MATCH($Q120,Score!T$46:T$83,0)+ROW(Score!T$45))</f>
        <v>65</v>
      </c>
      <c r="S120" s="894" t="str">
        <f t="shared" ref="S120:T120" si="553">IF($R120="","",INDIRECT(ADDRESS($R120,S$1,1,,"Score")))</f>
        <v>16</v>
      </c>
      <c r="T120" s="419">
        <f t="shared" si="553"/>
        <v>2</v>
      </c>
      <c r="U120" s="669">
        <f>IF(R120="","",SUM(T120,T121))</f>
        <v>2</v>
      </c>
      <c r="V120" s="669">
        <f>IF(R120="","",U120-E120)</f>
        <v>-2</v>
      </c>
      <c r="W120" s="927" t="str">
        <f t="shared" ref="W120:X120" si="554">IF($R120="","",IF(ISBLANK(INDIRECT(ADDRESS($R120,W$1,1,,"Score"))),"",1))</f>
        <v/>
      </c>
      <c r="X120" s="927">
        <f t="shared" si="554"/>
        <v>1</v>
      </c>
      <c r="Y120" s="928">
        <f>IF(X120=1,V120,"")</f>
        <v>-2</v>
      </c>
      <c r="Z120" s="927">
        <f t="shared" ref="Z120:AB120" si="555">IF($R120="","",IF(ISBLANK(INDIRECT(ADDRESS($R120,Z$1,1,,"Score"))),"",1))</f>
        <v>1</v>
      </c>
      <c r="AA120" s="927" t="str">
        <f t="shared" si="555"/>
        <v/>
      </c>
      <c r="AB120" s="927" t="str">
        <f t="shared" si="555"/>
        <v/>
      </c>
      <c r="AC120" s="419">
        <f t="shared" si="399"/>
        <v>1</v>
      </c>
      <c r="AD120" s="669" t="str">
        <f>N120</f>
        <v/>
      </c>
      <c r="AE120" s="669" t="str">
        <f>IF(OR(AD120="",AD120=0),"",60*U120/AD120)</f>
        <v/>
      </c>
    </row>
    <row r="121" ht="12.75" customHeight="1">
      <c r="A121" s="669"/>
      <c r="B121" s="419" t="str">
        <f>IF($B120="","",IF(INDIRECT(ADDRESS($B120+1,C$1-1,1,,"Score"))="SP",$B120+1,""))</f>
        <v/>
      </c>
      <c r="C121" s="894" t="str">
        <f t="shared" ref="C121:D121" si="556">IF($B121="","",INDIRECT(ADDRESS($B121,C$1,1,,"Score")))</f>
        <v/>
      </c>
      <c r="D121" s="419" t="str">
        <f t="shared" si="556"/>
        <v/>
      </c>
      <c r="E121" s="669"/>
      <c r="F121" s="669"/>
      <c r="G121" s="927"/>
      <c r="H121" s="927"/>
      <c r="I121" s="928"/>
      <c r="J121" s="927" t="str">
        <f t="shared" ref="J121:L121" si="557">IF($B121="","",IF(ISBLANK(INDIRECT(ADDRESS($B121,J$1,1,,"Score"))),"",1))</f>
        <v/>
      </c>
      <c r="K121" s="927" t="str">
        <f t="shared" si="557"/>
        <v/>
      </c>
      <c r="L121" s="927" t="str">
        <f t="shared" si="557"/>
        <v/>
      </c>
      <c r="M121" s="419" t="str">
        <f t="shared" si="396"/>
        <v/>
      </c>
      <c r="N121" s="669"/>
      <c r="O121" s="669"/>
      <c r="P121" s="419"/>
      <c r="Q121" s="669"/>
      <c r="R121" s="419" t="str">
        <f>IF($R120="","",IF(INDIRECT(ADDRESS($R120+1,S$1-1,1,,"Score"))="SP",$R120+1,""))</f>
        <v/>
      </c>
      <c r="S121" s="894" t="str">
        <f t="shared" ref="S121:T121" si="558">IF($R121="","",INDIRECT(ADDRESS($R121,S$1,1,,"Score")))</f>
        <v/>
      </c>
      <c r="T121" s="419" t="str">
        <f t="shared" si="558"/>
        <v/>
      </c>
      <c r="U121" s="669"/>
      <c r="V121" s="669"/>
      <c r="W121" s="927"/>
      <c r="X121" s="927"/>
      <c r="Y121" s="928"/>
      <c r="Z121" s="927" t="str">
        <f t="shared" ref="Z121:AB121" si="559">IF($R121="","",IF(ISBLANK(INDIRECT(ADDRESS($R121,Z$1,1,,"Score"))),"",1))</f>
        <v/>
      </c>
      <c r="AA121" s="927" t="str">
        <f t="shared" si="559"/>
        <v/>
      </c>
      <c r="AB121" s="927" t="str">
        <f t="shared" si="559"/>
        <v/>
      </c>
      <c r="AC121" s="419" t="str">
        <f t="shared" si="399"/>
        <v/>
      </c>
      <c r="AD121" s="669"/>
      <c r="AE121" s="669"/>
    </row>
    <row r="122" ht="12.75" customHeight="1">
      <c r="A122" s="929">
        <f>A120+1</f>
        <v>18</v>
      </c>
      <c r="B122" s="930">
        <f>IF(ISNA(MATCH($A122,Score!A$46:A$83,0)),"",MATCH($A122,Score!A$46:A$83,0)+ROW(Score!A$45))</f>
        <v>66</v>
      </c>
      <c r="C122" s="931" t="str">
        <f t="shared" ref="C122:D122" si="560">IF($B122="","",INDIRECT(ADDRESS($B122,C$1,1,,"Score")))</f>
        <v>271</v>
      </c>
      <c r="D122" s="930">
        <f t="shared" si="560"/>
        <v>0</v>
      </c>
      <c r="E122" s="929">
        <f>IF(B122="","",SUM(D122,D123))</f>
        <v>0</v>
      </c>
      <c r="F122" s="929">
        <f>IF(B122="","",E122-U122)</f>
        <v>-3</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1</v>
      </c>
      <c r="N122" s="669"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66</v>
      </c>
      <c r="S122" s="931" t="str">
        <f t="shared" ref="S122:T122" si="563">IF($R122="","",INDIRECT(ADDRESS($R122,S$1,1,,"Score")))</f>
        <v>11</v>
      </c>
      <c r="T122" s="930">
        <f t="shared" si="563"/>
        <v>3</v>
      </c>
      <c r="U122" s="929">
        <f>IF(R122="","",SUM(T122,T123))</f>
        <v>3</v>
      </c>
      <c r="V122" s="929">
        <f>IF(R122="","",U122-E122)</f>
        <v>3</v>
      </c>
      <c r="W122" s="932" t="str">
        <f t="shared" ref="W122:X122" si="564">IF($R122="","",IF(ISBLANK(INDIRECT(ADDRESS($R122,W$1,1,,"Score"))),"",1))</f>
        <v/>
      </c>
      <c r="X122" s="932">
        <f t="shared" si="564"/>
        <v>1</v>
      </c>
      <c r="Y122" s="933">
        <f>IF(X122=1,V122,"")</f>
        <v>3</v>
      </c>
      <c r="Z122" s="932">
        <f t="shared" ref="Z122:AB122" si="565">IF($R122="","",IF(ISBLANK(INDIRECT(ADDRESS($R122,Z$1,1,,"Score"))),"",1))</f>
        <v>1</v>
      </c>
      <c r="AA122" s="932" t="str">
        <f t="shared" si="565"/>
        <v/>
      </c>
      <c r="AB122" s="932" t="str">
        <f t="shared" si="565"/>
        <v/>
      </c>
      <c r="AC122" s="930">
        <f t="shared" si="399"/>
        <v>1</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69">
        <f>A122+1</f>
        <v>19</v>
      </c>
      <c r="B124" s="419">
        <f>IF(ISNA(MATCH($A124,Score!A$46:A$83,0)),"",MATCH($A124,Score!A$46:A$83,0)+ROW(Score!A$45))</f>
        <v>67</v>
      </c>
      <c r="C124" s="894" t="str">
        <f t="shared" ref="C124:D124" si="570">IF($B124="","",INDIRECT(ADDRESS($B124,C$1,1,,"Score")))</f>
        <v>45</v>
      </c>
      <c r="D124" s="419">
        <f t="shared" si="570"/>
        <v>0</v>
      </c>
      <c r="E124" s="669">
        <f>IF(B124="","",SUM(D124,D125))</f>
        <v>0</v>
      </c>
      <c r="F124" s="669">
        <f>IF(B124="","",E124-U124)</f>
        <v>-16</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f t="shared" si="572"/>
        <v>1</v>
      </c>
      <c r="M124" s="419">
        <f t="shared" si="396"/>
        <v>0</v>
      </c>
      <c r="N124" s="669" t="str">
        <f>IF(ISNA(MATCH($A124,'Game Clock'!A$62:A$99,0)),"",INDIRECT(ADDRESS(MATCH($A124,'Game Clock'!A$62:A$99,0)+ROW('Game Clock'!A$61),N$1,1,,"Game Clock")))</f>
        <v/>
      </c>
      <c r="O124" s="669" t="str">
        <f>IF(OR(N124="",N124=0),"",60*E124/N124)</f>
        <v/>
      </c>
      <c r="P124" s="419"/>
      <c r="Q124" s="669">
        <f>Q122+1</f>
        <v>19</v>
      </c>
      <c r="R124" s="419">
        <f>IF(ISNA(MATCH($Q124,Score!T$46:T$83,0)),"",MATCH($Q124,Score!T$46:T$83,0)+ROW(Score!T$45))</f>
        <v>67</v>
      </c>
      <c r="S124" s="894" t="str">
        <f t="shared" ref="S124:T124" si="573">IF($R124="","",INDIRECT(ADDRESS($R124,S$1,1,,"Score")))</f>
        <v>101</v>
      </c>
      <c r="T124" s="419">
        <f t="shared" si="573"/>
        <v>16</v>
      </c>
      <c r="U124" s="669">
        <f>IF(R124="","",SUM(T124,T125))</f>
        <v>16</v>
      </c>
      <c r="V124" s="669">
        <f>IF(R124="","",U124-E124)</f>
        <v>16</v>
      </c>
      <c r="W124" s="927" t="str">
        <f t="shared" ref="W124:X124" si="574">IF($R124="","",IF(ISBLANK(INDIRECT(ADDRESS($R124,W$1,1,,"Score"))),"",1))</f>
        <v/>
      </c>
      <c r="X124" s="927">
        <f t="shared" si="574"/>
        <v>1</v>
      </c>
      <c r="Y124" s="928">
        <f>IF(X124=1,V124,"")</f>
        <v>16</v>
      </c>
      <c r="Z124" s="927">
        <f t="shared" ref="Z124:AB124" si="575">IF($R124="","",IF(ISBLANK(INDIRECT(ADDRESS($R124,Z$1,1,,"Score"))),"",1))</f>
        <v>1</v>
      </c>
      <c r="AA124" s="927" t="str">
        <f t="shared" si="575"/>
        <v/>
      </c>
      <c r="AB124" s="927" t="str">
        <f t="shared" si="575"/>
        <v/>
      </c>
      <c r="AC124" s="419">
        <f t="shared" si="399"/>
        <v>5</v>
      </c>
      <c r="AD124" s="669" t="str">
        <f>N124</f>
        <v/>
      </c>
      <c r="AE124" s="669" t="str">
        <f>IF(OR(AD124="",AD124=0),"",60*U124/AD124)</f>
        <v/>
      </c>
    </row>
    <row r="125" ht="12.75" customHeight="1">
      <c r="A125" s="669"/>
      <c r="B125" s="419" t="str">
        <f>IF($B124="","",IF(INDIRECT(ADDRESS($B124+1,C$1-1,1,,"Score"))="SP",$B124+1,""))</f>
        <v/>
      </c>
      <c r="C125" s="894" t="str">
        <f t="shared" ref="C125:D125" si="576">IF($B125="","",INDIRECT(ADDRESS($B125,C$1,1,,"Score")))</f>
        <v/>
      </c>
      <c r="D125" s="419" t="str">
        <f t="shared" si="576"/>
        <v/>
      </c>
      <c r="E125" s="669"/>
      <c r="F125" s="669"/>
      <c r="G125" s="927"/>
      <c r="H125" s="927"/>
      <c r="I125" s="928"/>
      <c r="J125" s="927" t="str">
        <f t="shared" ref="J125:L125" si="577">IF($B125="","",IF(ISBLANK(INDIRECT(ADDRESS($B125,J$1,1,,"Score"))),"",1))</f>
        <v/>
      </c>
      <c r="K125" s="927" t="str">
        <f t="shared" si="577"/>
        <v/>
      </c>
      <c r="L125" s="927" t="str">
        <f t="shared" si="577"/>
        <v/>
      </c>
      <c r="M125" s="419" t="str">
        <f t="shared" si="396"/>
        <v/>
      </c>
      <c r="N125" s="669"/>
      <c r="O125" s="669"/>
      <c r="P125" s="419"/>
      <c r="Q125" s="669"/>
      <c r="R125" s="419" t="str">
        <f>IF($R124="","",IF(INDIRECT(ADDRESS($R124+1,S$1-1,1,,"Score"))="SP",$R124+1,""))</f>
        <v/>
      </c>
      <c r="S125" s="894" t="str">
        <f t="shared" ref="S125:T125" si="578">IF($R125="","",INDIRECT(ADDRESS($R125,S$1,1,,"Score")))</f>
        <v/>
      </c>
      <c r="T125" s="419" t="str">
        <f t="shared" si="578"/>
        <v/>
      </c>
      <c r="U125" s="669"/>
      <c r="V125" s="669"/>
      <c r="W125" s="927"/>
      <c r="X125" s="927"/>
      <c r="Y125" s="928"/>
      <c r="Z125" s="927" t="str">
        <f t="shared" ref="Z125:AB125" si="579">IF($R125="","",IF(ISBLANK(INDIRECT(ADDRESS($R125,Z$1,1,,"Score"))),"",1))</f>
        <v/>
      </c>
      <c r="AA125" s="927" t="str">
        <f t="shared" si="579"/>
        <v/>
      </c>
      <c r="AB125" s="927" t="str">
        <f t="shared" si="579"/>
        <v/>
      </c>
      <c r="AC125" s="419" t="str">
        <f t="shared" si="399"/>
        <v/>
      </c>
      <c r="AD125" s="669"/>
      <c r="AE125" s="669"/>
    </row>
    <row r="126" ht="12.75" customHeight="1">
      <c r="A126" s="929">
        <f>A124+1</f>
        <v>20</v>
      </c>
      <c r="B126" s="930">
        <f>IF(ISNA(MATCH($A126,Score!A$46:A$83,0)),"",MATCH($A126,Score!A$46:A$83,0)+ROW(Score!A$45))</f>
        <v>68</v>
      </c>
      <c r="C126" s="931" t="str">
        <f t="shared" ref="C126:D126" si="580">IF($B126="","",INDIRECT(ADDRESS($B126,C$1,1,,"Score")))</f>
        <v>93</v>
      </c>
      <c r="D126" s="930">
        <f t="shared" si="580"/>
        <v>0</v>
      </c>
      <c r="E126" s="929">
        <f>IF(B126="","",SUM(D126,D127))</f>
        <v>0</v>
      </c>
      <c r="F126" s="929">
        <f>IF(B126="","",E126-U126)</f>
        <v>-8</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f t="shared" si="582"/>
        <v>1</v>
      </c>
      <c r="M126" s="930">
        <f t="shared" si="396"/>
        <v>0</v>
      </c>
      <c r="N126" s="669"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68</v>
      </c>
      <c r="S126" s="931" t="str">
        <f t="shared" ref="S126:T126" si="583">IF($R126="","",INDIRECT(ADDRESS($R126,S$1,1,,"Score")))</f>
        <v>16</v>
      </c>
      <c r="T126" s="930">
        <f t="shared" si="583"/>
        <v>8</v>
      </c>
      <c r="U126" s="929">
        <f>IF(R126="","",SUM(T126,T127))</f>
        <v>8</v>
      </c>
      <c r="V126" s="929">
        <f>IF(R126="","",U126-E126)</f>
        <v>8</v>
      </c>
      <c r="W126" s="932" t="str">
        <f t="shared" ref="W126:X126" si="584">IF($R126="","",IF(ISBLANK(INDIRECT(ADDRESS($R126,W$1,1,,"Score"))),"",1))</f>
        <v/>
      </c>
      <c r="X126" s="932">
        <f t="shared" si="584"/>
        <v>1</v>
      </c>
      <c r="Y126" s="933">
        <f>IF(X126=1,V126,"")</f>
        <v>8</v>
      </c>
      <c r="Z126" s="932">
        <f t="shared" ref="Z126:AB126" si="585">IF($R126="","",IF(ISBLANK(INDIRECT(ADDRESS($R126,Z$1,1,,"Score"))),"",1))</f>
        <v>1</v>
      </c>
      <c r="AA126" s="932" t="str">
        <f t="shared" si="585"/>
        <v/>
      </c>
      <c r="AB126" s="932" t="str">
        <f t="shared" si="585"/>
        <v/>
      </c>
      <c r="AC126" s="930">
        <f t="shared" si="399"/>
        <v>3</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69">
        <f>A126+1</f>
        <v>21</v>
      </c>
      <c r="B128" s="419">
        <f>IF(ISNA(MATCH($A128,Score!A$46:A$83,0)),"",MATCH($A128,Score!A$46:A$83,0)+ROW(Score!A$45))</f>
        <v>69</v>
      </c>
      <c r="C128" s="894" t="str">
        <f t="shared" ref="C128:D128" si="590">IF($B128="","",INDIRECT(ADDRESS($B128,C$1,1,,"Score")))</f>
        <v>16</v>
      </c>
      <c r="D128" s="419">
        <f t="shared" si="590"/>
        <v>9</v>
      </c>
      <c r="E128" s="669">
        <f>IF(B128="","",SUM(D128,D129))</f>
        <v>9</v>
      </c>
      <c r="F128" s="669">
        <f>IF(B128="","",E128-U128)</f>
        <v>9</v>
      </c>
      <c r="G128" s="927" t="str">
        <f t="shared" ref="G128:H128" si="591">IF($B128="","",IF(ISBLANK(INDIRECT(ADDRESS($B128,G$1,1,,"Score"))),"",1))</f>
        <v/>
      </c>
      <c r="H128" s="927">
        <f t="shared" si="591"/>
        <v>1</v>
      </c>
      <c r="I128" s="928">
        <f>IF(H128=1,F128,"")</f>
        <v>9</v>
      </c>
      <c r="J128" s="927">
        <f t="shared" ref="J128:L128" si="592">IF($B128="","",IF(ISBLANK(INDIRECT(ADDRESS($B128,J$1,1,,"Score"))),"",1))</f>
        <v>1</v>
      </c>
      <c r="K128" s="927" t="str">
        <f t="shared" si="592"/>
        <v/>
      </c>
      <c r="L128" s="927" t="str">
        <f t="shared" si="592"/>
        <v/>
      </c>
      <c r="M128" s="419">
        <f t="shared" si="396"/>
        <v>3</v>
      </c>
      <c r="N128" s="669" t="str">
        <f>IF(ISNA(MATCH($A128,'Game Clock'!A$62:A$99,0)),"",INDIRECT(ADDRESS(MATCH($A128,'Game Clock'!A$62:A$99,0)+ROW('Game Clock'!A$61),N$1,1,,"Game Clock")))</f>
        <v/>
      </c>
      <c r="O128" s="669" t="str">
        <f>IF(OR(N128="",N128=0),"",60*E128/N128)</f>
        <v/>
      </c>
      <c r="P128" s="419"/>
      <c r="Q128" s="669">
        <f>Q126+1</f>
        <v>21</v>
      </c>
      <c r="R128" s="419">
        <f>IF(ISNA(MATCH($Q128,Score!T$46:T$83,0)),"",MATCH($Q128,Score!T$46:T$83,0)+ROW(Score!T$45))</f>
        <v>69</v>
      </c>
      <c r="S128" s="894" t="str">
        <f t="shared" ref="S128:T128" si="593">IF($R128="","",INDIRECT(ADDRESS($R128,S$1,1,,"Score")))</f>
        <v>11</v>
      </c>
      <c r="T128" s="419">
        <f t="shared" si="593"/>
        <v>0</v>
      </c>
      <c r="U128" s="669">
        <f>IF(R128="","",SUM(T128,T129))</f>
        <v>0</v>
      </c>
      <c r="V128" s="669">
        <f>IF(R128="","",U128-E128)</f>
        <v>-9</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f t="shared" si="595"/>
        <v>1</v>
      </c>
      <c r="AC128" s="419">
        <f t="shared" si="399"/>
        <v>0</v>
      </c>
      <c r="AD128" s="669" t="str">
        <f>N128</f>
        <v/>
      </c>
      <c r="AE128" s="669" t="str">
        <f>IF(OR(AD128="",AD128=0),"",60*U128/AD128)</f>
        <v/>
      </c>
    </row>
    <row r="129" ht="12.75" customHeight="1">
      <c r="A129" s="669"/>
      <c r="B129" s="419" t="str">
        <f>IF($B128="","",IF(INDIRECT(ADDRESS($B128+1,C$1-1,1,,"Score"))="SP",$B128+1,""))</f>
        <v/>
      </c>
      <c r="C129" s="894" t="str">
        <f t="shared" ref="C129:D129" si="596">IF($B129="","",INDIRECT(ADDRESS($B129,C$1,1,,"Score")))</f>
        <v/>
      </c>
      <c r="D129" s="419" t="str">
        <f t="shared" si="596"/>
        <v/>
      </c>
      <c r="E129" s="669"/>
      <c r="F129" s="669"/>
      <c r="G129" s="927"/>
      <c r="H129" s="927"/>
      <c r="I129" s="928"/>
      <c r="J129" s="927" t="str">
        <f t="shared" ref="J129:L129" si="597">IF($B129="","",IF(ISBLANK(INDIRECT(ADDRESS($B129,J$1,1,,"Score"))),"",1))</f>
        <v/>
      </c>
      <c r="K129" s="927" t="str">
        <f t="shared" si="597"/>
        <v/>
      </c>
      <c r="L129" s="927" t="str">
        <f t="shared" si="597"/>
        <v/>
      </c>
      <c r="M129" s="419" t="str">
        <f t="shared" si="396"/>
        <v/>
      </c>
      <c r="N129" s="669"/>
      <c r="O129" s="669"/>
      <c r="P129" s="419"/>
      <c r="Q129" s="669"/>
      <c r="R129" s="419">
        <f>IF($R128="","",IF(INDIRECT(ADDRESS($R128+1,S$1-1,1,,"Score"))="SP",$R128+1,""))</f>
        <v>70</v>
      </c>
      <c r="S129" s="894" t="str">
        <f t="shared" ref="S129:T129" si="598">IF($R129="","",INDIRECT(ADDRESS($R129,S$1,1,,"Score")))</f>
        <v>88</v>
      </c>
      <c r="T129" s="419">
        <f t="shared" si="598"/>
        <v>0</v>
      </c>
      <c r="U129" s="669"/>
      <c r="V129" s="669"/>
      <c r="W129" s="927"/>
      <c r="X129" s="927"/>
      <c r="Y129" s="928"/>
      <c r="Z129" s="927" t="str">
        <f t="shared" ref="Z129:AB129" si="599">IF($R129="","",IF(ISBLANK(INDIRECT(ADDRESS($R129,Z$1,1,,"Score"))),"",1))</f>
        <v/>
      </c>
      <c r="AA129" s="927" t="str">
        <f t="shared" si="599"/>
        <v/>
      </c>
      <c r="AB129" s="927" t="str">
        <f t="shared" si="599"/>
        <v/>
      </c>
      <c r="AC129" s="419">
        <f t="shared" si="399"/>
        <v>1</v>
      </c>
      <c r="AD129" s="669"/>
      <c r="AE129" s="669"/>
    </row>
    <row r="130" ht="12.75" customHeight="1">
      <c r="A130" s="929">
        <f>A128+1</f>
        <v>22</v>
      </c>
      <c r="B130" s="930">
        <f>IF(ISNA(MATCH($A130,Score!A$46:A$83,0)),"",MATCH($A130,Score!A$46:A$83,0)+ROW(Score!A$45))</f>
        <v>71</v>
      </c>
      <c r="C130" s="931" t="str">
        <f t="shared" ref="C130:D130" si="600">IF($B130="","",INDIRECT(ADDRESS($B130,C$1,1,,"Score")))</f>
        <v>271</v>
      </c>
      <c r="D130" s="930">
        <f t="shared" si="600"/>
        <v>12</v>
      </c>
      <c r="E130" s="929">
        <f>IF(B130="","",SUM(D130,D131))</f>
        <v>12</v>
      </c>
      <c r="F130" s="929">
        <f>IF(B130="","",E130-U130)</f>
        <v>12</v>
      </c>
      <c r="G130" s="932" t="str">
        <f t="shared" ref="G130:H130" si="601">IF($B130="","",IF(ISBLANK(INDIRECT(ADDRESS($B130,G$1,1,,"Score"))),"",1))</f>
        <v/>
      </c>
      <c r="H130" s="932">
        <f t="shared" si="601"/>
        <v>1</v>
      </c>
      <c r="I130" s="933">
        <f>IF(H130=1,F130,"")</f>
        <v>12</v>
      </c>
      <c r="J130" s="932">
        <f t="shared" ref="J130:L130" si="602">IF($B130="","",IF(ISBLANK(INDIRECT(ADDRESS($B130,J$1,1,,"Score"))),"",1))</f>
        <v>1</v>
      </c>
      <c r="K130" s="932" t="str">
        <f t="shared" si="602"/>
        <v/>
      </c>
      <c r="L130" s="932" t="str">
        <f t="shared" si="602"/>
        <v/>
      </c>
      <c r="M130" s="930">
        <f t="shared" si="396"/>
        <v>3</v>
      </c>
      <c r="N130" s="669" t="str">
        <f>IF(ISNA(MATCH($A130,'Game Clock'!A$62:A$99,0)),"",INDIRECT(ADDRESS(MATCH($A130,'Game Clock'!A$62:A$99,0)+ROW('Game Clock'!A$61),N$1,1,,"Game Clock")))</f>
        <v/>
      </c>
      <c r="O130" s="929" t="str">
        <f>IF(OR(N130="",N130=0),"",60*E130/N130)</f>
        <v/>
      </c>
      <c r="P130" s="419"/>
      <c r="Q130" s="929">
        <f>Q128+1</f>
        <v>22</v>
      </c>
      <c r="R130" s="930">
        <f>IF(ISNA(MATCH($Q130,Score!T$46:T$83,0)),"",MATCH($Q130,Score!T$46:T$83,0)+ROW(Score!T$45))</f>
        <v>71</v>
      </c>
      <c r="S130" s="931" t="str">
        <f t="shared" ref="S130:T130" si="603">IF($R130="","",INDIRECT(ADDRESS($R130,S$1,1,,"Score")))</f>
        <v>101</v>
      </c>
      <c r="T130" s="930">
        <f t="shared" si="603"/>
        <v>0</v>
      </c>
      <c r="U130" s="929">
        <f>IF(R130="","",SUM(T130,T131))</f>
        <v>0</v>
      </c>
      <c r="V130" s="929">
        <f>IF(R130="","",U130-E130)</f>
        <v>-12</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f t="shared" si="399"/>
        <v>1</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69">
        <f>A130+1</f>
        <v>23</v>
      </c>
      <c r="B132" s="419">
        <f>IF(ISNA(MATCH($A132,Score!A$46:A$83,0)),"",MATCH($A132,Score!A$46:A$83,0)+ROW(Score!A$45))</f>
        <v>72</v>
      </c>
      <c r="C132" s="894" t="str">
        <f t="shared" ref="C132:D132" si="610">IF($B132="","",INDIRECT(ADDRESS($B132,C$1,1,,"Score")))</f>
        <v>45</v>
      </c>
      <c r="D132" s="419">
        <f t="shared" si="610"/>
        <v>0</v>
      </c>
      <c r="E132" s="669">
        <f>IF(B132="","",SUM(D132,D133))</f>
        <v>0</v>
      </c>
      <c r="F132" s="669">
        <f>IF(B132="","",E132-U132)</f>
        <v>-16</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f t="shared" si="612"/>
        <v>1</v>
      </c>
      <c r="M132" s="419">
        <f t="shared" si="396"/>
        <v>0</v>
      </c>
      <c r="N132" s="669" t="str">
        <f>IF(ISNA(MATCH($A132,'Game Clock'!A$62:A$99,0)),"",INDIRECT(ADDRESS(MATCH($A132,'Game Clock'!A$62:A$99,0)+ROW('Game Clock'!A$61),N$1,1,,"Game Clock")))</f>
        <v/>
      </c>
      <c r="O132" s="669" t="str">
        <f>IF(OR(N132="",N132=0),"",60*E132/N132)</f>
        <v/>
      </c>
      <c r="P132" s="419"/>
      <c r="Q132" s="669">
        <f>Q130+1</f>
        <v>23</v>
      </c>
      <c r="R132" s="419">
        <f>IF(ISNA(MATCH($Q132,Score!T$46:T$83,0)),"",MATCH($Q132,Score!T$46:T$83,0)+ROW(Score!T$45))</f>
        <v>72</v>
      </c>
      <c r="S132" s="894" t="str">
        <f t="shared" ref="S132:T132" si="613">IF($R132="","",INDIRECT(ADDRESS($R132,S$1,1,,"Score")))</f>
        <v>16</v>
      </c>
      <c r="T132" s="419">
        <f t="shared" si="613"/>
        <v>16</v>
      </c>
      <c r="U132" s="669">
        <f>IF(R132="","",SUM(T132,T133))</f>
        <v>16</v>
      </c>
      <c r="V132" s="669">
        <f>IF(R132="","",U132-E132)</f>
        <v>16</v>
      </c>
      <c r="W132" s="927" t="str">
        <f t="shared" ref="W132:X132" si="614">IF($R132="","",IF(ISBLANK(INDIRECT(ADDRESS($R132,W$1,1,,"Score"))),"",1))</f>
        <v/>
      </c>
      <c r="X132" s="927">
        <f t="shared" si="614"/>
        <v>1</v>
      </c>
      <c r="Y132" s="928">
        <f>IF(X132=1,V132,"")</f>
        <v>16</v>
      </c>
      <c r="Z132" s="927">
        <f t="shared" ref="Z132:AB132" si="615">IF($R132="","",IF(ISBLANK(INDIRECT(ADDRESS($R132,Z$1,1,,"Score"))),"",1))</f>
        <v>1</v>
      </c>
      <c r="AA132" s="927" t="str">
        <f t="shared" si="615"/>
        <v/>
      </c>
      <c r="AB132" s="927" t="str">
        <f t="shared" si="615"/>
        <v/>
      </c>
      <c r="AC132" s="419">
        <f t="shared" si="399"/>
        <v>4</v>
      </c>
      <c r="AD132" s="669" t="str">
        <f>N132</f>
        <v/>
      </c>
      <c r="AE132" s="669" t="str">
        <f>IF(OR(AD132="",AD132=0),"",60*U132/AD132)</f>
        <v/>
      </c>
    </row>
    <row r="133" ht="12.75" customHeight="1">
      <c r="A133" s="669"/>
      <c r="B133" s="419" t="str">
        <f>IF($B132="","",IF(INDIRECT(ADDRESS($B132+1,C$1-1,1,,"Score"))="SP",$B132+1,""))</f>
        <v/>
      </c>
      <c r="C133" s="894" t="str">
        <f t="shared" ref="C133:D133" si="616">IF($B133="","",INDIRECT(ADDRESS($B133,C$1,1,,"Score")))</f>
        <v/>
      </c>
      <c r="D133" s="419" t="str">
        <f t="shared" si="616"/>
        <v/>
      </c>
      <c r="E133" s="669"/>
      <c r="F133" s="669"/>
      <c r="G133" s="927"/>
      <c r="H133" s="927"/>
      <c r="I133" s="928"/>
      <c r="J133" s="927" t="str">
        <f t="shared" ref="J133:L133" si="617">IF($B133="","",IF(ISBLANK(INDIRECT(ADDRESS($B133,J$1,1,,"Score"))),"",1))</f>
        <v/>
      </c>
      <c r="K133" s="927" t="str">
        <f t="shared" si="617"/>
        <v/>
      </c>
      <c r="L133" s="927" t="str">
        <f t="shared" si="617"/>
        <v/>
      </c>
      <c r="M133" s="419" t="str">
        <f t="shared" si="396"/>
        <v/>
      </c>
      <c r="N133" s="669"/>
      <c r="O133" s="669"/>
      <c r="P133" s="419"/>
      <c r="Q133" s="669"/>
      <c r="R133" s="419" t="str">
        <f>IF($R132="","",IF(INDIRECT(ADDRESS($R132+1,S$1-1,1,,"Score"))="SP",$R132+1,""))</f>
        <v/>
      </c>
      <c r="S133" s="894" t="str">
        <f t="shared" ref="S133:T133" si="618">IF($R133="","",INDIRECT(ADDRESS($R133,S$1,1,,"Score")))</f>
        <v/>
      </c>
      <c r="T133" s="419" t="str">
        <f t="shared" si="618"/>
        <v/>
      </c>
      <c r="U133" s="669"/>
      <c r="V133" s="669"/>
      <c r="W133" s="927"/>
      <c r="X133" s="927"/>
      <c r="Y133" s="928"/>
      <c r="Z133" s="927" t="str">
        <f t="shared" ref="Z133:AB133" si="619">IF($R133="","",IF(ISBLANK(INDIRECT(ADDRESS($R133,Z$1,1,,"Score"))),"",1))</f>
        <v/>
      </c>
      <c r="AA133" s="927" t="str">
        <f t="shared" si="619"/>
        <v/>
      </c>
      <c r="AB133" s="927" t="str">
        <f t="shared" si="619"/>
        <v/>
      </c>
      <c r="AC133" s="419" t="str">
        <f t="shared" si="399"/>
        <v/>
      </c>
      <c r="AD133" s="669"/>
      <c r="AE133" s="669"/>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69">
        <f>A134+1</f>
        <v>25</v>
      </c>
      <c r="B136" s="419" t="str">
        <f>IF(ISNA(MATCH($A136,Score!A$46:A$83,0)),"",MATCH($A136,Score!A$46:A$83,0)+ROW(Score!A$45))</f>
        <v/>
      </c>
      <c r="C136" s="894" t="str">
        <f t="shared" ref="C136:D136" si="630">IF($B136="","",INDIRECT(ADDRESS($B136,C$1,1,,"Score")))</f>
        <v/>
      </c>
      <c r="D136" s="419"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69" t="str">
        <f>IF(ISNA(MATCH($A136,'Game Clock'!A$62:A$99,0)),"",INDIRECT(ADDRESS(MATCH($A136,'Game Clock'!A$62:A$99,0)+ROW('Game Clock'!A$61),N$1,1,,"Game Clock")))</f>
        <v/>
      </c>
      <c r="O136" s="669" t="str">
        <f>IF(OR(N136="",N136=0),"",60*E136/N136)</f>
        <v/>
      </c>
      <c r="P136" s="419"/>
      <c r="Q136" s="669">
        <f>Q134+1</f>
        <v>25</v>
      </c>
      <c r="R136" s="419" t="str">
        <f>IF(ISNA(MATCH($Q136,Score!T$46:T$83,0)),"",MATCH($Q136,Score!T$46:T$83,0)+ROW(Score!T$45))</f>
        <v/>
      </c>
      <c r="S136" s="894" t="str">
        <f t="shared" ref="S136:T136" si="633">IF($R136="","",INDIRECT(ADDRESS($R136,S$1,1,,"Score")))</f>
        <v/>
      </c>
      <c r="T136" s="419"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69" t="str">
        <f>N136</f>
        <v/>
      </c>
      <c r="AE136" s="669" t="str">
        <f>IF(OR(AD136="",AD136=0),"",60*U136/AD136)</f>
        <v/>
      </c>
    </row>
    <row r="137" ht="12.75" customHeight="1">
      <c r="A137" s="669"/>
      <c r="B137" s="419" t="str">
        <f>IF($B136="","",IF(INDIRECT(ADDRESS($B136+1,C$1-1,1,,"Score"))="SP",$B136+1,""))</f>
        <v/>
      </c>
      <c r="C137" s="894" t="str">
        <f t="shared" ref="C137:D137" si="636">IF($B137="","",INDIRECT(ADDRESS($B137,C$1,1,,"Score")))</f>
        <v/>
      </c>
      <c r="D137" s="419" t="str">
        <f t="shared" si="636"/>
        <v/>
      </c>
      <c r="E137" s="669"/>
      <c r="F137" s="669"/>
      <c r="G137" s="927"/>
      <c r="H137" s="927"/>
      <c r="I137" s="928"/>
      <c r="J137" s="927" t="str">
        <f t="shared" ref="J137:L137" si="637">IF($B137="","",IF(ISBLANK(INDIRECT(ADDRESS($B137,J$1,1,,"Score"))),"",1))</f>
        <v/>
      </c>
      <c r="K137" s="927" t="str">
        <f t="shared" si="637"/>
        <v/>
      </c>
      <c r="L137" s="927" t="str">
        <f t="shared" si="637"/>
        <v/>
      </c>
      <c r="M137" s="419" t="str">
        <f t="shared" si="396"/>
        <v/>
      </c>
      <c r="N137" s="669"/>
      <c r="O137" s="669"/>
      <c r="P137" s="419"/>
      <c r="Q137" s="669"/>
      <c r="R137" s="419" t="str">
        <f>IF($R136="","",IF(INDIRECT(ADDRESS($R136+1,S$1-1,1,,"Score"))="SP",$R136+1,""))</f>
        <v/>
      </c>
      <c r="S137" s="894" t="str">
        <f t="shared" ref="S137:T137" si="638">IF($R137="","",INDIRECT(ADDRESS($R137,S$1,1,,"Score")))</f>
        <v/>
      </c>
      <c r="T137" s="419" t="str">
        <f t="shared" si="638"/>
        <v/>
      </c>
      <c r="U137" s="669"/>
      <c r="V137" s="669"/>
      <c r="W137" s="927"/>
      <c r="X137" s="927"/>
      <c r="Y137" s="928"/>
      <c r="Z137" s="927" t="str">
        <f t="shared" ref="Z137:AB137" si="639">IF($R137="","",IF(ISBLANK(INDIRECT(ADDRESS($R137,Z$1,1,,"Score"))),"",1))</f>
        <v/>
      </c>
      <c r="AA137" s="927" t="str">
        <f t="shared" si="639"/>
        <v/>
      </c>
      <c r="AB137" s="927" t="str">
        <f t="shared" si="639"/>
        <v/>
      </c>
      <c r="AC137" s="419" t="str">
        <f t="shared" si="399"/>
        <v/>
      </c>
      <c r="AD137" s="669"/>
      <c r="AE137" s="669"/>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69">
        <f>A138+1</f>
        <v>27</v>
      </c>
      <c r="B140" s="419" t="str">
        <f>IF(ISNA(MATCH($A140,Score!A$46:A$83,0)),"",MATCH($A140,Score!A$46:A$83,0)+ROW(Score!A$45))</f>
        <v/>
      </c>
      <c r="C140" s="894" t="str">
        <f t="shared" ref="C140:D140" si="650">IF($B140="","",INDIRECT(ADDRESS($B140,C$1,1,,"Score")))</f>
        <v/>
      </c>
      <c r="D140" s="419"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69" t="str">
        <f>IF(ISNA(MATCH($A140,'Game Clock'!A$62:A$99,0)),"",INDIRECT(ADDRESS(MATCH($A140,'Game Clock'!A$62:A$99,0)+ROW('Game Clock'!A$61),N$1,1,,"Game Clock")))</f>
        <v/>
      </c>
      <c r="O140" s="669" t="str">
        <f>IF(OR(N140="",N140=0),"",60*E140/N140)</f>
        <v/>
      </c>
      <c r="P140" s="419"/>
      <c r="Q140" s="669">
        <f>Q138+1</f>
        <v>27</v>
      </c>
      <c r="R140" s="419" t="str">
        <f>IF(ISNA(MATCH($Q140,Score!T$46:T$83,0)),"",MATCH($Q140,Score!T$46:T$83,0)+ROW(Score!T$45))</f>
        <v/>
      </c>
      <c r="S140" s="894" t="str">
        <f t="shared" ref="S140:T140" si="653">IF($R140="","",INDIRECT(ADDRESS($R140,S$1,1,,"Score")))</f>
        <v/>
      </c>
      <c r="T140" s="419"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69" t="str">
        <f>N140</f>
        <v/>
      </c>
      <c r="AE140" s="669" t="str">
        <f>IF(OR(AD140="",AD140=0),"",60*U140/AD140)</f>
        <v/>
      </c>
    </row>
    <row r="141" ht="12.75" customHeight="1">
      <c r="A141" s="669"/>
      <c r="B141" s="419" t="str">
        <f>IF($B140="","",IF(INDIRECT(ADDRESS($B140+1,C$1-1,1,,"Score"))="SP",$B140+1,""))</f>
        <v/>
      </c>
      <c r="C141" s="894" t="str">
        <f t="shared" ref="C141:D141" si="656">IF($B141="","",INDIRECT(ADDRESS($B141,C$1,1,,"Score")))</f>
        <v/>
      </c>
      <c r="D141" s="419" t="str">
        <f t="shared" si="656"/>
        <v/>
      </c>
      <c r="E141" s="669"/>
      <c r="F141" s="669"/>
      <c r="G141" s="927"/>
      <c r="H141" s="927"/>
      <c r="I141" s="928"/>
      <c r="J141" s="927" t="str">
        <f t="shared" ref="J141:L141" si="657">IF($B141="","",IF(ISBLANK(INDIRECT(ADDRESS($B141,J$1,1,,"Score"))),"",1))</f>
        <v/>
      </c>
      <c r="K141" s="927" t="str">
        <f t="shared" si="657"/>
        <v/>
      </c>
      <c r="L141" s="927" t="str">
        <f t="shared" si="657"/>
        <v/>
      </c>
      <c r="M141" s="419" t="str">
        <f t="shared" si="396"/>
        <v/>
      </c>
      <c r="N141" s="669"/>
      <c r="O141" s="669"/>
      <c r="P141" s="419"/>
      <c r="Q141" s="669"/>
      <c r="R141" s="419" t="str">
        <f>IF($R140="","",IF(INDIRECT(ADDRESS($R140+1,S$1-1,1,,"Score"))="SP",$R140+1,""))</f>
        <v/>
      </c>
      <c r="S141" s="894" t="str">
        <f t="shared" ref="S141:T141" si="658">IF($R141="","",INDIRECT(ADDRESS($R141,S$1,1,,"Score")))</f>
        <v/>
      </c>
      <c r="T141" s="419" t="str">
        <f t="shared" si="658"/>
        <v/>
      </c>
      <c r="U141" s="669"/>
      <c r="V141" s="669"/>
      <c r="W141" s="927"/>
      <c r="X141" s="927"/>
      <c r="Y141" s="928"/>
      <c r="Z141" s="927" t="str">
        <f t="shared" ref="Z141:AB141" si="659">IF($R141="","",IF(ISBLANK(INDIRECT(ADDRESS($R141,Z$1,1,,"Score"))),"",1))</f>
        <v/>
      </c>
      <c r="AA141" s="927" t="str">
        <f t="shared" si="659"/>
        <v/>
      </c>
      <c r="AB141" s="927" t="str">
        <f t="shared" si="659"/>
        <v/>
      </c>
      <c r="AC141" s="419" t="str">
        <f t="shared" si="399"/>
        <v/>
      </c>
      <c r="AD141" s="669"/>
      <c r="AE141" s="669"/>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69">
        <f>A142+1</f>
        <v>29</v>
      </c>
      <c r="B144" s="419" t="str">
        <f>IF(ISNA(MATCH($A144,Score!A$46:A$83,0)),"",MATCH($A144,Score!A$46:A$83,0)+ROW(Score!A$45))</f>
        <v/>
      </c>
      <c r="C144" s="894" t="str">
        <f t="shared" ref="C144:D144" si="670">IF($B144="","",INDIRECT(ADDRESS($B144,C$1,1,,"Score")))</f>
        <v/>
      </c>
      <c r="D144" s="419"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69" t="str">
        <f>IF(ISNA(MATCH($A144,'Game Clock'!A$62:A$99,0)),"",INDIRECT(ADDRESS(MATCH($A144,'Game Clock'!A$62:A$99,0)+ROW('Game Clock'!A$61),N$1,1,,"Game Clock")))</f>
        <v/>
      </c>
      <c r="O144" s="669" t="str">
        <f>IF(OR(N144="",N144=0),"",60*E144/N144)</f>
        <v/>
      </c>
      <c r="P144" s="419"/>
      <c r="Q144" s="669">
        <f>Q142+1</f>
        <v>29</v>
      </c>
      <c r="R144" s="419" t="str">
        <f>IF(ISNA(MATCH($Q144,Score!T$46:T$83,0)),"",MATCH($Q144,Score!T$46:T$83,0)+ROW(Score!T$45))</f>
        <v/>
      </c>
      <c r="S144" s="894" t="str">
        <f t="shared" ref="S144:T144" si="673">IF($R144="","",INDIRECT(ADDRESS($R144,S$1,1,,"Score")))</f>
        <v/>
      </c>
      <c r="T144" s="419"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69" t="str">
        <f>N144</f>
        <v/>
      </c>
      <c r="AE144" s="669" t="str">
        <f>IF(OR(AD144="",AD144=0),"",60*U144/AD144)</f>
        <v/>
      </c>
    </row>
    <row r="145" ht="12.75" customHeight="1">
      <c r="A145" s="669"/>
      <c r="B145" s="419" t="str">
        <f>IF($B144="","",IF(INDIRECT(ADDRESS($B144+1,C$1-1,1,,"Score"))="SP",$B144+1,""))</f>
        <v/>
      </c>
      <c r="C145" s="894" t="str">
        <f t="shared" ref="C145:D145" si="676">IF($B145="","",INDIRECT(ADDRESS($B145,C$1,1,,"Score")))</f>
        <v/>
      </c>
      <c r="D145" s="419" t="str">
        <f t="shared" si="676"/>
        <v/>
      </c>
      <c r="E145" s="669"/>
      <c r="F145" s="669"/>
      <c r="G145" s="927"/>
      <c r="H145" s="927"/>
      <c r="I145" s="928"/>
      <c r="J145" s="927" t="str">
        <f t="shared" ref="J145:L145" si="677">IF($B145="","",IF(ISBLANK(INDIRECT(ADDRESS($B145,J$1,1,,"Score"))),"",1))</f>
        <v/>
      </c>
      <c r="K145" s="927" t="str">
        <f t="shared" si="677"/>
        <v/>
      </c>
      <c r="L145" s="927" t="str">
        <f t="shared" si="677"/>
        <v/>
      </c>
      <c r="M145" s="419" t="str">
        <f t="shared" si="396"/>
        <v/>
      </c>
      <c r="N145" s="669"/>
      <c r="O145" s="669"/>
      <c r="P145" s="419"/>
      <c r="Q145" s="669"/>
      <c r="R145" s="419" t="str">
        <f>IF($R144="","",IF(INDIRECT(ADDRESS($R144+1,S$1-1,1,,"Score"))="SP",$R144+1,""))</f>
        <v/>
      </c>
      <c r="S145" s="894" t="str">
        <f t="shared" ref="S145:T145" si="678">IF($R145="","",INDIRECT(ADDRESS($R145,S$1,1,,"Score")))</f>
        <v/>
      </c>
      <c r="T145" s="419" t="str">
        <f t="shared" si="678"/>
        <v/>
      </c>
      <c r="U145" s="669"/>
      <c r="V145" s="669"/>
      <c r="W145" s="927"/>
      <c r="X145" s="927"/>
      <c r="Y145" s="928"/>
      <c r="Z145" s="927" t="str">
        <f t="shared" ref="Z145:AB145" si="679">IF($R145="","",IF(ISBLANK(INDIRECT(ADDRESS($R145,Z$1,1,,"Score"))),"",1))</f>
        <v/>
      </c>
      <c r="AA145" s="927" t="str">
        <f t="shared" si="679"/>
        <v/>
      </c>
      <c r="AB145" s="927" t="str">
        <f t="shared" si="679"/>
        <v/>
      </c>
      <c r="AC145" s="419" t="str">
        <f t="shared" si="399"/>
        <v/>
      </c>
      <c r="AD145" s="669"/>
      <c r="AE145" s="669"/>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69">
        <f>A146+1</f>
        <v>31</v>
      </c>
      <c r="B148" s="419" t="str">
        <f>IF(ISNA(MATCH($A148,Score!A$46:A$83,0)),"",MATCH($A148,Score!A$46:A$83,0)+ROW(Score!A$45))</f>
        <v/>
      </c>
      <c r="C148" s="894" t="str">
        <f t="shared" ref="C148:D148" si="690">IF($B148="","",INDIRECT(ADDRESS($B148,C$1,1,,"Score")))</f>
        <v/>
      </c>
      <c r="D148" s="419"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69" t="str">
        <f>IF(ISNA(MATCH($A148,'Game Clock'!A$62:A$99,0)),"",INDIRECT(ADDRESS(MATCH($A148,'Game Clock'!A$62:A$99,0)+ROW('Game Clock'!A$61),N$1,1,,"Game Clock")))</f>
        <v/>
      </c>
      <c r="O148" s="669" t="str">
        <f>IF(OR(N148="",N148=0),"",60*E148/N148)</f>
        <v/>
      </c>
      <c r="P148" s="419"/>
      <c r="Q148" s="669">
        <f>Q146+1</f>
        <v>31</v>
      </c>
      <c r="R148" s="419" t="str">
        <f>IF(ISNA(MATCH($Q148,Score!T$46:T$83,0)),"",MATCH($Q148,Score!T$46:T$83,0)+ROW(Score!T$45))</f>
        <v/>
      </c>
      <c r="S148" s="894" t="str">
        <f t="shared" ref="S148:T148" si="693">IF($R148="","",INDIRECT(ADDRESS($R148,S$1,1,,"Score")))</f>
        <v/>
      </c>
      <c r="T148" s="419"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69" t="str">
        <f>N148</f>
        <v/>
      </c>
      <c r="AE148" s="669" t="str">
        <f>IF(OR(AD148="",AD148=0),"",60*U148/AD148)</f>
        <v/>
      </c>
    </row>
    <row r="149" ht="12.75" customHeight="1">
      <c r="A149" s="669"/>
      <c r="B149" s="419" t="str">
        <f>IF($B148="","",IF(INDIRECT(ADDRESS($B148+1,C$1-1,1,,"Score"))="SP",$B148+1,""))</f>
        <v/>
      </c>
      <c r="C149" s="894" t="str">
        <f t="shared" ref="C149:D149" si="696">IF($B149="","",INDIRECT(ADDRESS($B149,C$1,1,,"Score")))</f>
        <v/>
      </c>
      <c r="D149" s="419" t="str">
        <f t="shared" si="696"/>
        <v/>
      </c>
      <c r="E149" s="669"/>
      <c r="F149" s="669"/>
      <c r="G149" s="927"/>
      <c r="H149" s="927"/>
      <c r="I149" s="928"/>
      <c r="J149" s="927" t="str">
        <f t="shared" ref="J149:L149" si="697">IF($B149="","",IF(ISBLANK(INDIRECT(ADDRESS($B149,J$1,1,,"Score"))),"",1))</f>
        <v/>
      </c>
      <c r="K149" s="927" t="str">
        <f t="shared" si="697"/>
        <v/>
      </c>
      <c r="L149" s="927" t="str">
        <f t="shared" si="697"/>
        <v/>
      </c>
      <c r="M149" s="419" t="str">
        <f t="shared" si="396"/>
        <v/>
      </c>
      <c r="N149" s="669"/>
      <c r="O149" s="669"/>
      <c r="P149" s="419"/>
      <c r="Q149" s="669"/>
      <c r="R149" s="419" t="str">
        <f>IF($R148="","",IF(INDIRECT(ADDRESS($R148+1,S$1-1,1,,"Score"))="SP",$R148+1,""))</f>
        <v/>
      </c>
      <c r="S149" s="894" t="str">
        <f t="shared" ref="S149:T149" si="698">IF($R149="","",INDIRECT(ADDRESS($R149,S$1,1,,"Score")))</f>
        <v/>
      </c>
      <c r="T149" s="419" t="str">
        <f t="shared" si="698"/>
        <v/>
      </c>
      <c r="U149" s="669"/>
      <c r="V149" s="669"/>
      <c r="W149" s="927"/>
      <c r="X149" s="927"/>
      <c r="Y149" s="928"/>
      <c r="Z149" s="927" t="str">
        <f t="shared" ref="Z149:AB149" si="699">IF($R149="","",IF(ISBLANK(INDIRECT(ADDRESS($R149,Z$1,1,,"Score"))),"",1))</f>
        <v/>
      </c>
      <c r="AA149" s="927" t="str">
        <f t="shared" si="699"/>
        <v/>
      </c>
      <c r="AB149" s="927" t="str">
        <f t="shared" si="699"/>
        <v/>
      </c>
      <c r="AC149" s="419" t="str">
        <f t="shared" si="399"/>
        <v/>
      </c>
      <c r="AD149" s="669"/>
      <c r="AE149" s="669"/>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69">
        <f>A150+1</f>
        <v>33</v>
      </c>
      <c r="B152" s="419" t="str">
        <f>IF(ISNA(MATCH($A152,Score!A$46:A$83,0)),"",MATCH($A152,Score!A$46:A$83,0)+ROW(Score!A$45))</f>
        <v/>
      </c>
      <c r="C152" s="894" t="str">
        <f t="shared" ref="C152:D152" si="710">IF($B152="","",INDIRECT(ADDRESS($B152,C$1,1,,"Score")))</f>
        <v/>
      </c>
      <c r="D152" s="419"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69" t="str">
        <f>IF(ISNA(MATCH($A152,'Game Clock'!A$62:A$99,0)),"",INDIRECT(ADDRESS(MATCH($A152,'Game Clock'!A$62:A$99,0)+ROW('Game Clock'!A$61),N$1,1,,"Game Clock")))</f>
        <v/>
      </c>
      <c r="O152" s="669" t="str">
        <f>IF(OR(N152="",N152=0),"",60*E152/N152)</f>
        <v/>
      </c>
      <c r="P152" s="419"/>
      <c r="Q152" s="669">
        <f>Q150+1</f>
        <v>33</v>
      </c>
      <c r="R152" s="419" t="str">
        <f>IF(ISNA(MATCH($Q152,Score!T$46:T$83,0)),"",MATCH($Q152,Score!T$46:T$83,0)+ROW(Score!T$45))</f>
        <v/>
      </c>
      <c r="S152" s="894" t="str">
        <f t="shared" ref="S152:T152" si="713">IF($R152="","",INDIRECT(ADDRESS($R152,S$1,1,,"Score")))</f>
        <v/>
      </c>
      <c r="T152" s="419"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69" t="str">
        <f>N152</f>
        <v/>
      </c>
      <c r="AE152" s="669" t="str">
        <f>IF(OR(AD152="",AD152=0),"",60*U152/AD152)</f>
        <v/>
      </c>
    </row>
    <row r="153" ht="12.75" customHeight="1">
      <c r="A153" s="669"/>
      <c r="B153" s="419" t="str">
        <f>IF($B152="","",IF(INDIRECT(ADDRESS($B152+1,C$1-1,1,,"Score"))="SP",$B152+1,""))</f>
        <v/>
      </c>
      <c r="C153" s="894" t="str">
        <f t="shared" ref="C153:D153" si="716">IF($B153="","",INDIRECT(ADDRESS($B153,C$1,1,,"Score")))</f>
        <v/>
      </c>
      <c r="D153" s="419" t="str">
        <f t="shared" si="716"/>
        <v/>
      </c>
      <c r="E153" s="669"/>
      <c r="F153" s="669"/>
      <c r="G153" s="927"/>
      <c r="H153" s="927"/>
      <c r="I153" s="928"/>
      <c r="J153" s="927" t="str">
        <f t="shared" ref="J153:L153" si="717">IF($B153="","",IF(ISBLANK(INDIRECT(ADDRESS($B153,J$1,1,,"Score"))),"",1))</f>
        <v/>
      </c>
      <c r="K153" s="927" t="str">
        <f t="shared" si="717"/>
        <v/>
      </c>
      <c r="L153" s="927" t="str">
        <f t="shared" si="717"/>
        <v/>
      </c>
      <c r="M153" s="419" t="str">
        <f t="shared" si="396"/>
        <v/>
      </c>
      <c r="N153" s="669"/>
      <c r="O153" s="669"/>
      <c r="P153" s="419"/>
      <c r="Q153" s="669"/>
      <c r="R153" s="419" t="str">
        <f>IF($R152="","",IF(INDIRECT(ADDRESS($R152+1,S$1-1,1,,"Score"))="SP",$R152+1,""))</f>
        <v/>
      </c>
      <c r="S153" s="894" t="str">
        <f t="shared" ref="S153:T153" si="718">IF($R153="","",INDIRECT(ADDRESS($R153,S$1,1,,"Score")))</f>
        <v/>
      </c>
      <c r="T153" s="419" t="str">
        <f t="shared" si="718"/>
        <v/>
      </c>
      <c r="U153" s="669"/>
      <c r="V153" s="669"/>
      <c r="W153" s="927"/>
      <c r="X153" s="927"/>
      <c r="Y153" s="928"/>
      <c r="Z153" s="927" t="str">
        <f t="shared" ref="Z153:AB153" si="719">IF($R153="","",IF(ISBLANK(INDIRECT(ADDRESS($R153,Z$1,1,,"Score"))),"",1))</f>
        <v/>
      </c>
      <c r="AA153" s="927" t="str">
        <f t="shared" si="719"/>
        <v/>
      </c>
      <c r="AB153" s="927" t="str">
        <f t="shared" si="719"/>
        <v/>
      </c>
      <c r="AC153" s="419" t="str">
        <f t="shared" si="399"/>
        <v/>
      </c>
      <c r="AD153" s="669"/>
      <c r="AE153" s="669"/>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69">
        <f>A154+1</f>
        <v>35</v>
      </c>
      <c r="B156" s="419" t="str">
        <f>IF(ISNA(MATCH($A156,Score!A$46:A$83,0)),"",MATCH($A156,Score!A$46:A$83,0)+ROW(Score!A$45))</f>
        <v/>
      </c>
      <c r="C156" s="894" t="str">
        <f t="shared" ref="C156:D156" si="730">IF($B156="","",INDIRECT(ADDRESS($B156,C$1,1,,"Score")))</f>
        <v/>
      </c>
      <c r="D156" s="419"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69" t="str">
        <f>IF(ISNA(MATCH($A156,'Game Clock'!A$62:A$99,0)),"",INDIRECT(ADDRESS(MATCH($A156,'Game Clock'!A$62:A$99,0)+ROW('Game Clock'!A$61),N$1,1,,"Game Clock")))</f>
        <v/>
      </c>
      <c r="O156" s="669" t="str">
        <f>IF(OR(N156="",N156=0),"",60*E156/N156)</f>
        <v/>
      </c>
      <c r="P156" s="419"/>
      <c r="Q156" s="669">
        <f>Q154+1</f>
        <v>35</v>
      </c>
      <c r="R156" s="419" t="str">
        <f>IF(ISNA(MATCH($Q156,Score!T$46:T$83,0)),"",MATCH($Q156,Score!T$46:T$83,0)+ROW(Score!T$45))</f>
        <v/>
      </c>
      <c r="S156" s="894" t="str">
        <f t="shared" ref="S156:T156" si="733">IF($R156="","",INDIRECT(ADDRESS($R156,S$1,1,,"Score")))</f>
        <v/>
      </c>
      <c r="T156" s="419"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69" t="str">
        <f>N156</f>
        <v/>
      </c>
      <c r="AE156" s="669" t="str">
        <f>IF(OR(AD156="",AD156=0),"",60*U156/AD156)</f>
        <v/>
      </c>
    </row>
    <row r="157" ht="12.75" customHeight="1">
      <c r="A157" s="669"/>
      <c r="B157" s="419" t="str">
        <f>IF($B156="","",IF(INDIRECT(ADDRESS($B156+1,C$1-1,1,,"Score"))="SP",$B156+1,""))</f>
        <v/>
      </c>
      <c r="C157" s="894" t="str">
        <f t="shared" ref="C157:D157" si="736">IF($B157="","",INDIRECT(ADDRESS($B157,C$1,1,,"Score")))</f>
        <v/>
      </c>
      <c r="D157" s="419" t="str">
        <f t="shared" si="736"/>
        <v/>
      </c>
      <c r="E157" s="669"/>
      <c r="F157" s="669"/>
      <c r="G157" s="927"/>
      <c r="H157" s="927"/>
      <c r="I157" s="928"/>
      <c r="J157" s="927" t="str">
        <f t="shared" ref="J157:L157" si="737">IF($B157="","",IF(ISBLANK(INDIRECT(ADDRESS($B157,J$1,1,,"Score"))),"",1))</f>
        <v/>
      </c>
      <c r="K157" s="927" t="str">
        <f t="shared" si="737"/>
        <v/>
      </c>
      <c r="L157" s="927" t="str">
        <f t="shared" si="737"/>
        <v/>
      </c>
      <c r="M157" s="419" t="str">
        <f t="shared" si="396"/>
        <v/>
      </c>
      <c r="N157" s="669"/>
      <c r="O157" s="669"/>
      <c r="P157" s="419"/>
      <c r="Q157" s="669"/>
      <c r="R157" s="419" t="str">
        <f>IF($R156="","",IF(INDIRECT(ADDRESS($R156+1,S$1-1,1,,"Score"))="SP",$R156+1,""))</f>
        <v/>
      </c>
      <c r="S157" s="894" t="str">
        <f t="shared" ref="S157:T157" si="738">IF($R157="","",INDIRECT(ADDRESS($R157,S$1,1,,"Score")))</f>
        <v/>
      </c>
      <c r="T157" s="419" t="str">
        <f t="shared" si="738"/>
        <v/>
      </c>
      <c r="U157" s="669"/>
      <c r="V157" s="669"/>
      <c r="W157" s="927"/>
      <c r="X157" s="927"/>
      <c r="Y157" s="928"/>
      <c r="Z157" s="927" t="str">
        <f t="shared" ref="Z157:AB157" si="739">IF($R157="","",IF(ISBLANK(INDIRECT(ADDRESS($R157,Z$1,1,,"Score"))),"",1))</f>
        <v/>
      </c>
      <c r="AA157" s="927" t="str">
        <f t="shared" si="739"/>
        <v/>
      </c>
      <c r="AB157" s="927" t="str">
        <f t="shared" si="739"/>
        <v/>
      </c>
      <c r="AC157" s="419" t="str">
        <f t="shared" si="399"/>
        <v/>
      </c>
      <c r="AD157" s="669"/>
      <c r="AE157" s="669"/>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69">
        <f>A158+1</f>
        <v>37</v>
      </c>
      <c r="B160" s="419" t="str">
        <f>IF(ISNA(MATCH($A160,Score!A$46:A$83,0)),"",MATCH($A160,Score!A$46:A$83,0)+ROW(Score!A$45))</f>
        <v/>
      </c>
      <c r="C160" s="894" t="str">
        <f t="shared" ref="C160:D160" si="750">IF($B160="","",INDIRECT(ADDRESS($B160,C$1,1,,"Score")))</f>
        <v/>
      </c>
      <c r="D160" s="419"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69" t="str">
        <f>IF(ISNA(MATCH($A160,'Game Clock'!A$62:A$99,0)),"",INDIRECT(ADDRESS(MATCH($A160,'Game Clock'!A$62:A$99,0)+ROW('Game Clock'!A$61),N$1,1,,"Game Clock")))</f>
        <v/>
      </c>
      <c r="O160" s="669" t="str">
        <f>IF(OR(N160="",N160=0),"",60*E160/N160)</f>
        <v/>
      </c>
      <c r="P160" s="419"/>
      <c r="Q160" s="669">
        <f>Q158+1</f>
        <v>37</v>
      </c>
      <c r="R160" s="419" t="str">
        <f>IF(ISNA(MATCH($Q160,Score!T$46:T$83,0)),"",MATCH($Q160,Score!T$46:T$83,0)+ROW(Score!T$45))</f>
        <v/>
      </c>
      <c r="S160" s="894" t="str">
        <f t="shared" ref="S160:T160" si="753">IF($R160="","",INDIRECT(ADDRESS($R160,S$1,1,,"Score")))</f>
        <v/>
      </c>
      <c r="T160" s="419"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69" t="str">
        <f>N160</f>
        <v/>
      </c>
      <c r="AE160" s="669" t="str">
        <f>IF(OR(AD160="",AD160=0),"",60*U160/AD160)</f>
        <v/>
      </c>
    </row>
    <row r="161" ht="12.75" customHeight="1">
      <c r="A161" s="669"/>
      <c r="B161" s="419" t="str">
        <f>IF($B160="","",IF(INDIRECT(ADDRESS($B160+1,C$1-1,1,,"Score"))="SP",$B160+1,""))</f>
        <v/>
      </c>
      <c r="C161" s="894" t="str">
        <f t="shared" ref="C161:D161" si="756">IF($B161="","",INDIRECT(ADDRESS($B161,C$1,1,,"Score")))</f>
        <v/>
      </c>
      <c r="D161" s="419" t="str">
        <f t="shared" si="756"/>
        <v/>
      </c>
      <c r="E161" s="669"/>
      <c r="F161" s="669"/>
      <c r="G161" s="927"/>
      <c r="H161" s="927"/>
      <c r="I161" s="928"/>
      <c r="J161" s="927" t="str">
        <f t="shared" ref="J161:L161" si="757">IF($B161="","",IF(ISBLANK(INDIRECT(ADDRESS($B161,J$1,1,,"Score"))),"",1))</f>
        <v/>
      </c>
      <c r="K161" s="927" t="str">
        <f t="shared" si="757"/>
        <v/>
      </c>
      <c r="L161" s="927" t="str">
        <f t="shared" si="757"/>
        <v/>
      </c>
      <c r="M161" s="419" t="str">
        <f t="shared" si="396"/>
        <v/>
      </c>
      <c r="N161" s="669"/>
      <c r="O161" s="669"/>
      <c r="P161" s="419"/>
      <c r="Q161" s="669"/>
      <c r="R161" s="419" t="str">
        <f>IF($R160="","",IF(INDIRECT(ADDRESS($R160+1,S$1-1,1,,"Score"))="SP",$R160+1,""))</f>
        <v/>
      </c>
      <c r="S161" s="894" t="str">
        <f t="shared" ref="S161:T161" si="758">IF($R161="","",INDIRECT(ADDRESS($R161,S$1,1,,"Score")))</f>
        <v/>
      </c>
      <c r="T161" s="419" t="str">
        <f t="shared" si="758"/>
        <v/>
      </c>
      <c r="U161" s="669"/>
      <c r="V161" s="669"/>
      <c r="W161" s="927"/>
      <c r="X161" s="927"/>
      <c r="Y161" s="928"/>
      <c r="Z161" s="927" t="str">
        <f t="shared" ref="Z161:AB161" si="759">IF($R161="","",IF(ISBLANK(INDIRECT(ADDRESS($R161,Z$1,1,,"Score"))),"",1))</f>
        <v/>
      </c>
      <c r="AA161" s="927" t="str">
        <f t="shared" si="759"/>
        <v/>
      </c>
      <c r="AB161" s="927" t="str">
        <f t="shared" si="759"/>
        <v/>
      </c>
      <c r="AC161" s="419" t="str">
        <f t="shared" si="399"/>
        <v/>
      </c>
      <c r="AD161" s="669"/>
      <c r="AE161" s="669"/>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458</v>
      </c>
      <c r="B164" s="936"/>
      <c r="C164" s="936"/>
      <c r="D164" s="936"/>
      <c r="E164" s="937">
        <f>SUM(E88:E163)</f>
        <v>62</v>
      </c>
      <c r="F164" s="938"/>
      <c r="G164" s="926">
        <f t="shared" ref="G164:H164" si="770">SUM(G88:G163)</f>
        <v>0</v>
      </c>
      <c r="H164" s="926">
        <f t="shared" si="770"/>
        <v>4</v>
      </c>
      <c r="I164" s="925"/>
      <c r="J164" s="939">
        <f t="shared" ref="J164:K164" si="771">SUM(J88:J163)</f>
        <v>4</v>
      </c>
      <c r="K164" s="939">
        <f t="shared" si="771"/>
        <v>0</v>
      </c>
      <c r="L164" s="926">
        <f t="shared" ref="L164:L165" si="774">SUM(L88,L90,L92,L94,L96,L98,L100,L102,L104,L106,L108,L110,L112,L114,L116,L118,L120,L122,L124,L126,L128,L130,L132,L134,L136,L138,L140,L142,L144,L146, L148, L150, L152, L154, L156,L158,L160,L162)</f>
        <v>5</v>
      </c>
      <c r="M164" s="936"/>
      <c r="N164" s="938" t="s">
        <v>457</v>
      </c>
      <c r="O164" s="937" t="str">
        <f>IF(COUNT(O88:O163),AVERAGE(O88:O163),"")</f>
        <v/>
      </c>
      <c r="P164" s="419"/>
      <c r="Q164" s="935" t="s">
        <v>458</v>
      </c>
      <c r="R164" s="936"/>
      <c r="S164" s="936"/>
      <c r="T164" s="936"/>
      <c r="U164" s="937">
        <f>SUM(U88:U163)</f>
        <v>149</v>
      </c>
      <c r="V164" s="938"/>
      <c r="W164" s="926">
        <f t="shared" ref="W164:X164" si="772">SUM(W88:W163)</f>
        <v>2</v>
      </c>
      <c r="X164" s="926">
        <f t="shared" si="772"/>
        <v>19</v>
      </c>
      <c r="Y164" s="925"/>
      <c r="Z164" s="939">
        <f t="shared" ref="Z164:AA164" si="773">SUM(Z88:Z163)</f>
        <v>14</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2</v>
      </c>
      <c r="AC164" s="936"/>
      <c r="AD164" s="938" t="s">
        <v>457</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439</v>
      </c>
      <c r="B171" s="941" t="s">
        <v>280</v>
      </c>
      <c r="C171" s="419"/>
      <c r="D171" s="941" t="s">
        <v>447</v>
      </c>
      <c r="E171" s="941" t="s">
        <v>459</v>
      </c>
      <c r="F171" s="941" t="s">
        <v>449</v>
      </c>
      <c r="G171" s="941" t="s">
        <v>450</v>
      </c>
      <c r="H171" s="941" t="s">
        <v>431</v>
      </c>
      <c r="I171" s="941" t="s">
        <v>451</v>
      </c>
      <c r="J171" s="941" t="s">
        <v>452</v>
      </c>
      <c r="K171" s="941" t="s">
        <v>453</v>
      </c>
      <c r="L171" s="941" t="s">
        <v>209</v>
      </c>
      <c r="M171" s="941" t="s">
        <v>221</v>
      </c>
      <c r="N171" s="941"/>
      <c r="O171" s="941"/>
      <c r="P171" s="419"/>
      <c r="Q171" s="941" t="s">
        <v>445</v>
      </c>
      <c r="R171" s="941" t="s">
        <v>280</v>
      </c>
      <c r="S171" s="419"/>
      <c r="T171" s="941" t="s">
        <v>447</v>
      </c>
      <c r="U171" s="941" t="s">
        <v>459</v>
      </c>
      <c r="V171" s="941" t="s">
        <v>449</v>
      </c>
      <c r="W171" s="941" t="s">
        <v>450</v>
      </c>
      <c r="X171" s="941" t="s">
        <v>431</v>
      </c>
      <c r="Y171" s="941" t="s">
        <v>451</v>
      </c>
      <c r="Z171" s="941" t="s">
        <v>452</v>
      </c>
      <c r="AA171" s="941" t="s">
        <v>453</v>
      </c>
      <c r="AB171" s="941" t="s">
        <v>209</v>
      </c>
      <c r="AC171" s="941" t="s">
        <v>221</v>
      </c>
      <c r="AD171" s="419"/>
      <c r="AE171" s="419"/>
    </row>
    <row r="172" ht="12.75" customHeight="1">
      <c r="A172" s="669">
        <v>1.0</v>
      </c>
      <c r="B172" s="942" t="str">
        <f>IF(IGRF!B14="","",IGRF!B14)</f>
        <v>04</v>
      </c>
      <c r="C172" s="419" t="s">
        <v>441</v>
      </c>
      <c r="D172" s="419" t="str">
        <f>IF(OR($E172="",$E172=0),"",SUMPRODUCT(--($C$3:$C$78=$B172),D$3:D$78))</f>
        <v/>
      </c>
      <c r="E172" s="419">
        <f>IF($B172="","",SUMPRODUCT(--(C$3:C$78=$B172)))</f>
        <v>0</v>
      </c>
      <c r="F172" s="419"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9" t="str">
        <f t="shared" si="776"/>
        <v/>
      </c>
      <c r="N172" s="419"/>
      <c r="O172" s="419"/>
      <c r="P172" s="419"/>
      <c r="Q172" s="669">
        <v>1.0</v>
      </c>
      <c r="R172" s="942" t="str">
        <f>IF(IGRF!I14="","",IGRF!I14)</f>
        <v>040</v>
      </c>
      <c r="S172" s="419" t="s">
        <v>441</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2.75" customHeight="1">
      <c r="A173" s="669"/>
      <c r="B173" s="942"/>
      <c r="C173" s="419" t="s">
        <v>442</v>
      </c>
      <c r="D173" s="419" t="str">
        <f>IF(OR($E173="",$E173=0),"",SUMPRODUCT(--($C$88:$C$163=$B172),D$88:D$163))</f>
        <v/>
      </c>
      <c r="E173" s="419">
        <f>IF($B172="","",SUMPRODUCT(--(C$88:C$163=$B172)))</f>
        <v>0</v>
      </c>
      <c r="F173" s="419"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9" t="str">
        <f t="shared" si="778"/>
        <v/>
      </c>
      <c r="N173" s="419"/>
      <c r="O173" s="419"/>
      <c r="P173" s="419"/>
      <c r="Q173" s="669"/>
      <c r="R173" s="669"/>
      <c r="S173" s="419" t="s">
        <v>442</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2.75" customHeight="1">
      <c r="A174" s="669"/>
      <c r="B174" s="942"/>
      <c r="C174" s="943" t="s">
        <v>398</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9"/>
      <c r="O174" s="419"/>
      <c r="P174" s="419"/>
      <c r="Q174" s="669"/>
      <c r="R174" s="669"/>
      <c r="S174" s="943" t="s">
        <v>398</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2.75" customHeight="1">
      <c r="A175" s="669">
        <f>A172+1</f>
        <v>2</v>
      </c>
      <c r="B175" s="942" t="str">
        <f>IF(IGRF!B15="","",IGRF!B15)</f>
        <v>16</v>
      </c>
      <c r="C175" s="419" t="s">
        <v>441</v>
      </c>
      <c r="D175" s="419">
        <f>IF(OR($E175="",$E175=0),"",SUMPRODUCT(--($C$3:$C$78=$B175),D$3:D$78))</f>
        <v>14</v>
      </c>
      <c r="E175" s="419">
        <f>IF($B175="","",SUMPRODUCT(--(C$3:C$78=$B175)))</f>
        <v>6</v>
      </c>
      <c r="F175" s="419">
        <f>IF(OR($E175="",$E175=0),"",SUMIF($C$3:$C$62,$B175,F$3:F$62))</f>
        <v>-39</v>
      </c>
      <c r="G175" s="930">
        <f t="shared" ref="G175:M175" si="783">IF(OR($E175="",$E175=0),"",SUMPRODUCT(--($C$3:$C$78=$B175),G$3:G$78))</f>
        <v>1</v>
      </c>
      <c r="H175" s="930">
        <f t="shared" si="783"/>
        <v>1</v>
      </c>
      <c r="I175" s="928">
        <f t="shared" si="783"/>
        <v>2</v>
      </c>
      <c r="J175" s="930">
        <f t="shared" si="783"/>
        <v>1</v>
      </c>
      <c r="K175" s="930">
        <f t="shared" si="783"/>
        <v>0</v>
      </c>
      <c r="L175" s="930">
        <f t="shared" si="783"/>
        <v>0</v>
      </c>
      <c r="M175" s="419">
        <f t="shared" si="783"/>
        <v>8</v>
      </c>
      <c r="N175" s="419"/>
      <c r="O175" s="419"/>
      <c r="P175" s="419"/>
      <c r="Q175" s="669">
        <f>Q172+1</f>
        <v>2</v>
      </c>
      <c r="R175" s="942" t="str">
        <f>IF(IGRF!I15="","",IGRF!I15)</f>
        <v>101</v>
      </c>
      <c r="S175" s="419" t="s">
        <v>441</v>
      </c>
      <c r="T175" s="419">
        <f>IF(OR($U175="",$U175=0),"",SUMPRODUCT(--($S$3:$S$78=$R175),T$3:T$78))</f>
        <v>34</v>
      </c>
      <c r="U175" s="419">
        <f>IF($R175="","",SUMPRODUCT(--(S$3:S$78=$R175)))</f>
        <v>6</v>
      </c>
      <c r="V175" s="419">
        <f t="shared" ref="V175:AC175" si="784">IF(OR($U175="",$U175=0),"",SUMPRODUCT(--($S$3:$S$78=$R175),V$3:V$78))</f>
        <v>12</v>
      </c>
      <c r="W175" s="930">
        <f t="shared" si="784"/>
        <v>1</v>
      </c>
      <c r="X175" s="930">
        <f t="shared" si="784"/>
        <v>3</v>
      </c>
      <c r="Y175" s="928">
        <f t="shared" si="784"/>
        <v>18</v>
      </c>
      <c r="Z175" s="930">
        <f t="shared" si="784"/>
        <v>2</v>
      </c>
      <c r="AA175" s="930">
        <f t="shared" si="784"/>
        <v>0</v>
      </c>
      <c r="AB175" s="930">
        <f t="shared" si="784"/>
        <v>0</v>
      </c>
      <c r="AC175" s="419">
        <f t="shared" si="784"/>
        <v>11</v>
      </c>
      <c r="AD175" s="419"/>
      <c r="AE175" s="419"/>
    </row>
    <row r="176" ht="12.75" customHeight="1">
      <c r="A176" s="669"/>
      <c r="B176" s="942"/>
      <c r="C176" s="419" t="s">
        <v>442</v>
      </c>
      <c r="D176" s="419">
        <f>IF(OR($E176="",$E176=0),"",SUMPRODUCT(--($C$88:$C$163=$B175),D$88:D$163))</f>
        <v>13</v>
      </c>
      <c r="E176" s="419">
        <f>IF($B175="","",SUMPRODUCT(--(C$88:C$163=$B175)))</f>
        <v>5</v>
      </c>
      <c r="F176" s="419">
        <f>IF(OR($E176="",$E176=0),"",SUMIF($C$88:$C$147,$B175,F$88:F$147))</f>
        <v>3</v>
      </c>
      <c r="G176" s="930">
        <f t="shared" ref="G176:M176" si="785">IF(OR($E176="",$E176=0),"",SUMPRODUCT(--($C$88:$C$163=$B175),G$88:G$163))</f>
        <v>0</v>
      </c>
      <c r="H176" s="930">
        <f t="shared" si="785"/>
        <v>1</v>
      </c>
      <c r="I176" s="928">
        <f t="shared" si="785"/>
        <v>9</v>
      </c>
      <c r="J176" s="930">
        <f t="shared" si="785"/>
        <v>1</v>
      </c>
      <c r="K176" s="930">
        <f t="shared" si="785"/>
        <v>0</v>
      </c>
      <c r="L176" s="930">
        <f t="shared" si="785"/>
        <v>0</v>
      </c>
      <c r="M176" s="419">
        <f t="shared" si="785"/>
        <v>7</v>
      </c>
      <c r="N176" s="419"/>
      <c r="O176" s="419"/>
      <c r="P176" s="419"/>
      <c r="Q176" s="669"/>
      <c r="R176" s="669"/>
      <c r="S176" s="419" t="s">
        <v>442</v>
      </c>
      <c r="T176" s="419">
        <f>IF(OR($U176="",$U176=0),"",SUMPRODUCT(--($S$88:$S$163=$R175),T$88:T$163))</f>
        <v>64</v>
      </c>
      <c r="U176" s="419">
        <f>IF($R175="","",SUMPRODUCT(--(S$88:S$163=$R175)))</f>
        <v>8</v>
      </c>
      <c r="V176" s="419">
        <f t="shared" ref="V176:AC176" si="786">IF(OR($U176="",$U176=0),"",SUMPRODUCT(--($S$88:$S$163=$R175),V$88:V$163))</f>
        <v>45</v>
      </c>
      <c r="W176" s="930">
        <f t="shared" si="786"/>
        <v>0</v>
      </c>
      <c r="X176" s="930">
        <f t="shared" si="786"/>
        <v>7</v>
      </c>
      <c r="Y176" s="928">
        <f t="shared" si="786"/>
        <v>57</v>
      </c>
      <c r="Z176" s="930">
        <f t="shared" si="786"/>
        <v>6</v>
      </c>
      <c r="AA176" s="930">
        <f t="shared" si="786"/>
        <v>0</v>
      </c>
      <c r="AB176" s="930">
        <f t="shared" si="786"/>
        <v>0</v>
      </c>
      <c r="AC176" s="419">
        <f t="shared" si="786"/>
        <v>19</v>
      </c>
      <c r="AD176" s="419"/>
      <c r="AE176" s="419"/>
    </row>
    <row r="177" ht="12.75" customHeight="1">
      <c r="A177" s="669"/>
      <c r="B177" s="942"/>
      <c r="C177" s="943" t="s">
        <v>398</v>
      </c>
      <c r="D177" s="943">
        <f t="shared" ref="D177:F177" si="787">IF($B175="","",SUM(D175:D176))</f>
        <v>27</v>
      </c>
      <c r="E177" s="943">
        <f t="shared" si="787"/>
        <v>11</v>
      </c>
      <c r="F177" s="943">
        <f t="shared" si="787"/>
        <v>-36</v>
      </c>
      <c r="G177" s="932">
        <f t="shared" ref="G177:L177" si="788">IF($B175="","",SUM(G175,G176))</f>
        <v>1</v>
      </c>
      <c r="H177" s="932">
        <f t="shared" si="788"/>
        <v>2</v>
      </c>
      <c r="I177" s="944">
        <f t="shared" si="788"/>
        <v>11</v>
      </c>
      <c r="J177" s="932">
        <f t="shared" si="788"/>
        <v>2</v>
      </c>
      <c r="K177" s="932">
        <f t="shared" si="788"/>
        <v>0</v>
      </c>
      <c r="L177" s="932">
        <f t="shared" si="788"/>
        <v>0</v>
      </c>
      <c r="M177" s="943">
        <f>IF($B175="","",SUM(M175:M176))</f>
        <v>15</v>
      </c>
      <c r="N177" s="419"/>
      <c r="O177" s="419"/>
      <c r="P177" s="419"/>
      <c r="Q177" s="669"/>
      <c r="R177" s="669"/>
      <c r="S177" s="943" t="s">
        <v>398</v>
      </c>
      <c r="T177" s="943">
        <f>IF($R175="","",SUM(T175:T176))</f>
        <v>98</v>
      </c>
      <c r="U177" s="943">
        <f t="shared" ref="U177:AC177" si="789">IF($R175="","",SUM(U175,U176))</f>
        <v>14</v>
      </c>
      <c r="V177" s="943">
        <f t="shared" si="789"/>
        <v>57</v>
      </c>
      <c r="W177" s="932">
        <f t="shared" si="789"/>
        <v>1</v>
      </c>
      <c r="X177" s="932">
        <f t="shared" si="789"/>
        <v>10</v>
      </c>
      <c r="Y177" s="944">
        <f t="shared" si="789"/>
        <v>75</v>
      </c>
      <c r="Z177" s="932">
        <f t="shared" si="789"/>
        <v>8</v>
      </c>
      <c r="AA177" s="932">
        <f t="shared" si="789"/>
        <v>0</v>
      </c>
      <c r="AB177" s="932">
        <f t="shared" si="789"/>
        <v>0</v>
      </c>
      <c r="AC177" s="943">
        <f t="shared" si="789"/>
        <v>30</v>
      </c>
      <c r="AD177" s="419"/>
      <c r="AE177" s="419"/>
    </row>
    <row r="178" ht="12.75" customHeight="1">
      <c r="A178" s="669">
        <f>A175+1</f>
        <v>3</v>
      </c>
      <c r="B178" s="942" t="str">
        <f>IF(IGRF!B16="","",IGRF!B16)</f>
        <v>177</v>
      </c>
      <c r="C178" s="419" t="s">
        <v>441</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69">
        <f>Q175+1</f>
        <v>3</v>
      </c>
      <c r="R178" s="942" t="str">
        <f>IF(IGRF!I16="","",IGRF!I16)</f>
        <v>11</v>
      </c>
      <c r="S178" s="419" t="s">
        <v>441</v>
      </c>
      <c r="T178" s="419">
        <f>IF(OR($U178="",$U178=0),"",SUMPRODUCT(--($S$3:$S$78=$R178),T$3:T$78))</f>
        <v>43</v>
      </c>
      <c r="U178" s="419">
        <f>IF($R178="","",SUMPRODUCT(--(S$3:S$78=$R178)))</f>
        <v>5</v>
      </c>
      <c r="V178" s="419">
        <f t="shared" ref="V178:AC178" si="791">IF(OR($U178="",$U178=0),"",SUMPRODUCT(--($S$3:$S$78=$R178),V$3:V$78))</f>
        <v>42</v>
      </c>
      <c r="W178" s="930">
        <f t="shared" si="791"/>
        <v>1</v>
      </c>
      <c r="X178" s="930">
        <f t="shared" si="791"/>
        <v>4</v>
      </c>
      <c r="Y178" s="928">
        <f t="shared" si="791"/>
        <v>39</v>
      </c>
      <c r="Z178" s="930">
        <f t="shared" si="791"/>
        <v>3</v>
      </c>
      <c r="AA178" s="930">
        <f t="shared" si="791"/>
        <v>0</v>
      </c>
      <c r="AB178" s="930">
        <f t="shared" si="791"/>
        <v>1</v>
      </c>
      <c r="AC178" s="419">
        <f t="shared" si="791"/>
        <v>11</v>
      </c>
      <c r="AD178" s="419"/>
      <c r="AE178" s="419"/>
    </row>
    <row r="179" ht="12.75" customHeight="1">
      <c r="A179" s="669"/>
      <c r="B179" s="942"/>
      <c r="C179" s="419" t="s">
        <v>442</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69"/>
      <c r="R179" s="669"/>
      <c r="S179" s="419" t="s">
        <v>442</v>
      </c>
      <c r="T179" s="419">
        <f>IF(OR($U179="",$U179=0),"",SUMPRODUCT(--($S$88:$S$163=$R178),T$88:T$163))</f>
        <v>31</v>
      </c>
      <c r="U179" s="419">
        <f>IF($R178="","",SUMPRODUCT(--(S$88:S$163=$R178)))</f>
        <v>7</v>
      </c>
      <c r="V179" s="419">
        <f t="shared" ref="V179:AC179" si="793">IF(OR($U179="",$U179=0),"",SUMPRODUCT(--($S$88:$S$163=$R178),V$88:V$163))</f>
        <v>4</v>
      </c>
      <c r="W179" s="930">
        <f t="shared" si="793"/>
        <v>2</v>
      </c>
      <c r="X179" s="930">
        <f t="shared" si="793"/>
        <v>5</v>
      </c>
      <c r="Y179" s="928">
        <f t="shared" si="793"/>
        <v>21</v>
      </c>
      <c r="Z179" s="930">
        <f t="shared" si="793"/>
        <v>2</v>
      </c>
      <c r="AA179" s="930">
        <f t="shared" si="793"/>
        <v>0</v>
      </c>
      <c r="AB179" s="930">
        <f t="shared" si="793"/>
        <v>2</v>
      </c>
      <c r="AC179" s="419">
        <f t="shared" si="793"/>
        <v>9</v>
      </c>
      <c r="AD179" s="419"/>
      <c r="AE179" s="419"/>
    </row>
    <row r="180" ht="12.75" customHeight="1">
      <c r="A180" s="669"/>
      <c r="B180" s="942"/>
      <c r="C180" s="943" t="s">
        <v>398</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69"/>
      <c r="R180" s="669"/>
      <c r="S180" s="943" t="s">
        <v>398</v>
      </c>
      <c r="T180" s="943">
        <f>IF($R178="","",SUM(T178:T179))</f>
        <v>74</v>
      </c>
      <c r="U180" s="943">
        <f t="shared" ref="U180:AC180" si="796">IF($R178="","",SUM(U178,U179))</f>
        <v>12</v>
      </c>
      <c r="V180" s="943">
        <f t="shared" si="796"/>
        <v>46</v>
      </c>
      <c r="W180" s="932">
        <f t="shared" si="796"/>
        <v>3</v>
      </c>
      <c r="X180" s="932">
        <f t="shared" si="796"/>
        <v>9</v>
      </c>
      <c r="Y180" s="944">
        <f t="shared" si="796"/>
        <v>60</v>
      </c>
      <c r="Z180" s="932">
        <f t="shared" si="796"/>
        <v>5</v>
      </c>
      <c r="AA180" s="932">
        <f t="shared" si="796"/>
        <v>0</v>
      </c>
      <c r="AB180" s="932">
        <f t="shared" si="796"/>
        <v>3</v>
      </c>
      <c r="AC180" s="943">
        <f t="shared" si="796"/>
        <v>20</v>
      </c>
      <c r="AD180" s="419"/>
      <c r="AE180" s="419"/>
    </row>
    <row r="181" ht="12.75" customHeight="1">
      <c r="A181" s="669">
        <f>A178+1</f>
        <v>4</v>
      </c>
      <c r="B181" s="942" t="str">
        <f>IF(IGRF!B17="","",IGRF!B17)</f>
        <v>215</v>
      </c>
      <c r="C181" s="419" t="s">
        <v>441</v>
      </c>
      <c r="D181" s="419">
        <f>IF(OR($E181="",$E181=0),"",SUMPRODUCT(--($C$3:$C$78=$B181),D$3:D$78))</f>
        <v>4</v>
      </c>
      <c r="E181" s="419">
        <f>IF($B181="","",SUMPRODUCT(--(C$3:C$78=$B181)))</f>
        <v>3</v>
      </c>
      <c r="F181" s="419">
        <f>IF(OR($E181="",$E181=0),"",SUMIF($C$3:$C$62,$B181,F$3:F$62))</f>
        <v>-21</v>
      </c>
      <c r="G181" s="930">
        <f t="shared" ref="G181:M181" si="797">IF(OR($E181="",$E181=0),"",SUMPRODUCT(--($C$3:$C$78=$B181),G$3:G$78))</f>
        <v>0</v>
      </c>
      <c r="H181" s="930">
        <f t="shared" si="797"/>
        <v>1</v>
      </c>
      <c r="I181" s="928">
        <f t="shared" si="797"/>
        <v>-3</v>
      </c>
      <c r="J181" s="930">
        <f t="shared" si="797"/>
        <v>0</v>
      </c>
      <c r="K181" s="930">
        <f t="shared" si="797"/>
        <v>1</v>
      </c>
      <c r="L181" s="930">
        <f t="shared" si="797"/>
        <v>0</v>
      </c>
      <c r="M181" s="419">
        <f t="shared" si="797"/>
        <v>3</v>
      </c>
      <c r="N181" s="419"/>
      <c r="O181" s="419"/>
      <c r="P181" s="419"/>
      <c r="Q181" s="669">
        <f>Q178+1</f>
        <v>4</v>
      </c>
      <c r="R181" s="942" t="str">
        <f>IF(IGRF!I17="","",IGRF!I17)</f>
        <v>33</v>
      </c>
      <c r="S181" s="419" t="s">
        <v>441</v>
      </c>
      <c r="T181" s="419">
        <f>IF(OR($U181="",$U181=0),"",SUMPRODUCT(--($S$3:$S$78=$R181),T$3:T$78))</f>
        <v>20</v>
      </c>
      <c r="U181" s="419">
        <f>IF($R181="","",SUMPRODUCT(--(S$3:S$78=$R181)))</f>
        <v>4</v>
      </c>
      <c r="V181" s="419">
        <f t="shared" ref="V181:AC181" si="798">IF(OR($U181="",$U181=0),"",SUMPRODUCT(--($S$3:$S$78=$R181),V$3:V$78))</f>
        <v>10</v>
      </c>
      <c r="W181" s="930">
        <f t="shared" si="798"/>
        <v>0</v>
      </c>
      <c r="X181" s="930">
        <f t="shared" si="798"/>
        <v>3</v>
      </c>
      <c r="Y181" s="928">
        <f t="shared" si="798"/>
        <v>8</v>
      </c>
      <c r="Z181" s="930">
        <f t="shared" si="798"/>
        <v>3</v>
      </c>
      <c r="AA181" s="930">
        <f t="shared" si="798"/>
        <v>0</v>
      </c>
      <c r="AB181" s="930">
        <f t="shared" si="798"/>
        <v>0</v>
      </c>
      <c r="AC181" s="419">
        <f t="shared" si="798"/>
        <v>6</v>
      </c>
      <c r="AD181" s="419"/>
      <c r="AE181" s="419"/>
    </row>
    <row r="182" ht="12.75" customHeight="1">
      <c r="A182" s="669"/>
      <c r="B182" s="942"/>
      <c r="C182" s="419" t="s">
        <v>442</v>
      </c>
      <c r="D182" s="419" t="str">
        <f>IF(OR($E182="",$E182=0),"",SUMPRODUCT(--($C$88:$C$163=$B181),D$88:D$163))</f>
        <v/>
      </c>
      <c r="E182" s="419">
        <f>IF($B181="","",SUMPRODUCT(--(C$88:C$163=$B181)))</f>
        <v>0</v>
      </c>
      <c r="F182" s="419"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9" t="str">
        <f t="shared" si="799"/>
        <v/>
      </c>
      <c r="N182" s="419"/>
      <c r="O182" s="419"/>
      <c r="P182" s="419"/>
      <c r="Q182" s="669"/>
      <c r="R182" s="669"/>
      <c r="S182" s="419" t="s">
        <v>442</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69"/>
      <c r="B183" s="942"/>
      <c r="C183" s="943" t="s">
        <v>398</v>
      </c>
      <c r="D183" s="943">
        <f t="shared" ref="D183:F183" si="801">IF($B181="","",SUM(D181:D182))</f>
        <v>4</v>
      </c>
      <c r="E183" s="943">
        <f t="shared" si="801"/>
        <v>3</v>
      </c>
      <c r="F183" s="943">
        <f t="shared" si="801"/>
        <v>-21</v>
      </c>
      <c r="G183" s="932">
        <f t="shared" ref="G183:L183" si="802">IF($B181="","",SUM(G181,G182))</f>
        <v>0</v>
      </c>
      <c r="H183" s="932">
        <f t="shared" si="802"/>
        <v>1</v>
      </c>
      <c r="I183" s="944">
        <f t="shared" si="802"/>
        <v>-3</v>
      </c>
      <c r="J183" s="932">
        <f t="shared" si="802"/>
        <v>0</v>
      </c>
      <c r="K183" s="932">
        <f t="shared" si="802"/>
        <v>1</v>
      </c>
      <c r="L183" s="932">
        <f t="shared" si="802"/>
        <v>0</v>
      </c>
      <c r="M183" s="943">
        <f>IF($B181="","",SUM(M181:M182))</f>
        <v>3</v>
      </c>
      <c r="N183" s="419"/>
      <c r="O183" s="419"/>
      <c r="P183" s="419"/>
      <c r="Q183" s="669"/>
      <c r="R183" s="669"/>
      <c r="S183" s="943" t="s">
        <v>398</v>
      </c>
      <c r="T183" s="943">
        <f>IF($R181="","",SUM(T181:T182))</f>
        <v>20</v>
      </c>
      <c r="U183" s="943">
        <f t="shared" ref="U183:AC183" si="803">IF($R181="","",SUM(U181,U182))</f>
        <v>4</v>
      </c>
      <c r="V183" s="943">
        <f t="shared" si="803"/>
        <v>10</v>
      </c>
      <c r="W183" s="932">
        <f t="shared" si="803"/>
        <v>0</v>
      </c>
      <c r="X183" s="932">
        <f t="shared" si="803"/>
        <v>3</v>
      </c>
      <c r="Y183" s="944">
        <f t="shared" si="803"/>
        <v>8</v>
      </c>
      <c r="Z183" s="932">
        <f t="shared" si="803"/>
        <v>3</v>
      </c>
      <c r="AA183" s="932">
        <f t="shared" si="803"/>
        <v>0</v>
      </c>
      <c r="AB183" s="932">
        <f t="shared" si="803"/>
        <v>0</v>
      </c>
      <c r="AC183" s="943">
        <f t="shared" si="803"/>
        <v>6</v>
      </c>
      <c r="AD183" s="419"/>
      <c r="AE183" s="419"/>
    </row>
    <row r="184" ht="12.75" customHeight="1">
      <c r="A184" s="669">
        <f>A181+1</f>
        <v>5</v>
      </c>
      <c r="B184" s="942" t="str">
        <f>IF(IGRF!B18="","",IGRF!B18)</f>
        <v>27</v>
      </c>
      <c r="C184" s="419" t="s">
        <v>441</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69">
        <f>Q181+1</f>
        <v>5</v>
      </c>
      <c r="R184" s="942" t="str">
        <f>IF(IGRF!I18="","",IGRF!I18)</f>
        <v>1337</v>
      </c>
      <c r="S184" s="419" t="s">
        <v>441</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69"/>
      <c r="B185" s="942"/>
      <c r="C185" s="419" t="s">
        <v>442</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69"/>
      <c r="R185" s="669"/>
      <c r="S185" s="419" t="s">
        <v>442</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69"/>
      <c r="B186" s="942"/>
      <c r="C186" s="943" t="s">
        <v>398</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69"/>
      <c r="R186" s="669"/>
      <c r="S186" s="943" t="s">
        <v>398</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69">
        <f>A184+1</f>
        <v>6</v>
      </c>
      <c r="B187" s="942" t="str">
        <f>IF(IGRF!B19="","",IGRF!B19)</f>
        <v>271</v>
      </c>
      <c r="C187" s="419" t="s">
        <v>441</v>
      </c>
      <c r="D187" s="419">
        <f>IF(OR($E187="",$E187=0),"",SUMPRODUCT(--($C$3:$C$78=$B187),D$3:D$78))</f>
        <v>12</v>
      </c>
      <c r="E187" s="419">
        <f>IF($B187="","",SUMPRODUCT(--(C$3:C$78=$B187)))</f>
        <v>4</v>
      </c>
      <c r="F187" s="419">
        <f>IF(OR($E187="",$E187=0),"",SUMIF($C$3:$C$62,$B187,F$3:F$62))</f>
        <v>-19</v>
      </c>
      <c r="G187" s="930">
        <f t="shared" ref="G187:M187" si="811">IF(OR($E187="",$E187=0),"",SUMPRODUCT(--($C$3:$C$78=$B187),G$3:G$78))</f>
        <v>0</v>
      </c>
      <c r="H187" s="930">
        <f t="shared" si="811"/>
        <v>1</v>
      </c>
      <c r="I187" s="928">
        <f t="shared" si="811"/>
        <v>4</v>
      </c>
      <c r="J187" s="930">
        <f t="shared" si="811"/>
        <v>1</v>
      </c>
      <c r="K187" s="930">
        <f t="shared" si="811"/>
        <v>0</v>
      </c>
      <c r="L187" s="930">
        <f t="shared" si="811"/>
        <v>1</v>
      </c>
      <c r="M187" s="419">
        <f t="shared" si="811"/>
        <v>4</v>
      </c>
      <c r="N187" s="419"/>
      <c r="O187" s="419"/>
      <c r="P187" s="419"/>
      <c r="Q187" s="669">
        <f>Q184+1</f>
        <v>6</v>
      </c>
      <c r="R187" s="942" t="str">
        <f>IF(IGRF!I19="","",IGRF!I19)</f>
        <v>150</v>
      </c>
      <c r="S187" s="419" t="s">
        <v>441</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2.75" customHeight="1">
      <c r="A188" s="669"/>
      <c r="B188" s="942"/>
      <c r="C188" s="419" t="s">
        <v>442</v>
      </c>
      <c r="D188" s="419">
        <f>IF(OR($E188="",$E188=0),"",SUMPRODUCT(--($C$88:$C$163=$B187),D$88:D$163))</f>
        <v>24</v>
      </c>
      <c r="E188" s="419">
        <f>IF($B187="","",SUMPRODUCT(--(C$88:C$163=$B187)))</f>
        <v>6</v>
      </c>
      <c r="F188" s="419">
        <f>IF(OR($E188="",$E188=0),"",SUMIF($C$88:$C$147,$B187,F$88:F$147))</f>
        <v>-3</v>
      </c>
      <c r="G188" s="930">
        <f t="shared" ref="G188:M188" si="813">IF(OR($E188="",$E188=0),"",SUMPRODUCT(--($C$88:$C$163=$B187),G$88:G$163))</f>
        <v>0</v>
      </c>
      <c r="H188" s="930">
        <f t="shared" si="813"/>
        <v>2</v>
      </c>
      <c r="I188" s="928">
        <f t="shared" si="813"/>
        <v>20</v>
      </c>
      <c r="J188" s="930">
        <f t="shared" si="813"/>
        <v>2</v>
      </c>
      <c r="K188" s="930">
        <f t="shared" si="813"/>
        <v>0</v>
      </c>
      <c r="L188" s="930">
        <f t="shared" si="813"/>
        <v>1</v>
      </c>
      <c r="M188" s="419">
        <f t="shared" si="813"/>
        <v>9</v>
      </c>
      <c r="N188" s="419"/>
      <c r="O188" s="419"/>
      <c r="P188" s="419"/>
      <c r="Q188" s="669"/>
      <c r="R188" s="669"/>
      <c r="S188" s="419" t="s">
        <v>442</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69"/>
      <c r="B189" s="942"/>
      <c r="C189" s="943" t="s">
        <v>398</v>
      </c>
      <c r="D189" s="943">
        <f t="shared" ref="D189:F189" si="815">IF($B187="","",SUM(D187:D188))</f>
        <v>36</v>
      </c>
      <c r="E189" s="943">
        <f t="shared" si="815"/>
        <v>10</v>
      </c>
      <c r="F189" s="943">
        <f t="shared" si="815"/>
        <v>-22</v>
      </c>
      <c r="G189" s="932">
        <f t="shared" ref="G189:L189" si="816">IF($B187="","",SUM(G187,G188))</f>
        <v>0</v>
      </c>
      <c r="H189" s="932">
        <f t="shared" si="816"/>
        <v>3</v>
      </c>
      <c r="I189" s="944">
        <f t="shared" si="816"/>
        <v>24</v>
      </c>
      <c r="J189" s="932">
        <f t="shared" si="816"/>
        <v>3</v>
      </c>
      <c r="K189" s="932">
        <f t="shared" si="816"/>
        <v>0</v>
      </c>
      <c r="L189" s="932">
        <f t="shared" si="816"/>
        <v>2</v>
      </c>
      <c r="M189" s="943">
        <f>IF($B187="","",SUM(M187:M188))</f>
        <v>13</v>
      </c>
      <c r="N189" s="419"/>
      <c r="O189" s="419"/>
      <c r="P189" s="419"/>
      <c r="Q189" s="669"/>
      <c r="R189" s="669"/>
      <c r="S189" s="943" t="s">
        <v>398</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2.75" customHeight="1">
      <c r="A190" s="669">
        <f>A187+1</f>
        <v>7</v>
      </c>
      <c r="B190" s="942" t="str">
        <f>IF(IGRF!B20="","",IGRF!B20)</f>
        <v>220</v>
      </c>
      <c r="C190" s="419" t="s">
        <v>441</v>
      </c>
      <c r="D190" s="419">
        <f>IF(OR($E190="",$E190=0),"",SUMPRODUCT(--($C$3:$C$78=$B190),D$3:D$78))</f>
        <v>4</v>
      </c>
      <c r="E190" s="419">
        <f>IF($B190="","",SUMPRODUCT(--(C$3:C$78=$B190)))</f>
        <v>1</v>
      </c>
      <c r="F190" s="419">
        <f>IF(OR($E190="",$E190=0),"",SUMIF($C$3:$C$62,$B190,F$3:F$62))</f>
        <v>0</v>
      </c>
      <c r="G190" s="930">
        <f t="shared" ref="G190:M190" si="818">IF(OR($E190="",$E190=0),"",SUMPRODUCT(--($C$3:$C$78=$B190),G$3:G$78))</f>
        <v>0</v>
      </c>
      <c r="H190" s="930">
        <f t="shared" si="818"/>
        <v>0</v>
      </c>
      <c r="I190" s="928">
        <f t="shared" si="818"/>
        <v>0</v>
      </c>
      <c r="J190" s="930">
        <f t="shared" si="818"/>
        <v>0</v>
      </c>
      <c r="K190" s="930">
        <f t="shared" si="818"/>
        <v>0</v>
      </c>
      <c r="L190" s="930">
        <f t="shared" si="818"/>
        <v>0</v>
      </c>
      <c r="M190" s="419">
        <f t="shared" si="818"/>
        <v>1</v>
      </c>
      <c r="N190" s="419"/>
      <c r="O190" s="419"/>
      <c r="P190" s="419"/>
      <c r="Q190" s="669">
        <f>Q187+1</f>
        <v>7</v>
      </c>
      <c r="R190" s="942" t="str">
        <f>IF(IGRF!I20="","",IGRF!I20)</f>
        <v>16</v>
      </c>
      <c r="S190" s="419" t="s">
        <v>441</v>
      </c>
      <c r="T190" s="419">
        <f>IF(OR($U190="",$U190=0),"",SUMPRODUCT(--($S$3:$S$78=$R190),T$3:T$78))</f>
        <v>78</v>
      </c>
      <c r="U190" s="419">
        <f>IF($R190="","",SUMPRODUCT(--(S$3:S$78=$R190)))</f>
        <v>6</v>
      </c>
      <c r="V190" s="419">
        <f t="shared" ref="V190:AC190" si="819">IF(OR($U190="",$U190=0),"",SUMPRODUCT(--($S$3:$S$78=$R190),V$3:V$78))</f>
        <v>66</v>
      </c>
      <c r="W190" s="930">
        <f t="shared" si="819"/>
        <v>0</v>
      </c>
      <c r="X190" s="930">
        <f t="shared" si="819"/>
        <v>6</v>
      </c>
      <c r="Y190" s="928">
        <f t="shared" si="819"/>
        <v>66</v>
      </c>
      <c r="Z190" s="930">
        <f t="shared" si="819"/>
        <v>6</v>
      </c>
      <c r="AA190" s="930">
        <f t="shared" si="819"/>
        <v>0</v>
      </c>
      <c r="AB190" s="930">
        <f t="shared" si="819"/>
        <v>0</v>
      </c>
      <c r="AC190" s="419">
        <f t="shared" si="819"/>
        <v>20</v>
      </c>
      <c r="AD190" s="419"/>
      <c r="AE190" s="419"/>
    </row>
    <row r="191" ht="12.75" customHeight="1">
      <c r="A191" s="669"/>
      <c r="B191" s="942"/>
      <c r="C191" s="419" t="s">
        <v>442</v>
      </c>
      <c r="D191" s="419" t="str">
        <f>IF(OR($E191="",$E191=0),"",SUMPRODUCT(--($C$88:$C$163=$B190),D$88:D$163))</f>
        <v/>
      </c>
      <c r="E191" s="419">
        <f>IF($B190="","",SUMPRODUCT(--(C$88:C$163=$B190)))</f>
        <v>0</v>
      </c>
      <c r="F191" s="419"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9" t="str">
        <f t="shared" si="820"/>
        <v/>
      </c>
      <c r="N191" s="419"/>
      <c r="O191" s="419"/>
      <c r="P191" s="419"/>
      <c r="Q191" s="669"/>
      <c r="R191" s="669"/>
      <c r="S191" s="419" t="s">
        <v>442</v>
      </c>
      <c r="T191" s="419">
        <f>IF(OR($U191="",$U191=0),"",SUMPRODUCT(--($S$88:$S$163=$R190),T$88:T$163))</f>
        <v>50</v>
      </c>
      <c r="U191" s="419">
        <f>IF($R190="","",SUMPRODUCT(--(S$88:S$163=$R190)))</f>
        <v>8</v>
      </c>
      <c r="V191" s="419">
        <f t="shared" ref="V191:AC191" si="821">IF(OR($U191="",$U191=0),"",SUMPRODUCT(--($S$88:$S$163=$R190),V$88:V$163))</f>
        <v>38</v>
      </c>
      <c r="W191" s="930">
        <f t="shared" si="821"/>
        <v>0</v>
      </c>
      <c r="X191" s="930">
        <f t="shared" si="821"/>
        <v>7</v>
      </c>
      <c r="Y191" s="928">
        <f t="shared" si="821"/>
        <v>38</v>
      </c>
      <c r="Z191" s="930">
        <f t="shared" si="821"/>
        <v>6</v>
      </c>
      <c r="AA191" s="930">
        <f t="shared" si="821"/>
        <v>0</v>
      </c>
      <c r="AB191" s="930">
        <f t="shared" si="821"/>
        <v>0</v>
      </c>
      <c r="AC191" s="419">
        <f t="shared" si="821"/>
        <v>16</v>
      </c>
      <c r="AD191" s="419"/>
      <c r="AE191" s="419"/>
    </row>
    <row r="192" ht="12.75" customHeight="1">
      <c r="A192" s="669"/>
      <c r="B192" s="942"/>
      <c r="C192" s="943" t="s">
        <v>398</v>
      </c>
      <c r="D192" s="943">
        <f t="shared" ref="D192:F192" si="822">IF($B190="","",SUM(D190:D191))</f>
        <v>4</v>
      </c>
      <c r="E192" s="943">
        <f t="shared" si="822"/>
        <v>1</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1</v>
      </c>
      <c r="N192" s="419"/>
      <c r="O192" s="419"/>
      <c r="P192" s="419"/>
      <c r="Q192" s="669"/>
      <c r="R192" s="669"/>
      <c r="S192" s="943" t="s">
        <v>398</v>
      </c>
      <c r="T192" s="943">
        <f>IF($R190="","",SUM(T190:T191))</f>
        <v>128</v>
      </c>
      <c r="U192" s="943">
        <f t="shared" ref="U192:AC192" si="824">IF($R190="","",SUM(U190,U191))</f>
        <v>14</v>
      </c>
      <c r="V192" s="943">
        <f t="shared" si="824"/>
        <v>104</v>
      </c>
      <c r="W192" s="932">
        <f t="shared" si="824"/>
        <v>0</v>
      </c>
      <c r="X192" s="932">
        <f t="shared" si="824"/>
        <v>13</v>
      </c>
      <c r="Y192" s="944">
        <f t="shared" si="824"/>
        <v>104</v>
      </c>
      <c r="Z192" s="932">
        <f t="shared" si="824"/>
        <v>12</v>
      </c>
      <c r="AA192" s="932">
        <f t="shared" si="824"/>
        <v>0</v>
      </c>
      <c r="AB192" s="932">
        <f t="shared" si="824"/>
        <v>0</v>
      </c>
      <c r="AC192" s="943">
        <f t="shared" si="824"/>
        <v>36</v>
      </c>
      <c r="AD192" s="419"/>
      <c r="AE192" s="419"/>
    </row>
    <row r="193" ht="12.75" customHeight="1">
      <c r="A193" s="669">
        <f>A190+1</f>
        <v>8</v>
      </c>
      <c r="B193" s="942" t="str">
        <f>IF(IGRF!B21="","",IGRF!B21)</f>
        <v>3556</v>
      </c>
      <c r="C193" s="419" t="s">
        <v>441</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69">
        <f>Q190+1</f>
        <v>8</v>
      </c>
      <c r="R193" s="942" t="str">
        <f>IF(IGRF!I21="","",IGRF!I21)</f>
        <v>3110</v>
      </c>
      <c r="S193" s="419" t="s">
        <v>441</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2.75" customHeight="1">
      <c r="A194" s="669"/>
      <c r="B194" s="942"/>
      <c r="C194" s="419" t="s">
        <v>442</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69"/>
      <c r="R194" s="669"/>
      <c r="S194" s="419" t="s">
        <v>442</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2.75" customHeight="1">
      <c r="A195" s="669"/>
      <c r="B195" s="942"/>
      <c r="C195" s="943" t="s">
        <v>398</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69"/>
      <c r="R195" s="669"/>
      <c r="S195" s="943" t="s">
        <v>398</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2.75" customHeight="1">
      <c r="A196" s="669">
        <f>A193+1</f>
        <v>9</v>
      </c>
      <c r="B196" s="942" t="str">
        <f>IF(IGRF!B22="","",IGRF!B22)</f>
        <v>360</v>
      </c>
      <c r="C196" s="419" t="s">
        <v>441</v>
      </c>
      <c r="D196" s="419" t="str">
        <f>IF(OR($E196="",$E196=0),"",SUMPRODUCT(--($C$3:$C$78=$B196),D$3:D$78))</f>
        <v/>
      </c>
      <c r="E196" s="419">
        <f>IF($B196="","",SUMPRODUCT(--(C$3:C$78=$B196)))</f>
        <v>0</v>
      </c>
      <c r="F196" s="419"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9" t="str">
        <f t="shared" si="832"/>
        <v/>
      </c>
      <c r="N196" s="419"/>
      <c r="O196" s="419"/>
      <c r="P196" s="419"/>
      <c r="Q196" s="669">
        <f>Q193+1</f>
        <v>9</v>
      </c>
      <c r="R196" s="942" t="str">
        <f>IF(IGRF!I22="","",IGRF!I22)</f>
        <v>333</v>
      </c>
      <c r="S196" s="419" t="s">
        <v>441</v>
      </c>
      <c r="T196" s="419" t="str">
        <f>IF(OR($U196="",$U196=0),"",SUMPRODUCT(--($S$3:$S$78=$R196),T$3:T$78))</f>
        <v/>
      </c>
      <c r="U196" s="419">
        <f>IF($R196="","",SUMPRODUCT(--(S$3:S$78=$R196)))</f>
        <v>0</v>
      </c>
      <c r="V196" s="419"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9" t="str">
        <f t="shared" si="833"/>
        <v/>
      </c>
      <c r="AD196" s="419"/>
      <c r="AE196" s="419"/>
    </row>
    <row r="197" ht="12.75" customHeight="1">
      <c r="A197" s="669"/>
      <c r="B197" s="942"/>
      <c r="C197" s="419" t="s">
        <v>442</v>
      </c>
      <c r="D197" s="419" t="str">
        <f>IF(OR($E197="",$E197=0),"",SUMPRODUCT(--($C$88:$C$163=$B196),D$88:D$163))</f>
        <v/>
      </c>
      <c r="E197" s="419">
        <f>IF($B196="","",SUMPRODUCT(--(C$88:C$163=$B196)))</f>
        <v>0</v>
      </c>
      <c r="F197" s="419"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19" t="str">
        <f t="shared" si="834"/>
        <v/>
      </c>
      <c r="N197" s="419"/>
      <c r="O197" s="419"/>
      <c r="P197" s="419"/>
      <c r="Q197" s="669"/>
      <c r="R197" s="669"/>
      <c r="S197" s="419" t="s">
        <v>442</v>
      </c>
      <c r="T197" s="419" t="str">
        <f>IF(OR($U197="",$U197=0),"",SUMPRODUCT(--($S$88:$S$163=$R196),T$88:T$163))</f>
        <v/>
      </c>
      <c r="U197" s="419">
        <f>IF($R196="","",SUMPRODUCT(--(S$88:S$163=$R196)))</f>
        <v>0</v>
      </c>
      <c r="V197" s="419"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9" t="str">
        <f t="shared" si="835"/>
        <v/>
      </c>
      <c r="AD197" s="419"/>
      <c r="AE197" s="419"/>
    </row>
    <row r="198" ht="12.75" customHeight="1">
      <c r="A198" s="669"/>
      <c r="B198" s="942"/>
      <c r="C198" s="943" t="s">
        <v>398</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19"/>
      <c r="O198" s="419"/>
      <c r="P198" s="419"/>
      <c r="Q198" s="669"/>
      <c r="R198" s="669"/>
      <c r="S198" s="943" t="s">
        <v>398</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9"/>
      <c r="AE198" s="419"/>
    </row>
    <row r="199" ht="12.75" customHeight="1">
      <c r="A199" s="669">
        <f>A196+1</f>
        <v>10</v>
      </c>
      <c r="B199" s="942" t="str">
        <f>IF(IGRF!B23="","",IGRF!B23)</f>
        <v>40</v>
      </c>
      <c r="C199" s="419" t="s">
        <v>441</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69">
        <f>Q196+1</f>
        <v>10</v>
      </c>
      <c r="R199" s="942" t="str">
        <f>IF(IGRF!I23="","",IGRF!I23)</f>
        <v>4</v>
      </c>
      <c r="S199" s="419" t="s">
        <v>441</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2.75" customHeight="1">
      <c r="A200" s="669"/>
      <c r="B200" s="942"/>
      <c r="C200" s="419" t="s">
        <v>442</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69"/>
      <c r="R200" s="669"/>
      <c r="S200" s="419" t="s">
        <v>442</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2.75" customHeight="1">
      <c r="A201" s="669"/>
      <c r="B201" s="942"/>
      <c r="C201" s="943" t="s">
        <v>398</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69"/>
      <c r="R201" s="669"/>
      <c r="S201" s="943" t="s">
        <v>398</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2.75" customHeight="1">
      <c r="A202" s="669">
        <f>A199+1</f>
        <v>11</v>
      </c>
      <c r="B202" s="942" t="str">
        <f>IF(IGRF!B24="","",IGRF!B24)</f>
        <v>42</v>
      </c>
      <c r="C202" s="419" t="s">
        <v>441</v>
      </c>
      <c r="D202" s="419">
        <f>IF(OR($E202="",$E202=0),"",SUMPRODUCT(--($C$3:$C$78=$B202),D$3:D$78))</f>
        <v>0</v>
      </c>
      <c r="E202" s="419">
        <f>IF($B202="","",SUMPRODUCT(--(C$3:C$78=$B202)))</f>
        <v>1</v>
      </c>
      <c r="F202" s="419">
        <f>IF(OR($E202="",$E202=0),"",SUMIF($C$3:$C$62,$B202,F$3:F$62))</f>
        <v>0</v>
      </c>
      <c r="G202" s="930">
        <f t="shared" ref="G202:M202" si="846">IF(OR($E202="",$E202=0),"",SUMPRODUCT(--($C$3:$C$78=$B202),G$3:G$78))</f>
        <v>0</v>
      </c>
      <c r="H202" s="930">
        <f t="shared" si="846"/>
        <v>0</v>
      </c>
      <c r="I202" s="928">
        <f t="shared" si="846"/>
        <v>0</v>
      </c>
      <c r="J202" s="930">
        <f t="shared" si="846"/>
        <v>0</v>
      </c>
      <c r="K202" s="930">
        <f t="shared" si="846"/>
        <v>0</v>
      </c>
      <c r="L202" s="930">
        <f t="shared" si="846"/>
        <v>0</v>
      </c>
      <c r="M202" s="419">
        <f t="shared" si="846"/>
        <v>1</v>
      </c>
      <c r="N202" s="419"/>
      <c r="O202" s="419"/>
      <c r="P202" s="419"/>
      <c r="Q202" s="669">
        <f>Q199+1</f>
        <v>11</v>
      </c>
      <c r="R202" s="942" t="str">
        <f>IF(IGRF!I24="","",IGRF!I24)</f>
        <v>42</v>
      </c>
      <c r="S202" s="419" t="s">
        <v>441</v>
      </c>
      <c r="T202" s="419">
        <f>IF(OR($U202="",$U202=0),"",SUMPRODUCT(--($S$3:$S$78=$R202),T$3:T$78))</f>
        <v>6</v>
      </c>
      <c r="U202" s="419">
        <f>IF($R202="","",SUMPRODUCT(--(S$3:S$78=$R202)))</f>
        <v>1</v>
      </c>
      <c r="V202" s="419">
        <f t="shared" ref="V202:AC202" si="847">IF(OR($U202="",$U202=0),"",SUMPRODUCT(--($S$3:$S$78=$R202),V$3:V$78))</f>
        <v>0</v>
      </c>
      <c r="W202" s="930">
        <f t="shared" si="847"/>
        <v>0</v>
      </c>
      <c r="X202" s="930">
        <f t="shared" si="847"/>
        <v>0</v>
      </c>
      <c r="Y202" s="928">
        <f t="shared" si="847"/>
        <v>0</v>
      </c>
      <c r="Z202" s="930">
        <f t="shared" si="847"/>
        <v>0</v>
      </c>
      <c r="AA202" s="930">
        <f t="shared" si="847"/>
        <v>0</v>
      </c>
      <c r="AB202" s="930">
        <f t="shared" si="847"/>
        <v>0</v>
      </c>
      <c r="AC202" s="419">
        <f t="shared" si="847"/>
        <v>2</v>
      </c>
      <c r="AD202" s="419"/>
      <c r="AE202" s="419"/>
    </row>
    <row r="203" ht="12.75" customHeight="1">
      <c r="A203" s="669"/>
      <c r="B203" s="942"/>
      <c r="C203" s="419" t="s">
        <v>442</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69"/>
      <c r="R203" s="669"/>
      <c r="S203" s="419" t="s">
        <v>442</v>
      </c>
      <c r="T203" s="419" t="str">
        <f>IF(OR($U203="",$U203=0),"",SUMPRODUCT(--($S$88:$S$163=$R202),T$88:T$163))</f>
        <v/>
      </c>
      <c r="U203" s="419">
        <f>IF($R202="","",SUMPRODUCT(--(S$88:S$163=$R202)))</f>
        <v>0</v>
      </c>
      <c r="V203" s="419"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19" t="str">
        <f t="shared" si="849"/>
        <v/>
      </c>
      <c r="AD203" s="419"/>
      <c r="AE203" s="419"/>
    </row>
    <row r="204" ht="12.75" customHeight="1">
      <c r="A204" s="669"/>
      <c r="B204" s="942"/>
      <c r="C204" s="943" t="s">
        <v>398</v>
      </c>
      <c r="D204" s="943">
        <f t="shared" ref="D204:F204" si="850">IF($B202="","",SUM(D202:D203))</f>
        <v>0</v>
      </c>
      <c r="E204" s="943">
        <f t="shared" si="850"/>
        <v>1</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1</v>
      </c>
      <c r="N204" s="419"/>
      <c r="O204" s="419"/>
      <c r="P204" s="419"/>
      <c r="Q204" s="669"/>
      <c r="R204" s="669"/>
      <c r="S204" s="943" t="s">
        <v>398</v>
      </c>
      <c r="T204" s="943">
        <f>IF($R202="","",SUM(T202:T203))</f>
        <v>6</v>
      </c>
      <c r="U204" s="943">
        <f t="shared" ref="U204:AC204" si="852">IF($R202="","",SUM(U202,U203))</f>
        <v>1</v>
      </c>
      <c r="V204" s="943">
        <f t="shared" si="852"/>
        <v>0</v>
      </c>
      <c r="W204" s="932">
        <f t="shared" si="852"/>
        <v>0</v>
      </c>
      <c r="X204" s="932">
        <f t="shared" si="852"/>
        <v>0</v>
      </c>
      <c r="Y204" s="944">
        <f t="shared" si="852"/>
        <v>0</v>
      </c>
      <c r="Z204" s="932">
        <f t="shared" si="852"/>
        <v>0</v>
      </c>
      <c r="AA204" s="932">
        <f t="shared" si="852"/>
        <v>0</v>
      </c>
      <c r="AB204" s="932">
        <f t="shared" si="852"/>
        <v>0</v>
      </c>
      <c r="AC204" s="943">
        <f t="shared" si="852"/>
        <v>2</v>
      </c>
      <c r="AD204" s="419"/>
      <c r="AE204" s="419"/>
    </row>
    <row r="205" ht="12.75" customHeight="1">
      <c r="A205" s="669">
        <f>A202+1</f>
        <v>12</v>
      </c>
      <c r="B205" s="942" t="str">
        <f>IF(IGRF!B25="","",IGRF!B25)</f>
        <v>44</v>
      </c>
      <c r="C205" s="419" t="s">
        <v>441</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69">
        <f>Q202+1</f>
        <v>12</v>
      </c>
      <c r="R205" s="942" t="str">
        <f>IF(IGRF!I25="","",IGRF!I25)</f>
        <v>48</v>
      </c>
      <c r="S205" s="419" t="s">
        <v>441</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69"/>
      <c r="B206" s="942"/>
      <c r="C206" s="419" t="s">
        <v>442</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69"/>
      <c r="R206" s="669"/>
      <c r="S206" s="419" t="s">
        <v>442</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2.75" customHeight="1">
      <c r="A207" s="669"/>
      <c r="B207" s="942"/>
      <c r="C207" s="943" t="s">
        <v>398</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69"/>
      <c r="R207" s="669"/>
      <c r="S207" s="943" t="s">
        <v>398</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2.75" customHeight="1">
      <c r="A208" s="669">
        <f>A205+1</f>
        <v>13</v>
      </c>
      <c r="B208" s="942" t="str">
        <f>IF(IGRF!B26="","",IGRF!B26)</f>
        <v>45</v>
      </c>
      <c r="C208" s="419" t="s">
        <v>441</v>
      </c>
      <c r="D208" s="419">
        <f>IF(OR($E208="",$E208=0),"",SUMPRODUCT(--($C$3:$C$78=$B208),D$3:D$78))</f>
        <v>8</v>
      </c>
      <c r="E208" s="419">
        <f>IF($B208="","",SUMPRODUCT(--(C$3:C$78=$B208)))</f>
        <v>4</v>
      </c>
      <c r="F208" s="419">
        <f>IF(OR($E208="",$E208=0),"",SUMIF($C$3:$C$62,$B208,F$3:F$62))</f>
        <v>-23</v>
      </c>
      <c r="G208" s="930">
        <f t="shared" ref="G208:M208" si="860">IF(OR($E208="",$E208=0),"",SUMPRODUCT(--($C$3:$C$78=$B208),G$3:G$78))</f>
        <v>0</v>
      </c>
      <c r="H208" s="930">
        <f t="shared" si="860"/>
        <v>1</v>
      </c>
      <c r="I208" s="928">
        <f t="shared" si="860"/>
        <v>0</v>
      </c>
      <c r="J208" s="930">
        <f t="shared" si="860"/>
        <v>1</v>
      </c>
      <c r="K208" s="930">
        <f t="shared" si="860"/>
        <v>0</v>
      </c>
      <c r="L208" s="930">
        <f t="shared" si="860"/>
        <v>2</v>
      </c>
      <c r="M208" s="419">
        <f t="shared" si="860"/>
        <v>3</v>
      </c>
      <c r="N208" s="419"/>
      <c r="O208" s="419"/>
      <c r="P208" s="419"/>
      <c r="Q208" s="669">
        <f>Q205+1</f>
        <v>13</v>
      </c>
      <c r="R208" s="942" t="str">
        <f>IF(IGRF!I26="","",IGRF!I26)</f>
        <v>167</v>
      </c>
      <c r="S208" s="419" t="s">
        <v>441</v>
      </c>
      <c r="T208" s="419" t="str">
        <f>IF(OR($U208="",$U208=0),"",SUMPRODUCT(--($S$3:$S$78=$R208),T$3:T$78))</f>
        <v/>
      </c>
      <c r="U208" s="419">
        <f>IF($R208="","",SUMPRODUCT(--(S$3:S$78=$R208)))</f>
        <v>0</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2.75" customHeight="1">
      <c r="A209" s="669"/>
      <c r="B209" s="942"/>
      <c r="C209" s="419" t="s">
        <v>442</v>
      </c>
      <c r="D209" s="419">
        <f>IF(OR($E209="",$E209=0),"",SUMPRODUCT(--($C$88:$C$163=$B208),D$88:D$163))</f>
        <v>12</v>
      </c>
      <c r="E209" s="419">
        <f>IF($B208="","",SUMPRODUCT(--(C$88:C$163=$B208)))</f>
        <v>6</v>
      </c>
      <c r="F209" s="419">
        <f>IF(OR($E209="",$E209=0),"",SUMIF($C$88:$C$147,$B208,F$88:F$147))</f>
        <v>-44</v>
      </c>
      <c r="G209" s="930">
        <f t="shared" ref="G209:M209" si="862">IF(OR($E209="",$E209=0),"",SUMPRODUCT(--($C$88:$C$163=$B208),G$88:G$163))</f>
        <v>0</v>
      </c>
      <c r="H209" s="930">
        <f t="shared" si="862"/>
        <v>1</v>
      </c>
      <c r="I209" s="928">
        <f t="shared" si="862"/>
        <v>0</v>
      </c>
      <c r="J209" s="930">
        <f t="shared" si="862"/>
        <v>1</v>
      </c>
      <c r="K209" s="930">
        <f t="shared" si="862"/>
        <v>0</v>
      </c>
      <c r="L209" s="930">
        <f t="shared" si="862"/>
        <v>3</v>
      </c>
      <c r="M209" s="419">
        <f t="shared" si="862"/>
        <v>4</v>
      </c>
      <c r="N209" s="419"/>
      <c r="O209" s="419"/>
      <c r="P209" s="419"/>
      <c r="Q209" s="669"/>
      <c r="R209" s="669"/>
      <c r="S209" s="419" t="s">
        <v>442</v>
      </c>
      <c r="T209" s="419" t="str">
        <f>IF(OR($U209="",$U209=0),"",SUMPRODUCT(--($S$88:$S$163=$R208),T$88:T$163))</f>
        <v/>
      </c>
      <c r="U209" s="419">
        <f>IF($R208="","",SUMPRODUCT(--(S$88:S$163=$R208)))</f>
        <v>0</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2.75" customHeight="1">
      <c r="A210" s="669"/>
      <c r="B210" s="942"/>
      <c r="C210" s="943" t="s">
        <v>398</v>
      </c>
      <c r="D210" s="943">
        <f t="shared" ref="D210:F210" si="864">IF($B208="","",SUM(D208:D209))</f>
        <v>20</v>
      </c>
      <c r="E210" s="943">
        <f t="shared" si="864"/>
        <v>10</v>
      </c>
      <c r="F210" s="943">
        <f t="shared" si="864"/>
        <v>-67</v>
      </c>
      <c r="G210" s="932">
        <f t="shared" ref="G210:L210" si="865">IF($B208="","",SUM(G208,G209))</f>
        <v>0</v>
      </c>
      <c r="H210" s="932">
        <f t="shared" si="865"/>
        <v>2</v>
      </c>
      <c r="I210" s="944">
        <f t="shared" si="865"/>
        <v>0</v>
      </c>
      <c r="J210" s="932">
        <f t="shared" si="865"/>
        <v>2</v>
      </c>
      <c r="K210" s="932">
        <f t="shared" si="865"/>
        <v>0</v>
      </c>
      <c r="L210" s="932">
        <f t="shared" si="865"/>
        <v>5</v>
      </c>
      <c r="M210" s="943">
        <f>IF($B208="","",SUM(M208:M209))</f>
        <v>7</v>
      </c>
      <c r="N210" s="419"/>
      <c r="O210" s="419"/>
      <c r="P210" s="419"/>
      <c r="Q210" s="669"/>
      <c r="R210" s="669"/>
      <c r="S210" s="943" t="s">
        <v>398</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19"/>
      <c r="AE210" s="419"/>
    </row>
    <row r="211" ht="12.75" customHeight="1">
      <c r="A211" s="669">
        <f>A208+1</f>
        <v>14</v>
      </c>
      <c r="B211" s="942" t="str">
        <f>IF(IGRF!B27="","",IGRF!B27)</f>
        <v>48</v>
      </c>
      <c r="C211" s="419" t="s">
        <v>441</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69">
        <f>Q208+1</f>
        <v>14</v>
      </c>
      <c r="R211" s="942" t="str">
        <f>IF(IGRF!I27="","",IGRF!I27)</f>
        <v>602</v>
      </c>
      <c r="S211" s="419" t="s">
        <v>441</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69"/>
      <c r="B212" s="942"/>
      <c r="C212" s="419" t="s">
        <v>442</v>
      </c>
      <c r="D212" s="419" t="str">
        <f>IF(OR($E212="",$E212=0),"",SUMPRODUCT(--($C$88:$C$163=$B211),D$88:D$163))</f>
        <v/>
      </c>
      <c r="E212" s="419">
        <f>IF($B211="","",SUMPRODUCT(--(C$88:C$163=$B211)))</f>
        <v>0</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69"/>
      <c r="R212" s="669"/>
      <c r="S212" s="419" t="s">
        <v>442</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69"/>
      <c r="B213" s="942"/>
      <c r="C213" s="943" t="s">
        <v>398</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9"/>
      <c r="O213" s="419"/>
      <c r="P213" s="419"/>
      <c r="Q213" s="669"/>
      <c r="R213" s="669"/>
      <c r="S213" s="943" t="s">
        <v>398</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69">
        <f>A211+1</f>
        <v>15</v>
      </c>
      <c r="B214" s="942" t="str">
        <f>IF(IGRF!B28="","",IGRF!B28)</f>
        <v>565</v>
      </c>
      <c r="C214" s="419" t="s">
        <v>441</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69">
        <f>Q211+1</f>
        <v>15</v>
      </c>
      <c r="R214" s="942" t="str">
        <f>IF(IGRF!I28="","",IGRF!I28)</f>
        <v>777</v>
      </c>
      <c r="S214" s="419" t="s">
        <v>441</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69"/>
      <c r="B215" s="942"/>
      <c r="C215" s="419" t="s">
        <v>442</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69"/>
      <c r="R215" s="669"/>
      <c r="S215" s="419" t="s">
        <v>442</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69"/>
      <c r="B216" s="942"/>
      <c r="C216" s="943" t="s">
        <v>398</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69"/>
      <c r="R216" s="669"/>
      <c r="S216" s="943" t="s">
        <v>398</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2.75" customHeight="1">
      <c r="A217" s="669">
        <f>A214+1</f>
        <v>16</v>
      </c>
      <c r="B217" s="942" t="str">
        <f>IF(IGRF!B29="","",IGRF!B29)</f>
        <v>50</v>
      </c>
      <c r="C217" s="419" t="s">
        <v>441</v>
      </c>
      <c r="D217" s="419" t="str">
        <f>IF(OR($E217="",$E217=0),"",SUMPRODUCT(--($C$3:$C$78=$B217),D$3:D$78))</f>
        <v/>
      </c>
      <c r="E217" s="419">
        <f>IF($B217="","",SUMPRODUCT(--(C$3:C$78=$B217)))</f>
        <v>0</v>
      </c>
      <c r="F217" s="419"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9" t="str">
        <f t="shared" si="881"/>
        <v/>
      </c>
      <c r="N217" s="419"/>
      <c r="O217" s="419"/>
      <c r="P217" s="419"/>
      <c r="Q217" s="669">
        <f>Q214+1</f>
        <v>16</v>
      </c>
      <c r="R217" s="942" t="str">
        <f>IF(IGRF!I29="","",IGRF!I29)</f>
        <v>88</v>
      </c>
      <c r="S217" s="419" t="s">
        <v>441</v>
      </c>
      <c r="T217" s="419">
        <f>IF(OR($U217="",$U217=0),"",SUMPRODUCT(--($S$3:$S$78=$R217),T$3:T$78))</f>
        <v>7</v>
      </c>
      <c r="U217" s="419">
        <f>IF($R217="","",SUMPRODUCT(--(S$3:S$78=$R217)))</f>
        <v>1</v>
      </c>
      <c r="V217" s="419">
        <f t="shared" ref="V217:AC217" si="882">IF(OR($U217="",$U217=0),"",SUMPRODUCT(--($S$3:$S$78=$R217),V$3:V$78))</f>
        <v>0</v>
      </c>
      <c r="W217" s="930">
        <f t="shared" si="882"/>
        <v>0</v>
      </c>
      <c r="X217" s="930">
        <f t="shared" si="882"/>
        <v>0</v>
      </c>
      <c r="Y217" s="928">
        <f t="shared" si="882"/>
        <v>0</v>
      </c>
      <c r="Z217" s="930">
        <f t="shared" si="882"/>
        <v>0</v>
      </c>
      <c r="AA217" s="930">
        <f t="shared" si="882"/>
        <v>1</v>
      </c>
      <c r="AB217" s="930">
        <f t="shared" si="882"/>
        <v>0</v>
      </c>
      <c r="AC217" s="419">
        <f t="shared" si="882"/>
        <v>2</v>
      </c>
      <c r="AD217" s="419"/>
      <c r="AE217" s="419"/>
    </row>
    <row r="218" ht="12.75" customHeight="1">
      <c r="A218" s="669"/>
      <c r="B218" s="942"/>
      <c r="C218" s="419" t="s">
        <v>442</v>
      </c>
      <c r="D218" s="419" t="str">
        <f>IF(OR($E218="",$E218=0),"",SUMPRODUCT(--($C$88:$C$163=$B217),D$88:D$163))</f>
        <v/>
      </c>
      <c r="E218" s="419">
        <f>IF($B217="","",SUMPRODUCT(--(C$88:C$163=$B217)))</f>
        <v>0</v>
      </c>
      <c r="F218" s="419"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19" t="str">
        <f t="shared" si="883"/>
        <v/>
      </c>
      <c r="N218" s="419"/>
      <c r="O218" s="419"/>
      <c r="P218" s="419"/>
      <c r="Q218" s="669"/>
      <c r="R218" s="669"/>
      <c r="S218" s="419" t="s">
        <v>442</v>
      </c>
      <c r="T218" s="419">
        <f>IF(OR($U218="",$U218=0),"",SUMPRODUCT(--($S$88:$S$163=$R217),T$88:T$163))</f>
        <v>4</v>
      </c>
      <c r="U218" s="419">
        <f>IF($R217="","",SUMPRODUCT(--(S$88:S$163=$R217)))</f>
        <v>2</v>
      </c>
      <c r="V218" s="419">
        <f t="shared" ref="V218:AC218" si="884">IF(OR($U218="",$U218=0),"",SUMPRODUCT(--($S$88:$S$163=$R217),V$88:V$163))</f>
        <v>0</v>
      </c>
      <c r="W218" s="930">
        <f t="shared" si="884"/>
        <v>0</v>
      </c>
      <c r="X218" s="930">
        <f t="shared" si="884"/>
        <v>0</v>
      </c>
      <c r="Y218" s="928">
        <f t="shared" si="884"/>
        <v>0</v>
      </c>
      <c r="Z218" s="930">
        <f t="shared" si="884"/>
        <v>0</v>
      </c>
      <c r="AA218" s="930">
        <f t="shared" si="884"/>
        <v>0</v>
      </c>
      <c r="AB218" s="930">
        <f t="shared" si="884"/>
        <v>0</v>
      </c>
      <c r="AC218" s="419">
        <f t="shared" si="884"/>
        <v>3</v>
      </c>
      <c r="AD218" s="419"/>
      <c r="AE218" s="419"/>
    </row>
    <row r="219" ht="12.75" customHeight="1">
      <c r="A219" s="669"/>
      <c r="B219" s="942"/>
      <c r="C219" s="943" t="s">
        <v>398</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19"/>
      <c r="O219" s="419"/>
      <c r="P219" s="419"/>
      <c r="Q219" s="669"/>
      <c r="R219" s="669"/>
      <c r="S219" s="943" t="s">
        <v>398</v>
      </c>
      <c r="T219" s="943">
        <f>IF($R217="","",SUM(T217:T218))</f>
        <v>11</v>
      </c>
      <c r="U219" s="943">
        <f t="shared" ref="U219:AC219" si="887">IF($R217="","",SUM(U217,U218))</f>
        <v>3</v>
      </c>
      <c r="V219" s="943">
        <f t="shared" si="887"/>
        <v>0</v>
      </c>
      <c r="W219" s="932">
        <f t="shared" si="887"/>
        <v>0</v>
      </c>
      <c r="X219" s="932">
        <f t="shared" si="887"/>
        <v>0</v>
      </c>
      <c r="Y219" s="944">
        <f t="shared" si="887"/>
        <v>0</v>
      </c>
      <c r="Z219" s="932">
        <f t="shared" si="887"/>
        <v>0</v>
      </c>
      <c r="AA219" s="932">
        <f t="shared" si="887"/>
        <v>1</v>
      </c>
      <c r="AB219" s="932">
        <f t="shared" si="887"/>
        <v>0</v>
      </c>
      <c r="AC219" s="943">
        <f t="shared" si="887"/>
        <v>5</v>
      </c>
      <c r="AD219" s="419"/>
      <c r="AE219" s="419"/>
    </row>
    <row r="220" ht="12.75" customHeight="1">
      <c r="A220" s="669">
        <f>A217+1</f>
        <v>17</v>
      </c>
      <c r="B220" s="942" t="str">
        <f>IF(IGRF!B30="","",IGRF!B30)</f>
        <v>808</v>
      </c>
      <c r="C220" s="419" t="s">
        <v>441</v>
      </c>
      <c r="D220" s="419" t="str">
        <f>IF(OR($E220="",$E220=0),"",SUMPRODUCT(--($C$3:$C$78=$B220),D$3:D$78))</f>
        <v/>
      </c>
      <c r="E220" s="419">
        <f>IF($B220="","",SUMPRODUCT(--(C$3:C$78=$B220)))</f>
        <v>0</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69">
        <f>Q217+1</f>
        <v>17</v>
      </c>
      <c r="R220" s="669" t="str">
        <f>IF(IGRF!I30="","",IGRF!I30)</f>
        <v/>
      </c>
      <c r="S220" s="419" t="s">
        <v>441</v>
      </c>
      <c r="T220" s="419" t="str">
        <f>IF(OR($U220="",$U220=0),"",SUMPRODUCT(--($S$3:$S$78=$R220),T$3:T$78))</f>
        <v/>
      </c>
      <c r="U220" s="419" t="str">
        <f>IF($R220="","",SUMPRODUCT(--(S$3:S$78=$R220)))</f>
        <v/>
      </c>
      <c r="V220" s="419"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9" t="str">
        <f t="shared" si="889"/>
        <v/>
      </c>
      <c r="AD220" s="419"/>
      <c r="AE220" s="419"/>
    </row>
    <row r="221" ht="12.75" customHeight="1">
      <c r="A221" s="669"/>
      <c r="B221" s="942"/>
      <c r="C221" s="419" t="s">
        <v>442</v>
      </c>
      <c r="D221" s="419" t="str">
        <f>IF(OR($E221="",$E221=0),"",SUMPRODUCT(--($C$88:$C$163=$B220),D$88:D$163))</f>
        <v/>
      </c>
      <c r="E221" s="419">
        <f>IF($B220="","",SUMPRODUCT(--(C$88:C$163=$B220)))</f>
        <v>0</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69"/>
      <c r="R221" s="669"/>
      <c r="S221" s="419" t="s">
        <v>442</v>
      </c>
      <c r="T221" s="419" t="str">
        <f>IF(OR($U221="",$U221=0),"",SUMPRODUCT(--($S$88:$S$163=$R220),T$88:T$163))</f>
        <v/>
      </c>
      <c r="U221" s="419" t="str">
        <f>IF($R220="","",SUMPRODUCT(--(S$88:S$163=$R220)))</f>
        <v/>
      </c>
      <c r="V221" s="419"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9" t="str">
        <f t="shared" si="891"/>
        <v/>
      </c>
      <c r="AD221" s="419"/>
      <c r="AE221" s="419"/>
    </row>
    <row r="222" ht="12.75" customHeight="1">
      <c r="A222" s="669"/>
      <c r="B222" s="942"/>
      <c r="C222" s="943" t="s">
        <v>398</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19"/>
      <c r="O222" s="419"/>
      <c r="P222" s="419"/>
      <c r="Q222" s="669"/>
      <c r="R222" s="669"/>
      <c r="S222" s="943" t="s">
        <v>398</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19"/>
      <c r="AE222" s="419"/>
    </row>
    <row r="223" ht="12.75" customHeight="1">
      <c r="A223" s="669">
        <f>A220+1</f>
        <v>18</v>
      </c>
      <c r="B223" s="942" t="str">
        <f>IF(IGRF!B31="","",IGRF!B31)</f>
        <v>912</v>
      </c>
      <c r="C223" s="419" t="s">
        <v>441</v>
      </c>
      <c r="D223" s="419" t="str">
        <f>IF(OR($E223="",$E223=0),"",SUMPRODUCT(--($C$3:$C$78=$B223),D$3:D$78))</f>
        <v/>
      </c>
      <c r="E223" s="419">
        <f>IF($B223="","",SUMPRODUCT(--(C$3:C$78=$B223)))</f>
        <v>0</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69">
        <f>Q220+1</f>
        <v>18</v>
      </c>
      <c r="R223" s="669" t="str">
        <f>IF(IGRF!I31="","",IGRF!I31)</f>
        <v/>
      </c>
      <c r="S223" s="419" t="s">
        <v>441</v>
      </c>
      <c r="T223" s="419" t="str">
        <f>IF(OR($U223="",$U223=0),"",SUMPRODUCT(--($S$3:$S$78=$R223),T$3:T$78))</f>
        <v/>
      </c>
      <c r="U223" s="419" t="str">
        <f>IF($R223="","",SUMPRODUCT(--(S$3:S$78=$R223)))</f>
        <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69"/>
      <c r="B224" s="942"/>
      <c r="C224" s="419" t="s">
        <v>442</v>
      </c>
      <c r="D224" s="419">
        <f>IF(OR($E224="",$E224=0),"",SUMPRODUCT(--($C$88:$C$163=$B223),D$88:D$163))</f>
        <v>0</v>
      </c>
      <c r="E224" s="419">
        <f>IF($B223="","",SUMPRODUCT(--(C$88:C$163=$B223)))</f>
        <v>1</v>
      </c>
      <c r="F224" s="419">
        <f>IF(OR($E224="",$E224=0),"",SUMIF($C$88:$C$147,$B223,F$88:F$147))</f>
        <v>0</v>
      </c>
      <c r="G224" s="930">
        <f t="shared" ref="G224:M224" si="897">IF(OR($E224="",$E224=0),"",SUMPRODUCT(--($C$88:$C$163=$B223),G$88:G$163))</f>
        <v>0</v>
      </c>
      <c r="H224" s="930">
        <f t="shared" si="897"/>
        <v>0</v>
      </c>
      <c r="I224" s="928">
        <f t="shared" si="897"/>
        <v>0</v>
      </c>
      <c r="J224" s="930">
        <f t="shared" si="897"/>
        <v>0</v>
      </c>
      <c r="K224" s="930">
        <f t="shared" si="897"/>
        <v>0</v>
      </c>
      <c r="L224" s="930">
        <f t="shared" si="897"/>
        <v>0</v>
      </c>
      <c r="M224" s="419">
        <f t="shared" si="897"/>
        <v>1</v>
      </c>
      <c r="N224" s="419"/>
      <c r="O224" s="419"/>
      <c r="P224" s="419"/>
      <c r="Q224" s="669"/>
      <c r="R224" s="669"/>
      <c r="S224" s="419" t="s">
        <v>442</v>
      </c>
      <c r="T224" s="419" t="str">
        <f>IF(OR($U224="",$U224=0),"",SUMPRODUCT(--($S$88:$S$163=$R223),T$88:T$163))</f>
        <v/>
      </c>
      <c r="U224" s="419" t="str">
        <f>IF($R223="","",SUMPRODUCT(--(S$88:S$163=$R223)))</f>
        <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69"/>
      <c r="B225" s="942"/>
      <c r="C225" s="943" t="s">
        <v>398</v>
      </c>
      <c r="D225" s="943">
        <f t="shared" ref="D225:F225" si="899">IF($B223="","",SUM(D223:D224))</f>
        <v>0</v>
      </c>
      <c r="E225" s="943">
        <f t="shared" si="899"/>
        <v>1</v>
      </c>
      <c r="F225" s="943">
        <f t="shared" si="899"/>
        <v>0</v>
      </c>
      <c r="G225" s="932">
        <f t="shared" ref="G225:L225" si="900">IF($B223="","",SUM(G223,G224))</f>
        <v>0</v>
      </c>
      <c r="H225" s="932">
        <f t="shared" si="900"/>
        <v>0</v>
      </c>
      <c r="I225" s="944">
        <f t="shared" si="900"/>
        <v>0</v>
      </c>
      <c r="J225" s="932">
        <f t="shared" si="900"/>
        <v>0</v>
      </c>
      <c r="K225" s="932">
        <f t="shared" si="900"/>
        <v>0</v>
      </c>
      <c r="L225" s="932">
        <f t="shared" si="900"/>
        <v>0</v>
      </c>
      <c r="M225" s="943">
        <f>IF($B223="","",SUM(M223:M224))</f>
        <v>1</v>
      </c>
      <c r="N225" s="419"/>
      <c r="O225" s="419"/>
      <c r="P225" s="419"/>
      <c r="Q225" s="669"/>
      <c r="R225" s="669"/>
      <c r="S225" s="943" t="s">
        <v>398</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19"/>
      <c r="AE225" s="419"/>
    </row>
    <row r="226" ht="12.75" customHeight="1">
      <c r="A226" s="669">
        <f>A223+1</f>
        <v>19</v>
      </c>
      <c r="B226" s="942" t="str">
        <f>IF(IGRF!B32="","",IGRF!B32)</f>
        <v>93</v>
      </c>
      <c r="C226" s="419" t="s">
        <v>441</v>
      </c>
      <c r="D226" s="419">
        <f>IF(OR($E226="",$E226=0),"",SUMPRODUCT(--($C$3:$C$78=$B226),D$3:D$78))</f>
        <v>12</v>
      </c>
      <c r="E226" s="419">
        <f>IF($B226="","",SUMPRODUCT(--(C$3:C$78=$B226)))</f>
        <v>4</v>
      </c>
      <c r="F226" s="419">
        <f>IF(OR($E226="",$E226=0),"",SUMIF($C$3:$C$62,$B226,F$3:F$62))</f>
        <v>-28</v>
      </c>
      <c r="G226" s="930">
        <f t="shared" ref="G226:M226" si="902">IF(OR($E226="",$E226=0),"",SUMPRODUCT(--($C$3:$C$78=$B226),G$3:G$78))</f>
        <v>0</v>
      </c>
      <c r="H226" s="930">
        <f t="shared" si="902"/>
        <v>1</v>
      </c>
      <c r="I226" s="928">
        <f t="shared" si="902"/>
        <v>-2</v>
      </c>
      <c r="J226" s="930">
        <f t="shared" si="902"/>
        <v>0</v>
      </c>
      <c r="K226" s="930">
        <f t="shared" si="902"/>
        <v>0</v>
      </c>
      <c r="L226" s="930">
        <f t="shared" si="902"/>
        <v>1</v>
      </c>
      <c r="M226" s="419">
        <f t="shared" si="902"/>
        <v>4</v>
      </c>
      <c r="N226" s="419"/>
      <c r="O226" s="419"/>
      <c r="P226" s="419"/>
      <c r="Q226" s="669">
        <f>Q223+1</f>
        <v>19</v>
      </c>
      <c r="R226" s="669" t="str">
        <f>IF(IGRF!I32="","",IGRF!I32)</f>
        <v/>
      </c>
      <c r="S226" s="419" t="s">
        <v>441</v>
      </c>
      <c r="T226" s="419" t="str">
        <f>IF(OR($U226="",$U226=0),"",SUMPRODUCT(--($S$3:$S$78=$R226),T$3:T$78))</f>
        <v/>
      </c>
      <c r="U226" s="419" t="str">
        <f>IF($R226="","",SUMPRODUCT(--(S$3:S$78=$R226)))</f>
        <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69"/>
      <c r="B227" s="942"/>
      <c r="C227" s="419" t="s">
        <v>442</v>
      </c>
      <c r="D227" s="419">
        <f>IF(OR($E227="",$E227=0),"",SUMPRODUCT(--($C$88:$C$163=$B226),D$88:D$163))</f>
        <v>9</v>
      </c>
      <c r="E227" s="419">
        <f>IF($B226="","",SUMPRODUCT(--(C$88:C$163=$B226)))</f>
        <v>6</v>
      </c>
      <c r="F227" s="419">
        <f>IF(OR($E227="",$E227=0),"",SUMIF($C$88:$C$147,$B226,F$88:F$147))</f>
        <v>-43</v>
      </c>
      <c r="G227" s="930">
        <f t="shared" ref="G227:M227" si="904">IF(OR($E227="",$E227=0),"",SUMPRODUCT(--($C$88:$C$163=$B226),G$88:G$163))</f>
        <v>0</v>
      </c>
      <c r="H227" s="930">
        <f t="shared" si="904"/>
        <v>0</v>
      </c>
      <c r="I227" s="928">
        <f t="shared" si="904"/>
        <v>0</v>
      </c>
      <c r="J227" s="930">
        <f t="shared" si="904"/>
        <v>0</v>
      </c>
      <c r="K227" s="930">
        <f t="shared" si="904"/>
        <v>0</v>
      </c>
      <c r="L227" s="930">
        <f t="shared" si="904"/>
        <v>1</v>
      </c>
      <c r="M227" s="419">
        <f t="shared" si="904"/>
        <v>5</v>
      </c>
      <c r="N227" s="419"/>
      <c r="O227" s="419"/>
      <c r="P227" s="419"/>
      <c r="Q227" s="669"/>
      <c r="R227" s="669"/>
      <c r="S227" s="419" t="s">
        <v>442</v>
      </c>
      <c r="T227" s="419" t="str">
        <f>IF(OR($U227="",$U227=0),"",SUMPRODUCT(--($S$88:$S$163=$R226),T$88:T$163))</f>
        <v/>
      </c>
      <c r="U227" s="419" t="str">
        <f>IF($R226="","",SUMPRODUCT(--(S$88:S$163=$R226)))</f>
        <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69"/>
      <c r="B228" s="942"/>
      <c r="C228" s="943" t="s">
        <v>398</v>
      </c>
      <c r="D228" s="943">
        <f t="shared" ref="D228:F228" si="906">IF($B226="","",SUM(D226:D227))</f>
        <v>21</v>
      </c>
      <c r="E228" s="943">
        <f t="shared" si="906"/>
        <v>10</v>
      </c>
      <c r="F228" s="943">
        <f t="shared" si="906"/>
        <v>-71</v>
      </c>
      <c r="G228" s="932">
        <f t="shared" ref="G228:L228" si="907">IF($B226="","",SUM(G226,G227))</f>
        <v>0</v>
      </c>
      <c r="H228" s="932">
        <f t="shared" si="907"/>
        <v>1</v>
      </c>
      <c r="I228" s="944">
        <f t="shared" si="907"/>
        <v>-2</v>
      </c>
      <c r="J228" s="932">
        <f t="shared" si="907"/>
        <v>0</v>
      </c>
      <c r="K228" s="932">
        <f t="shared" si="907"/>
        <v>0</v>
      </c>
      <c r="L228" s="932">
        <f t="shared" si="907"/>
        <v>2</v>
      </c>
      <c r="M228" s="943">
        <f>IF($B226="","",SUM(M226:M227))</f>
        <v>9</v>
      </c>
      <c r="N228" s="419"/>
      <c r="O228" s="419"/>
      <c r="P228" s="419"/>
      <c r="Q228" s="669"/>
      <c r="R228" s="669"/>
      <c r="S228" s="943" t="s">
        <v>398</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9"/>
      <c r="AE228" s="419"/>
    </row>
    <row r="229" ht="12.75" customHeight="1">
      <c r="A229" s="669">
        <v>20.0</v>
      </c>
      <c r="B229" s="942" t="str">
        <f>IF(IGRF!B33="","",IGRF!B33)</f>
        <v>999</v>
      </c>
      <c r="C229" s="419" t="s">
        <v>441</v>
      </c>
      <c r="D229" s="419">
        <f>IF(OR($E229="",$E229=0),"",SUMPRODUCT(--($C$3:$C$78=$B229),D$3:D$78))</f>
        <v>4</v>
      </c>
      <c r="E229" s="419">
        <f>IF($B229="","",SUMPRODUCT(--(C$3:C$78=$B229)))</f>
        <v>3</v>
      </c>
      <c r="F229" s="419">
        <f>IF(OR($E229="",$E229=0),"",SUMIF($C$3:$C$62,$B229,F$3:F$62))</f>
        <v>0</v>
      </c>
      <c r="G229" s="930">
        <f t="shared" ref="G229:M229" si="909">IF(OR($E229="",$E229=0),"",SUMPRODUCT(--($C$3:$C$78=$B229),G$3:G$78))</f>
        <v>0</v>
      </c>
      <c r="H229" s="930">
        <f t="shared" si="909"/>
        <v>0</v>
      </c>
      <c r="I229" s="928">
        <f t="shared" si="909"/>
        <v>0</v>
      </c>
      <c r="J229" s="930">
        <f t="shared" si="909"/>
        <v>0</v>
      </c>
      <c r="K229" s="930">
        <f t="shared" si="909"/>
        <v>0</v>
      </c>
      <c r="L229" s="930">
        <f t="shared" si="909"/>
        <v>0</v>
      </c>
      <c r="M229" s="419">
        <f t="shared" si="909"/>
        <v>3</v>
      </c>
      <c r="N229" s="419"/>
      <c r="O229" s="419"/>
      <c r="P229" s="419"/>
      <c r="Q229" s="669">
        <v>20.0</v>
      </c>
      <c r="R229" s="669" t="str">
        <f>IF(IGRF!I33="","",IGRF!I33)</f>
        <v/>
      </c>
      <c r="S229" s="419" t="s">
        <v>441</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69"/>
      <c r="B230" s="942"/>
      <c r="C230" s="419" t="s">
        <v>442</v>
      </c>
      <c r="D230" s="419">
        <f>IF(OR($E230="",$E230=0),"",SUMPRODUCT(--($C$88:$C$163=$B229),D$88:D$163))</f>
        <v>4</v>
      </c>
      <c r="E230" s="419">
        <f>IF($B229="","",SUMPRODUCT(--(C$88:C$163=$B229)))</f>
        <v>1</v>
      </c>
      <c r="F230" s="419">
        <f>IF(OR($E230="",$E230=0),"",SUMIF($C$88:$C$147,$B229,F$88:F$147))</f>
        <v>0</v>
      </c>
      <c r="G230" s="930">
        <f t="shared" ref="G230:M230" si="911">IF(OR($E230="",$E230=0),"",SUMPRODUCT(--($C$88:$C$163=$B229),G$88:G$163))</f>
        <v>0</v>
      </c>
      <c r="H230" s="930">
        <f t="shared" si="911"/>
        <v>0</v>
      </c>
      <c r="I230" s="928">
        <f t="shared" si="911"/>
        <v>0</v>
      </c>
      <c r="J230" s="930">
        <f t="shared" si="911"/>
        <v>0</v>
      </c>
      <c r="K230" s="930">
        <f t="shared" si="911"/>
        <v>0</v>
      </c>
      <c r="L230" s="930">
        <f t="shared" si="911"/>
        <v>0</v>
      </c>
      <c r="M230" s="419">
        <f t="shared" si="911"/>
        <v>2</v>
      </c>
      <c r="N230" s="419"/>
      <c r="O230" s="419"/>
      <c r="P230" s="419"/>
      <c r="Q230" s="669"/>
      <c r="R230" s="669"/>
      <c r="S230" s="419" t="s">
        <v>442</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69"/>
      <c r="B231" s="669"/>
      <c r="C231" s="943" t="s">
        <v>398</v>
      </c>
      <c r="D231" s="943">
        <f t="shared" ref="D231:F231" si="913">IF($B229="","",SUM(D229:D230))</f>
        <v>8</v>
      </c>
      <c r="E231" s="943">
        <f t="shared" si="913"/>
        <v>4</v>
      </c>
      <c r="F231" s="943">
        <f t="shared" si="913"/>
        <v>0</v>
      </c>
      <c r="G231" s="932">
        <f t="shared" ref="G231:L231" si="914">IF($B229="","",SUM(G229,G230))</f>
        <v>0</v>
      </c>
      <c r="H231" s="932">
        <f t="shared" si="914"/>
        <v>0</v>
      </c>
      <c r="I231" s="944">
        <f t="shared" si="914"/>
        <v>0</v>
      </c>
      <c r="J231" s="932">
        <f t="shared" si="914"/>
        <v>0</v>
      </c>
      <c r="K231" s="932">
        <f t="shared" si="914"/>
        <v>0</v>
      </c>
      <c r="L231" s="932">
        <f t="shared" si="914"/>
        <v>0</v>
      </c>
      <c r="M231" s="943">
        <f>IF($B229="","",SUM(M229:M230))</f>
        <v>5</v>
      </c>
      <c r="N231" s="419"/>
      <c r="O231" s="419"/>
      <c r="P231" s="419"/>
      <c r="Q231" s="669"/>
      <c r="R231" s="669"/>
      <c r="S231" s="943" t="s">
        <v>398</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460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461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462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463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464</v>
      </c>
      <c r="B9" s="952"/>
      <c r="C9" s="952"/>
      <c r="D9" s="952"/>
      <c r="E9" s="952"/>
      <c r="F9" s="952"/>
      <c r="G9" s="953" t="s">
        <v>465</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466</v>
      </c>
      <c r="B11" s="946"/>
      <c r="C11" s="946"/>
      <c r="D11" s="946"/>
      <c r="E11" s="946"/>
      <c r="F11" s="946"/>
      <c r="G11" s="946" t="s">
        <v>467</v>
      </c>
      <c r="H11" s="951"/>
      <c r="I11" s="951"/>
      <c r="J11" s="951"/>
      <c r="K11" s="951"/>
      <c r="L11" s="43"/>
      <c r="M11" s="43"/>
      <c r="N11" s="43"/>
      <c r="O11" s="43"/>
      <c r="P11" s="43"/>
      <c r="Q11" s="43"/>
      <c r="R11" s="43"/>
      <c r="S11" s="43"/>
      <c r="T11" s="43"/>
      <c r="U11" s="43"/>
      <c r="V11" s="43"/>
      <c r="W11" s="43"/>
      <c r="X11" s="43"/>
      <c r="Y11" s="43"/>
      <c r="Z11" s="43"/>
    </row>
    <row r="12" ht="15.0" customHeight="1">
      <c r="A12" s="946" t="s">
        <v>468</v>
      </c>
      <c r="B12" s="946"/>
      <c r="C12" s="946"/>
      <c r="D12" s="946"/>
      <c r="E12" s="946"/>
      <c r="F12" s="946"/>
      <c r="G12" s="951" t="s">
        <v>469</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470</v>
      </c>
      <c r="B14" s="946"/>
      <c r="C14" s="946"/>
      <c r="D14" s="946"/>
      <c r="E14" s="946"/>
      <c r="F14" s="946"/>
      <c r="G14" s="951" t="s">
        <v>471</v>
      </c>
      <c r="H14" s="951"/>
      <c r="I14" s="951"/>
      <c r="J14" s="951"/>
      <c r="K14" s="951"/>
      <c r="L14" s="43"/>
      <c r="M14" s="43"/>
      <c r="N14" s="43"/>
      <c r="O14" s="43"/>
      <c r="P14" s="43"/>
      <c r="Q14" s="43"/>
      <c r="R14" s="43"/>
      <c r="S14" s="43"/>
      <c r="T14" s="43"/>
      <c r="U14" s="43"/>
      <c r="V14" s="43"/>
      <c r="W14" s="43"/>
      <c r="X14" s="43"/>
      <c r="Y14" s="43"/>
      <c r="Z14" s="43"/>
    </row>
    <row r="15" ht="15.0" customHeight="1">
      <c r="A15" s="946" t="s">
        <v>472</v>
      </c>
      <c r="B15" s="946"/>
      <c r="C15" s="946"/>
      <c r="D15" s="946"/>
      <c r="E15" s="946"/>
      <c r="F15" s="946"/>
      <c r="G15" s="951" t="s">
        <v>473</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474</v>
      </c>
      <c r="B17" s="946"/>
      <c r="C17" s="946"/>
      <c r="D17" s="946"/>
      <c r="E17" s="946"/>
      <c r="F17" s="946"/>
      <c r="G17" s="951" t="s">
        <v>475</v>
      </c>
      <c r="H17" s="951"/>
      <c r="I17" s="951"/>
      <c r="J17" s="951"/>
      <c r="K17" s="951"/>
      <c r="L17" s="43"/>
      <c r="M17" s="43"/>
      <c r="N17" s="43"/>
      <c r="O17" s="43"/>
      <c r="P17" s="43"/>
      <c r="Q17" s="43"/>
      <c r="R17" s="43"/>
      <c r="S17" s="43"/>
      <c r="T17" s="43"/>
      <c r="U17" s="43"/>
      <c r="V17" s="43"/>
      <c r="W17" s="43"/>
      <c r="X17" s="43"/>
      <c r="Y17" s="43"/>
      <c r="Z17" s="43"/>
    </row>
    <row r="18" ht="15.0" customHeight="1">
      <c r="A18" s="946" t="s">
        <v>476</v>
      </c>
      <c r="B18" s="946"/>
      <c r="C18" s="946"/>
      <c r="D18" s="946"/>
      <c r="E18" s="946"/>
      <c r="F18" s="946"/>
      <c r="G18" s="946" t="s">
        <v>477</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478</v>
      </c>
      <c r="B20" s="946"/>
      <c r="C20" s="946"/>
      <c r="D20" s="946"/>
      <c r="E20" s="946"/>
      <c r="F20" s="946"/>
      <c r="G20" s="951" t="s">
        <v>479</v>
      </c>
      <c r="H20" s="951"/>
      <c r="I20" s="951"/>
      <c r="J20" s="951"/>
      <c r="K20" s="951"/>
      <c r="L20" s="43"/>
      <c r="M20" s="43"/>
      <c r="N20" s="43"/>
      <c r="O20" s="43"/>
      <c r="P20" s="43"/>
      <c r="Q20" s="43"/>
      <c r="R20" s="43"/>
      <c r="S20" s="43"/>
      <c r="T20" s="43"/>
      <c r="U20" s="43"/>
      <c r="V20" s="43"/>
      <c r="W20" s="43"/>
      <c r="X20" s="43"/>
      <c r="Y20" s="43"/>
      <c r="Z20" s="43"/>
    </row>
    <row r="21" ht="15.0" customHeight="1">
      <c r="A21" s="946" t="s">
        <v>480</v>
      </c>
      <c r="B21" s="946"/>
      <c r="C21" s="946"/>
      <c r="D21" s="946"/>
      <c r="E21" s="946"/>
      <c r="F21" s="946"/>
      <c r="G21" s="951" t="s">
        <v>481</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474</v>
      </c>
      <c r="B23" s="946"/>
      <c r="C23" s="946"/>
      <c r="D23" s="946"/>
      <c r="E23" s="946"/>
      <c r="F23" s="946"/>
      <c r="G23" s="946" t="s">
        <v>482</v>
      </c>
      <c r="H23" s="946"/>
      <c r="I23" s="946"/>
      <c r="J23" s="946"/>
      <c r="K23" s="946"/>
      <c r="L23" s="43"/>
      <c r="M23" s="43"/>
      <c r="N23" s="43"/>
      <c r="O23" s="43"/>
      <c r="P23" s="43"/>
      <c r="Q23" s="43"/>
      <c r="R23" s="43"/>
      <c r="S23" s="43"/>
      <c r="T23" s="43"/>
      <c r="U23" s="43"/>
      <c r="V23" s="43"/>
      <c r="W23" s="43"/>
      <c r="X23" s="43"/>
      <c r="Y23" s="43"/>
      <c r="Z23" s="43"/>
    </row>
    <row r="24" ht="15.0" customHeight="1">
      <c r="A24" s="946" t="s">
        <v>476</v>
      </c>
      <c r="B24" s="946"/>
      <c r="C24" s="946"/>
      <c r="D24" s="946"/>
      <c r="E24" s="946"/>
      <c r="F24" s="946"/>
      <c r="G24" s="946" t="s">
        <v>483</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484</v>
      </c>
      <c r="B26" s="946"/>
      <c r="C26" s="946"/>
      <c r="D26" s="946"/>
      <c r="E26" s="946"/>
      <c r="F26" s="946"/>
      <c r="G26" s="946" t="s">
        <v>485</v>
      </c>
      <c r="H26" s="946"/>
      <c r="I26" s="946"/>
      <c r="J26" s="946"/>
      <c r="K26" s="946"/>
      <c r="L26" s="43"/>
      <c r="M26" s="43"/>
      <c r="N26" s="43"/>
      <c r="O26" s="43"/>
      <c r="P26" s="43"/>
      <c r="Q26" s="43"/>
      <c r="R26" s="43"/>
      <c r="S26" s="43"/>
      <c r="T26" s="43"/>
      <c r="U26" s="43"/>
      <c r="V26" s="43"/>
      <c r="W26" s="43"/>
      <c r="X26" s="43"/>
      <c r="Y26" s="43"/>
      <c r="Z26" s="43"/>
    </row>
    <row r="27" ht="15.0" customHeight="1">
      <c r="A27" s="946" t="s">
        <v>486</v>
      </c>
      <c r="B27" s="946"/>
      <c r="C27" s="946"/>
      <c r="D27" s="946"/>
      <c r="E27" s="946"/>
      <c r="F27" s="946"/>
      <c r="G27" s="946" t="s">
        <v>487</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488</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489</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490</v>
      </c>
      <c r="H32" s="946"/>
      <c r="I32" s="946"/>
      <c r="J32" s="946"/>
      <c r="K32" s="946"/>
      <c r="L32" s="43"/>
      <c r="M32" s="43"/>
      <c r="N32" s="43"/>
      <c r="O32" s="43"/>
      <c r="P32" s="43"/>
      <c r="Q32" s="43"/>
      <c r="R32" s="43"/>
      <c r="S32" s="43"/>
      <c r="T32" s="43"/>
      <c r="U32" s="43"/>
      <c r="V32" s="43"/>
      <c r="W32" s="43"/>
      <c r="X32" s="43"/>
      <c r="Y32" s="43"/>
      <c r="Z32" s="43"/>
    </row>
    <row r="33" ht="15.0" customHeight="1">
      <c r="A33" s="952" t="s">
        <v>491</v>
      </c>
      <c r="B33" s="946"/>
      <c r="C33" s="946"/>
      <c r="D33" s="946"/>
      <c r="E33" s="946"/>
      <c r="F33" s="946"/>
      <c r="G33" s="946" t="s">
        <v>492</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493</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494</v>
      </c>
      <c r="B36" s="946"/>
      <c r="C36" s="946"/>
      <c r="D36" s="946"/>
      <c r="E36" s="946"/>
      <c r="F36" s="946"/>
      <c r="G36" s="952" t="s">
        <v>495</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496</v>
      </c>
      <c r="B38" s="946"/>
      <c r="C38" s="946"/>
      <c r="D38" s="946"/>
      <c r="E38" s="946"/>
      <c r="F38" s="946"/>
      <c r="G38" s="951" t="s">
        <v>497</v>
      </c>
      <c r="H38" s="946"/>
      <c r="I38" s="946"/>
      <c r="J38" s="946"/>
      <c r="K38" s="946"/>
      <c r="L38" s="43"/>
      <c r="M38" s="43"/>
      <c r="N38" s="43"/>
      <c r="O38" s="43"/>
      <c r="P38" s="43"/>
      <c r="Q38" s="43"/>
      <c r="R38" s="43"/>
      <c r="S38" s="43"/>
      <c r="T38" s="43"/>
      <c r="U38" s="43"/>
      <c r="V38" s="43"/>
      <c r="W38" s="43"/>
      <c r="X38" s="43"/>
      <c r="Y38" s="43"/>
      <c r="Z38" s="43"/>
    </row>
    <row r="39" ht="15.0" customHeight="1">
      <c r="A39" s="946" t="s">
        <v>498</v>
      </c>
      <c r="B39" s="946"/>
      <c r="C39" s="946"/>
      <c r="D39" s="946"/>
      <c r="E39" s="946"/>
      <c r="F39" s="946"/>
      <c r="G39" s="946" t="s">
        <v>499</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500</v>
      </c>
      <c r="B41" s="946"/>
      <c r="C41" s="946"/>
      <c r="D41" s="946"/>
      <c r="E41" s="946"/>
      <c r="F41" s="946"/>
      <c r="G41" s="946" t="s">
        <v>501</v>
      </c>
      <c r="H41" s="946"/>
      <c r="I41" s="946"/>
      <c r="J41" s="946"/>
      <c r="K41" s="946"/>
      <c r="L41" s="43"/>
      <c r="M41" s="43"/>
      <c r="N41" s="43"/>
      <c r="O41" s="43"/>
      <c r="P41" s="43"/>
      <c r="Q41" s="43"/>
      <c r="R41" s="43"/>
      <c r="S41" s="43"/>
      <c r="T41" s="43"/>
      <c r="U41" s="43"/>
      <c r="V41" s="43"/>
      <c r="W41" s="43"/>
      <c r="X41" s="43"/>
      <c r="Y41" s="43"/>
      <c r="Z41" s="43"/>
    </row>
    <row r="42" ht="15.0" customHeight="1">
      <c r="A42" s="946" t="s">
        <v>502</v>
      </c>
      <c r="B42" s="946"/>
      <c r="C42" s="946"/>
      <c r="D42" s="946"/>
      <c r="E42" s="946"/>
      <c r="F42" s="946"/>
      <c r="G42" s="946" t="s">
        <v>503</v>
      </c>
      <c r="H42" s="946"/>
      <c r="I42" s="946"/>
      <c r="J42" s="946"/>
      <c r="K42" s="946"/>
      <c r="L42" s="43"/>
      <c r="M42" s="43"/>
      <c r="N42" s="43"/>
      <c r="O42" s="43"/>
      <c r="P42" s="43"/>
      <c r="Q42" s="43"/>
      <c r="R42" s="43"/>
      <c r="S42" s="43"/>
      <c r="T42" s="43"/>
      <c r="U42" s="43"/>
      <c r="V42" s="43"/>
      <c r="W42" s="43"/>
      <c r="X42" s="43"/>
      <c r="Y42" s="43"/>
      <c r="Z42" s="43"/>
    </row>
    <row r="43" ht="15.0" customHeight="1">
      <c r="A43" s="946" t="s">
        <v>504</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505</v>
      </c>
      <c r="B44" s="946"/>
      <c r="C44" s="946"/>
      <c r="D44" s="946"/>
      <c r="E44" s="946"/>
      <c r="F44" s="946"/>
      <c r="G44" s="946" t="s">
        <v>506</v>
      </c>
      <c r="H44" s="946"/>
      <c r="I44" s="946"/>
      <c r="J44" s="946"/>
      <c r="K44" s="946"/>
      <c r="L44" s="43"/>
      <c r="M44" s="43"/>
      <c r="N44" s="43"/>
      <c r="O44" s="43"/>
      <c r="P44" s="43"/>
      <c r="Q44" s="43"/>
      <c r="R44" s="43"/>
      <c r="S44" s="43"/>
      <c r="T44" s="43"/>
      <c r="U44" s="43"/>
      <c r="V44" s="43"/>
      <c r="W44" s="43"/>
      <c r="X44" s="43"/>
      <c r="Y44" s="43"/>
      <c r="Z44" s="43"/>
    </row>
    <row r="45" ht="15.0" customHeight="1">
      <c r="A45" s="946" t="s">
        <v>507</v>
      </c>
      <c r="B45" s="946"/>
      <c r="C45" s="946"/>
      <c r="D45" s="946"/>
      <c r="E45" s="946"/>
      <c r="F45" s="946"/>
      <c r="G45" s="946" t="s">
        <v>508</v>
      </c>
      <c r="H45" s="946"/>
      <c r="I45" s="946"/>
      <c r="J45" s="946"/>
      <c r="K45" s="946"/>
      <c r="L45" s="43"/>
      <c r="M45" s="43"/>
      <c r="N45" s="43"/>
      <c r="O45" s="43"/>
      <c r="P45" s="43"/>
      <c r="Q45" s="43"/>
      <c r="R45" s="43"/>
      <c r="S45" s="43"/>
      <c r="T45" s="43"/>
      <c r="U45" s="43"/>
      <c r="V45" s="43"/>
      <c r="W45" s="43"/>
      <c r="X45" s="43"/>
      <c r="Y45" s="43"/>
      <c r="Z45" s="43"/>
    </row>
    <row r="46" ht="15.0" customHeight="1">
      <c r="A46" s="946" t="s">
        <v>509</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510</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511</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512</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513</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514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515</v>
      </c>
      <c r="B55" s="8"/>
      <c r="C55" s="8"/>
      <c r="D55" s="8"/>
      <c r="E55" s="8"/>
      <c r="F55" s="9"/>
      <c r="G55" s="956" t="s">
        <v>516</v>
      </c>
      <c r="H55" s="9"/>
      <c r="I55" s="946"/>
      <c r="J55" s="946"/>
      <c r="K55" s="946"/>
      <c r="L55" s="43"/>
      <c r="M55" s="43"/>
      <c r="N55" s="43"/>
      <c r="O55" s="43"/>
      <c r="P55" s="43"/>
      <c r="Q55" s="43"/>
      <c r="R55" s="43"/>
      <c r="S55" s="43"/>
      <c r="T55" s="43"/>
      <c r="U55" s="43"/>
      <c r="V55" s="43"/>
      <c r="W55" s="43"/>
      <c r="X55" s="43"/>
      <c r="Y55" s="43"/>
      <c r="Z55" s="43"/>
    </row>
    <row r="56" ht="12.75" customHeight="1">
      <c r="A56" s="950" t="s">
        <v>517</v>
      </c>
      <c r="B56" s="8"/>
      <c r="C56" s="8"/>
      <c r="D56" s="8"/>
      <c r="E56" s="8"/>
      <c r="F56" s="9"/>
      <c r="G56" s="956" t="s">
        <v>518</v>
      </c>
      <c r="H56" s="9"/>
      <c r="I56" s="946"/>
      <c r="J56" s="946"/>
      <c r="K56" s="946"/>
      <c r="L56" s="43"/>
      <c r="M56" s="43"/>
      <c r="N56" s="43"/>
      <c r="O56" s="43"/>
      <c r="P56" s="43"/>
      <c r="Q56" s="43"/>
      <c r="R56" s="43"/>
      <c r="S56" s="43"/>
      <c r="T56" s="43"/>
      <c r="U56" s="43"/>
      <c r="V56" s="43"/>
      <c r="W56" s="43"/>
      <c r="X56" s="43"/>
      <c r="Y56" s="43"/>
      <c r="Z56" s="43"/>
    </row>
    <row r="57" ht="12.75" customHeight="1">
      <c r="A57" s="950" t="s">
        <v>519</v>
      </c>
      <c r="B57" s="8"/>
      <c r="C57" s="8"/>
      <c r="D57" s="8"/>
      <c r="E57" s="8"/>
      <c r="F57" s="9"/>
      <c r="G57" s="956" t="s">
        <v>520</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521</v>
      </c>
      <c r="K2" s="43"/>
      <c r="L2" s="43"/>
      <c r="M2" s="43"/>
      <c r="N2" s="43"/>
      <c r="O2" s="43"/>
      <c r="P2" s="43"/>
      <c r="Q2" s="43"/>
      <c r="R2" s="43"/>
      <c r="S2" s="43"/>
      <c r="T2" s="43"/>
      <c r="U2" s="43"/>
      <c r="V2" s="43"/>
      <c r="W2" s="43"/>
      <c r="X2" s="43"/>
      <c r="Y2" s="43"/>
      <c r="Z2" s="43"/>
    </row>
    <row r="3" ht="75.0" customHeight="1">
      <c r="A3" s="43"/>
      <c r="B3" s="521" t="s">
        <v>522</v>
      </c>
      <c r="K3" s="43"/>
      <c r="L3" s="43"/>
      <c r="M3" s="43"/>
      <c r="N3" s="43"/>
      <c r="O3" s="43"/>
      <c r="P3" s="43"/>
      <c r="Q3" s="43"/>
      <c r="R3" s="43"/>
      <c r="S3" s="43"/>
      <c r="T3" s="43"/>
      <c r="U3" s="43"/>
      <c r="V3" s="43"/>
      <c r="W3" s="43"/>
      <c r="X3" s="43"/>
      <c r="Y3" s="43"/>
      <c r="Z3" s="43"/>
    </row>
    <row r="4" ht="15.0" customHeight="1">
      <c r="A4" s="43"/>
      <c r="B4" s="959" t="s">
        <v>523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524</v>
      </c>
      <c r="K6" s="43"/>
      <c r="L6" s="43"/>
      <c r="M6" s="43"/>
      <c r="N6" s="43"/>
      <c r="O6" s="43"/>
      <c r="P6" s="43"/>
      <c r="Q6" s="43"/>
      <c r="R6" s="43"/>
      <c r="S6" s="43"/>
      <c r="T6" s="43"/>
      <c r="U6" s="43"/>
      <c r="V6" s="43"/>
      <c r="W6" s="43"/>
      <c r="X6" s="43"/>
      <c r="Y6" s="43"/>
      <c r="Z6" s="43"/>
    </row>
    <row r="7" ht="15.0" customHeight="1">
      <c r="A7" s="43"/>
      <c r="B7" s="530" t="s">
        <v>525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526</v>
      </c>
      <c r="K8" s="43"/>
      <c r="L8" s="43"/>
      <c r="M8" s="43"/>
      <c r="N8" s="43"/>
      <c r="O8" s="43"/>
      <c r="P8" s="43"/>
      <c r="Q8" s="43"/>
      <c r="R8" s="43"/>
      <c r="S8" s="43"/>
      <c r="T8" s="43"/>
      <c r="U8" s="43"/>
      <c r="V8" s="43"/>
      <c r="W8" s="43"/>
      <c r="X8" s="43"/>
      <c r="Y8" s="43"/>
      <c r="Z8" s="43"/>
    </row>
    <row r="9" ht="15.0" customHeight="1">
      <c r="A9" s="43"/>
      <c r="B9" s="960" t="s">
        <v>527</v>
      </c>
      <c r="C9" s="43" t="s">
        <v>528</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529</v>
      </c>
      <c r="C10" s="43" t="s">
        <v>530</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531</v>
      </c>
      <c r="C11" s="43" t="s">
        <v>532</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533</v>
      </c>
      <c r="C12" s="43" t="s">
        <v>534</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535</v>
      </c>
      <c r="C13" s="959" t="s">
        <v>536</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537</v>
      </c>
      <c r="C14" s="959" t="s">
        <v>538</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539</v>
      </c>
      <c r="C15" s="959" t="s">
        <v>540</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541</v>
      </c>
      <c r="C16" s="959" t="s">
        <v>542</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543</v>
      </c>
      <c r="C17" s="959" t="s">
        <v>544</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545</v>
      </c>
      <c r="C18" s="959" t="s">
        <v>546</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547</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548</v>
      </c>
      <c r="K21" s="43"/>
      <c r="L21" s="43"/>
      <c r="M21" s="43"/>
      <c r="N21" s="43"/>
      <c r="O21" s="43"/>
      <c r="P21" s="43"/>
      <c r="Q21" s="43"/>
      <c r="R21" s="43"/>
      <c r="S21" s="43"/>
      <c r="T21" s="43"/>
      <c r="U21" s="43"/>
      <c r="V21" s="43"/>
      <c r="W21" s="43"/>
      <c r="X21" s="43"/>
      <c r="Y21" s="43"/>
      <c r="Z21" s="43"/>
    </row>
    <row r="22" ht="15.0" customHeight="1">
      <c r="A22" s="43"/>
      <c r="B22" s="964" t="s">
        <v>527</v>
      </c>
      <c r="C22" s="959" t="s">
        <v>549</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529</v>
      </c>
      <c r="C23" s="959" t="s">
        <v>550</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531</v>
      </c>
      <c r="C24" s="959" t="s">
        <v>551</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533</v>
      </c>
      <c r="C25" s="959" t="s">
        <v>552</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535</v>
      </c>
      <c r="C26" s="959" t="s">
        <v>553</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537</v>
      </c>
      <c r="C27" s="959" t="s">
        <v>554</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539</v>
      </c>
      <c r="C28" s="959" t="s">
        <v>555</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556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527</v>
      </c>
      <c r="C32" s="43" t="s">
        <v>558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529</v>
      </c>
      <c r="C33" s="43" t="s">
        <v>559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531</v>
      </c>
      <c r="C34" s="43" t="s">
        <v>560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533</v>
      </c>
      <c r="C35" s="43" t="s">
        <v>561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535</v>
      </c>
      <c r="C36" s="43" t="s">
        <v>562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563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564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527</v>
      </c>
      <c r="C40" s="43" t="s">
        <v>565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529</v>
      </c>
      <c r="C41" s="43" t="s">
        <v>566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531</v>
      </c>
      <c r="C42" s="43" t="s">
        <v>567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533</v>
      </c>
      <c r="C43" s="43" t="s">
        <v>568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535</v>
      </c>
      <c r="C44" s="43" t="s">
        <v>569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570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571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527</v>
      </c>
      <c r="C48" s="43" t="s">
        <v>572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529</v>
      </c>
      <c r="C49" s="43" t="s">
        <v>573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531</v>
      </c>
      <c r="C50" s="43" t="s">
        <v>574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533</v>
      </c>
      <c r="C51" s="43" t="s">
        <v>575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535</v>
      </c>
      <c r="C52" s="43" t="s">
        <v>576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537</v>
      </c>
      <c r="C53" s="43" t="s">
        <v>577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578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579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527</v>
      </c>
      <c r="C57" s="43" t="s">
        <v>580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529</v>
      </c>
      <c r="C58" s="43" t="s">
        <v>581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531</v>
      </c>
      <c r="C59" s="43" t="s">
        <v>582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533</v>
      </c>
      <c r="C60" s="43" t="s">
        <v>583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584</v>
      </c>
      <c r="K62" s="43"/>
      <c r="L62" s="43"/>
      <c r="M62" s="43"/>
      <c r="N62" s="43"/>
      <c r="O62" s="43"/>
      <c r="P62" s="43"/>
      <c r="Q62" s="43"/>
      <c r="R62" s="43"/>
      <c r="S62" s="43"/>
      <c r="T62" s="43"/>
      <c r="U62" s="43"/>
      <c r="V62" s="43"/>
      <c r="W62" s="43"/>
      <c r="X62" s="43"/>
      <c r="Y62" s="43"/>
      <c r="Z62" s="43"/>
    </row>
    <row r="63" ht="15.0" customHeight="1">
      <c r="A63" s="43"/>
      <c r="B63" s="964" t="s">
        <v>16</v>
      </c>
      <c r="C63" s="959" t="s">
        <v>585</v>
      </c>
      <c r="K63" s="43"/>
      <c r="L63" s="43"/>
      <c r="M63" s="43"/>
      <c r="N63" s="43"/>
      <c r="O63" s="43"/>
      <c r="P63" s="43"/>
      <c r="Q63" s="43"/>
      <c r="R63" s="43"/>
      <c r="S63" s="43"/>
      <c r="T63" s="43"/>
      <c r="U63" s="43"/>
      <c r="V63" s="43"/>
      <c r="W63" s="43"/>
      <c r="X63" s="43"/>
      <c r="Y63" s="43"/>
      <c r="Z63" s="43"/>
    </row>
    <row r="64" ht="15.0" customHeight="1">
      <c r="A64" s="43"/>
      <c r="B64" s="964" t="s">
        <v>527</v>
      </c>
      <c r="C64" s="959" t="s">
        <v>586</v>
      </c>
      <c r="K64" s="43"/>
      <c r="L64" s="43"/>
      <c r="M64" s="43"/>
      <c r="N64" s="43"/>
      <c r="O64" s="43"/>
      <c r="P64" s="43"/>
      <c r="Q64" s="43"/>
      <c r="R64" s="43"/>
      <c r="S64" s="43"/>
      <c r="T64" s="43"/>
      <c r="U64" s="43"/>
      <c r="V64" s="43"/>
      <c r="W64" s="43"/>
      <c r="X64" s="43"/>
      <c r="Y64" s="43"/>
      <c r="Z64" s="43"/>
    </row>
    <row r="65" ht="15.0" customHeight="1">
      <c r="A65" s="43"/>
      <c r="B65" s="965" t="s">
        <v>529</v>
      </c>
      <c r="C65" s="959" t="s">
        <v>587</v>
      </c>
      <c r="K65" s="43"/>
      <c r="L65" s="43"/>
      <c r="M65" s="43"/>
      <c r="N65" s="43"/>
      <c r="O65" s="43"/>
      <c r="P65" s="43"/>
      <c r="Q65" s="43"/>
      <c r="R65" s="43"/>
      <c r="S65" s="43"/>
      <c r="T65" s="43"/>
      <c r="U65" s="43"/>
      <c r="V65" s="43"/>
      <c r="W65" s="43"/>
      <c r="X65" s="43"/>
      <c r="Y65" s="43"/>
      <c r="Z65" s="43"/>
    </row>
    <row r="66" ht="15.0" customHeight="1">
      <c r="A66" s="43"/>
      <c r="B66" s="965" t="s">
        <v>531</v>
      </c>
      <c r="C66" s="959" t="s">
        <v>588</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533</v>
      </c>
      <c r="C67" s="959" t="s">
        <v>589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590</v>
      </c>
      <c r="K69" s="43"/>
      <c r="L69" s="43"/>
      <c r="M69" s="43"/>
      <c r="N69" s="43"/>
      <c r="O69" s="43"/>
      <c r="P69" s="43"/>
      <c r="Q69" s="43"/>
      <c r="R69" s="43"/>
      <c r="S69" s="43"/>
      <c r="T69" s="43"/>
      <c r="U69" s="43"/>
      <c r="V69" s="43"/>
      <c r="W69" s="43"/>
      <c r="X69" s="43"/>
      <c r="Y69" s="43"/>
      <c r="Z69" s="43"/>
    </row>
    <row r="70" ht="15.0" customHeight="1">
      <c r="A70" s="43"/>
      <c r="B70" s="964" t="s">
        <v>16</v>
      </c>
      <c r="C70" s="959" t="s">
        <v>591</v>
      </c>
      <c r="K70" s="43"/>
      <c r="L70" s="43"/>
      <c r="M70" s="43"/>
      <c r="N70" s="43"/>
      <c r="O70" s="43"/>
      <c r="P70" s="43"/>
      <c r="Q70" s="43"/>
      <c r="R70" s="43"/>
      <c r="S70" s="43"/>
      <c r="T70" s="43"/>
      <c r="U70" s="43"/>
      <c r="V70" s="43"/>
      <c r="W70" s="43"/>
      <c r="X70" s="43"/>
      <c r="Y70" s="43"/>
      <c r="Z70" s="43"/>
    </row>
    <row r="71" ht="15.0" customHeight="1">
      <c r="A71" s="43"/>
      <c r="B71" s="964" t="s">
        <v>527</v>
      </c>
      <c r="C71" s="959" t="s">
        <v>592</v>
      </c>
      <c r="K71" s="43"/>
      <c r="L71" s="43"/>
      <c r="M71" s="43"/>
      <c r="N71" s="43"/>
      <c r="O71" s="43"/>
      <c r="P71" s="43"/>
      <c r="Q71" s="43"/>
      <c r="R71" s="43"/>
      <c r="S71" s="43"/>
      <c r="T71" s="43"/>
      <c r="U71" s="43"/>
      <c r="V71" s="43"/>
      <c r="W71" s="43"/>
      <c r="X71" s="43"/>
      <c r="Y71" s="43"/>
      <c r="Z71" s="43"/>
    </row>
    <row r="72" ht="15.0" customHeight="1">
      <c r="A72" s="43"/>
      <c r="B72" s="964" t="s">
        <v>529</v>
      </c>
      <c r="C72" s="959" t="s">
        <v>593</v>
      </c>
      <c r="K72" s="43"/>
      <c r="L72" s="43"/>
      <c r="M72" s="43"/>
      <c r="N72" s="43"/>
      <c r="O72" s="43"/>
      <c r="P72" s="43"/>
      <c r="Q72" s="43"/>
      <c r="R72" s="43"/>
      <c r="S72" s="43"/>
      <c r="T72" s="43"/>
      <c r="U72" s="43"/>
      <c r="V72" s="43"/>
      <c r="W72" s="43"/>
      <c r="X72" s="43"/>
      <c r="Y72" s="43"/>
      <c r="Z72" s="43"/>
    </row>
    <row r="73" ht="15.0" customHeight="1">
      <c r="A73" s="43"/>
      <c r="B73" s="964" t="s">
        <v>531</v>
      </c>
      <c r="C73" s="959" t="s">
        <v>594</v>
      </c>
      <c r="K73" s="43"/>
      <c r="L73" s="43"/>
      <c r="M73" s="43"/>
      <c r="N73" s="43"/>
      <c r="O73" s="43"/>
      <c r="P73" s="43"/>
      <c r="Q73" s="43"/>
      <c r="R73" s="43"/>
      <c r="S73" s="43"/>
      <c r="T73" s="43"/>
      <c r="U73" s="43"/>
      <c r="V73" s="43"/>
      <c r="W73" s="43"/>
      <c r="X73" s="43"/>
      <c r="Y73" s="43"/>
      <c r="Z73" s="43"/>
    </row>
    <row r="74" ht="15.0" customHeight="1">
      <c r="A74" s="43"/>
      <c r="B74" s="964" t="s">
        <v>533</v>
      </c>
      <c r="C74" s="959" t="s">
        <v>595</v>
      </c>
      <c r="K74" s="43"/>
      <c r="L74" s="43"/>
      <c r="M74" s="43"/>
      <c r="N74" s="43"/>
      <c r="O74" s="43"/>
      <c r="P74" s="43"/>
      <c r="Q74" s="43"/>
      <c r="R74" s="43"/>
      <c r="S74" s="43"/>
      <c r="T74" s="43"/>
      <c r="U74" s="43"/>
      <c r="V74" s="43"/>
      <c r="W74" s="43"/>
      <c r="X74" s="43"/>
      <c r="Y74" s="43"/>
      <c r="Z74" s="43"/>
    </row>
    <row r="75" ht="15.0" customHeight="1">
      <c r="A75" s="43"/>
      <c r="B75" s="964" t="s">
        <v>535</v>
      </c>
      <c r="C75" s="959" t="s">
        <v>596</v>
      </c>
      <c r="K75" s="43"/>
      <c r="L75" s="43"/>
      <c r="M75" s="43"/>
      <c r="N75" s="43"/>
      <c r="O75" s="43"/>
      <c r="P75" s="43"/>
      <c r="Q75" s="43"/>
      <c r="R75" s="43"/>
      <c r="S75" s="43"/>
      <c r="T75" s="43"/>
      <c r="U75" s="43"/>
      <c r="V75" s="43"/>
      <c r="W75" s="43"/>
      <c r="X75" s="43"/>
      <c r="Y75" s="43"/>
      <c r="Z75" s="43"/>
    </row>
    <row r="76" ht="15.0" customHeight="1">
      <c r="A76" s="43"/>
      <c r="B76" s="964" t="s">
        <v>537</v>
      </c>
      <c r="C76" s="959" t="s">
        <v>597</v>
      </c>
      <c r="K76" s="43"/>
      <c r="L76" s="43"/>
      <c r="M76" s="43"/>
      <c r="N76" s="43"/>
      <c r="O76" s="43"/>
      <c r="P76" s="43"/>
      <c r="Q76" s="43"/>
      <c r="R76" s="43"/>
      <c r="S76" s="43"/>
      <c r="T76" s="43"/>
      <c r="U76" s="43"/>
      <c r="V76" s="43"/>
      <c r="W76" s="43"/>
      <c r="X76" s="43"/>
      <c r="Y76" s="43"/>
      <c r="Z76" s="43"/>
    </row>
    <row r="77" ht="15.0" customHeight="1">
      <c r="A77" s="43"/>
      <c r="B77" s="964" t="s">
        <v>539</v>
      </c>
      <c r="C77" s="959" t="s">
        <v>598</v>
      </c>
      <c r="K77" s="43"/>
      <c r="L77" s="43"/>
      <c r="M77" s="43"/>
      <c r="N77" s="43"/>
      <c r="O77" s="43"/>
      <c r="P77" s="43"/>
      <c r="Q77" s="43"/>
      <c r="R77" s="43"/>
      <c r="S77" s="43"/>
      <c r="T77" s="43"/>
      <c r="U77" s="43"/>
      <c r="V77" s="43"/>
      <c r="W77" s="43"/>
      <c r="X77" s="43"/>
      <c r="Y77" s="43"/>
      <c r="Z77" s="43"/>
    </row>
    <row r="78" ht="30.0" customHeight="1">
      <c r="A78" s="43"/>
      <c r="B78" s="963" t="s">
        <v>541</v>
      </c>
      <c r="C78" s="521" t="s">
        <v>599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600</v>
      </c>
      <c r="K80" s="43"/>
      <c r="L80" s="43"/>
      <c r="M80" s="43"/>
      <c r="N80" s="43"/>
      <c r="O80" s="43"/>
      <c r="P80" s="43"/>
      <c r="Q80" s="43"/>
      <c r="R80" s="43"/>
      <c r="S80" s="43"/>
      <c r="T80" s="43"/>
      <c r="U80" s="43"/>
      <c r="V80" s="43"/>
      <c r="W80" s="43"/>
      <c r="X80" s="43"/>
      <c r="Y80" s="43"/>
      <c r="Z80" s="43"/>
    </row>
    <row r="81" ht="15.0" customHeight="1">
      <c r="A81" s="43"/>
      <c r="B81" s="964" t="s">
        <v>16</v>
      </c>
      <c r="C81" s="959" t="s">
        <v>601</v>
      </c>
      <c r="K81" s="43"/>
      <c r="L81" s="43"/>
      <c r="M81" s="43"/>
      <c r="N81" s="43"/>
      <c r="O81" s="43"/>
      <c r="P81" s="43"/>
      <c r="Q81" s="43"/>
      <c r="R81" s="43"/>
      <c r="S81" s="43"/>
      <c r="T81" s="43"/>
      <c r="U81" s="43"/>
      <c r="V81" s="43"/>
      <c r="W81" s="43"/>
      <c r="X81" s="43"/>
      <c r="Y81" s="43"/>
      <c r="Z81" s="43"/>
    </row>
    <row r="82" ht="12.75" customHeight="1">
      <c r="A82" s="43"/>
      <c r="B82" s="963" t="s">
        <v>527</v>
      </c>
      <c r="C82" s="521" t="s">
        <v>602</v>
      </c>
      <c r="K82" s="43"/>
      <c r="L82" s="43"/>
      <c r="M82" s="43"/>
      <c r="N82" s="43"/>
      <c r="O82" s="43"/>
      <c r="P82" s="43"/>
      <c r="Q82" s="43"/>
      <c r="R82" s="43"/>
      <c r="S82" s="43"/>
      <c r="T82" s="43"/>
      <c r="U82" s="43"/>
      <c r="V82" s="43"/>
      <c r="W82" s="43"/>
      <c r="X82" s="43"/>
      <c r="Y82" s="43"/>
      <c r="Z82" s="43"/>
    </row>
    <row r="83" ht="27.0" customHeight="1">
      <c r="A83" s="43"/>
      <c r="B83" s="963" t="s">
        <v>529</v>
      </c>
      <c r="C83" s="967" t="s">
        <v>603</v>
      </c>
      <c r="K83" s="43"/>
      <c r="L83" s="43"/>
      <c r="M83" s="43"/>
      <c r="N83" s="43"/>
      <c r="O83" s="43"/>
      <c r="P83" s="43"/>
      <c r="Q83" s="43"/>
      <c r="R83" s="43"/>
      <c r="S83" s="43"/>
      <c r="T83" s="43"/>
      <c r="U83" s="43"/>
      <c r="V83" s="43"/>
      <c r="W83" s="43"/>
      <c r="X83" s="43"/>
      <c r="Y83" s="43"/>
      <c r="Z83" s="43"/>
    </row>
    <row r="84" ht="24.75" customHeight="1">
      <c r="A84" s="43"/>
      <c r="B84" s="963" t="s">
        <v>531</v>
      </c>
      <c r="C84" s="962" t="s">
        <v>604</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605</v>
      </c>
      <c r="K87" s="43"/>
      <c r="L87" s="43"/>
      <c r="M87" s="43"/>
      <c r="N87" s="43"/>
      <c r="O87" s="43"/>
      <c r="P87" s="43"/>
      <c r="Q87" s="43"/>
      <c r="R87" s="43"/>
      <c r="S87" s="43"/>
      <c r="T87" s="43"/>
      <c r="U87" s="43"/>
      <c r="V87" s="43"/>
      <c r="W87" s="43"/>
      <c r="X87" s="43"/>
      <c r="Y87" s="43"/>
      <c r="Z87" s="43"/>
    </row>
    <row r="88" ht="15.0" customHeight="1">
      <c r="A88" s="43"/>
      <c r="B88" s="530" t="s">
        <v>606</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610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613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616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622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625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628</v>
      </c>
      <c r="K118" s="43"/>
      <c r="L118" s="43"/>
      <c r="M118" s="43"/>
      <c r="N118" s="43"/>
      <c r="O118" s="43"/>
      <c r="P118" s="43"/>
      <c r="Q118" s="43"/>
      <c r="R118" s="43"/>
      <c r="S118" s="43"/>
      <c r="T118" s="43"/>
      <c r="U118" s="43"/>
      <c r="V118" s="43"/>
      <c r="W118" s="43"/>
      <c r="X118" s="43"/>
      <c r="Y118" s="43"/>
      <c r="Z118" s="43"/>
    </row>
    <row r="119" ht="15.0" customHeight="1">
      <c r="A119" s="43"/>
      <c r="B119" s="959" t="s">
        <v>629</v>
      </c>
      <c r="K119" s="43"/>
      <c r="L119" s="43"/>
      <c r="M119" s="43"/>
      <c r="N119" s="43"/>
      <c r="O119" s="43"/>
      <c r="P119" s="43"/>
      <c r="Q119" s="43"/>
      <c r="R119" s="43"/>
      <c r="S119" s="43"/>
      <c r="T119" s="43"/>
      <c r="U119" s="43"/>
      <c r="V119" s="43"/>
      <c r="W119" s="43"/>
      <c r="X119" s="43"/>
      <c r="Y119" s="43"/>
      <c r="Z119" s="43"/>
    </row>
    <row r="120" ht="15.0" customHeight="1">
      <c r="A120" s="43"/>
      <c r="B120" s="959" t="s">
        <v>630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631</v>
      </c>
      <c r="K122" s="43"/>
      <c r="L122" s="43"/>
      <c r="M122" s="43"/>
      <c r="N122" s="43"/>
      <c r="O122" s="43"/>
      <c r="P122" s="43"/>
      <c r="Q122" s="43"/>
      <c r="R122" s="43"/>
      <c r="S122" s="43"/>
      <c r="T122" s="43"/>
      <c r="U122" s="43"/>
      <c r="V122" s="43"/>
      <c r="W122" s="43"/>
      <c r="X122" s="43"/>
      <c r="Y122" s="43"/>
      <c r="Z122" s="43"/>
    </row>
    <row r="123" ht="15.0" customHeight="1">
      <c r="A123" s="43"/>
      <c r="B123" s="959" t="s">
        <v>632</v>
      </c>
      <c r="K123" s="43"/>
      <c r="L123" s="43"/>
      <c r="M123" s="43"/>
      <c r="N123" s="43"/>
      <c r="O123" s="43"/>
      <c r="P123" s="43"/>
      <c r="Q123" s="43"/>
      <c r="R123" s="43"/>
      <c r="S123" s="43"/>
      <c r="T123" s="43"/>
      <c r="U123" s="43"/>
      <c r="V123" s="43"/>
      <c r="W123" s="43"/>
      <c r="X123" s="43"/>
      <c r="Y123" s="43"/>
      <c r="Z123" s="43"/>
    </row>
    <row r="124" ht="15.0" customHeight="1">
      <c r="A124" s="43"/>
      <c r="B124" s="959" t="s">
        <v>633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634</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635</v>
      </c>
      <c r="K127" s="43"/>
      <c r="L127" s="43"/>
      <c r="M127" s="43"/>
      <c r="N127" s="43"/>
      <c r="O127" s="43"/>
      <c r="P127" s="43"/>
      <c r="Q127" s="43"/>
      <c r="R127" s="43"/>
      <c r="S127" s="43"/>
      <c r="T127" s="43"/>
      <c r="U127" s="43"/>
      <c r="V127" s="43"/>
      <c r="W127" s="43"/>
      <c r="X127" s="43"/>
      <c r="Y127" s="43"/>
      <c r="Z127" s="43"/>
    </row>
    <row r="128" ht="15.0" customHeight="1">
      <c r="A128" s="43"/>
      <c r="B128" s="959" t="s">
        <v>636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637</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638</v>
      </c>
      <c r="E131" s="6">
        <v>40256.0</v>
      </c>
      <c r="G131" s="959" t="s">
        <v>639</v>
      </c>
      <c r="K131" s="43"/>
      <c r="L131" s="43"/>
      <c r="M131" s="43"/>
      <c r="N131" s="43"/>
      <c r="O131" s="43"/>
      <c r="P131" s="43"/>
      <c r="Q131" s="43"/>
      <c r="R131" s="43"/>
      <c r="S131" s="43"/>
      <c r="T131" s="43"/>
      <c r="U131" s="43"/>
      <c r="V131" s="43"/>
      <c r="W131" s="43"/>
      <c r="X131" s="43"/>
      <c r="Y131" s="43"/>
      <c r="Z131" s="43"/>
    </row>
    <row r="132" ht="15.0" customHeight="1">
      <c r="A132" s="43"/>
      <c r="B132" s="969" t="s">
        <v>640</v>
      </c>
      <c r="E132" s="6">
        <v>40218.0</v>
      </c>
      <c r="G132" s="959" t="s">
        <v>641</v>
      </c>
      <c r="K132" s="43"/>
      <c r="L132" s="43"/>
      <c r="M132" s="43"/>
      <c r="N132" s="43"/>
      <c r="O132" s="43"/>
      <c r="P132" s="43"/>
      <c r="Q132" s="43"/>
      <c r="R132" s="43"/>
      <c r="S132" s="43"/>
      <c r="T132" s="43"/>
      <c r="U132" s="43"/>
      <c r="V132" s="43"/>
      <c r="W132" s="43"/>
      <c r="X132" s="43"/>
      <c r="Y132" s="43"/>
      <c r="Z132" s="43"/>
    </row>
    <row r="133" ht="15.0" customHeight="1">
      <c r="A133" s="43"/>
      <c r="B133" s="969" t="s">
        <v>642</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643</v>
      </c>
      <c r="E134" s="6">
        <v>40092.0</v>
      </c>
      <c r="G134" s="959" t="s">
        <v>644</v>
      </c>
      <c r="K134" s="43"/>
      <c r="L134" s="43"/>
      <c r="M134" s="43"/>
      <c r="N134" s="43"/>
      <c r="O134" s="43"/>
      <c r="P134" s="43"/>
      <c r="Q134" s="43"/>
      <c r="R134" s="43"/>
      <c r="S134" s="43"/>
      <c r="T134" s="43"/>
      <c r="U134" s="43"/>
      <c r="V134" s="43"/>
      <c r="W134" s="43"/>
      <c r="X134" s="43"/>
      <c r="Y134" s="43"/>
      <c r="Z134" s="43"/>
    </row>
    <row r="135" ht="15.0" customHeight="1">
      <c r="A135" s="43"/>
      <c r="B135" s="959" t="s">
        <v>635</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645</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646</v>
      </c>
      <c r="K138" s="43"/>
      <c r="L138" s="43"/>
      <c r="M138" s="43"/>
      <c r="N138" s="43"/>
      <c r="O138" s="43"/>
      <c r="P138" s="43"/>
      <c r="Q138" s="43"/>
      <c r="R138" s="43"/>
      <c r="S138" s="43"/>
      <c r="T138" s="43"/>
      <c r="U138" s="43"/>
      <c r="V138" s="43"/>
      <c r="W138" s="43"/>
      <c r="X138" s="43"/>
      <c r="Y138" s="43"/>
      <c r="Z138" s="43"/>
    </row>
    <row r="139" ht="45.0" customHeight="1">
      <c r="A139" s="43"/>
      <c r="B139" s="970" t="s">
        <v>647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648</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649</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650</v>
      </c>
      <c r="K143" s="43"/>
      <c r="L143" s="43"/>
      <c r="M143" s="43"/>
      <c r="N143" s="43"/>
      <c r="O143" s="43"/>
      <c r="P143" s="43"/>
      <c r="Q143" s="43"/>
      <c r="R143" s="43"/>
      <c r="S143" s="43"/>
      <c r="T143" s="43"/>
      <c r="U143" s="43"/>
      <c r="V143" s="43"/>
      <c r="W143" s="43"/>
      <c r="X143" s="43"/>
      <c r="Y143" s="43"/>
      <c r="Z143" s="43"/>
    </row>
    <row r="144" ht="30.0" customHeight="1">
      <c r="A144" s="43"/>
      <c r="B144" s="961" t="s">
        <v>651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652</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653</v>
      </c>
      <c r="K147" s="43"/>
      <c r="L147" s="43"/>
      <c r="M147" s="43"/>
      <c r="N147" s="43"/>
      <c r="O147" s="43"/>
      <c r="P147" s="43"/>
      <c r="Q147" s="43"/>
      <c r="R147" s="43"/>
      <c r="S147" s="43"/>
      <c r="T147" s="43"/>
      <c r="U147" s="43"/>
      <c r="V147" s="43"/>
      <c r="W147" s="43"/>
      <c r="X147" s="43"/>
      <c r="Y147" s="43"/>
      <c r="Z147" s="43"/>
    </row>
    <row r="148" ht="60.0" customHeight="1">
      <c r="A148" s="43"/>
      <c r="B148" s="970" t="s">
        <v>654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655</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653</v>
      </c>
      <c r="K151" s="43"/>
      <c r="L151" s="43"/>
      <c r="M151" s="43"/>
      <c r="N151" s="43"/>
      <c r="O151" s="43"/>
      <c r="P151" s="43"/>
      <c r="Q151" s="43"/>
      <c r="R151" s="43"/>
      <c r="S151" s="43"/>
      <c r="T151" s="43"/>
      <c r="U151" s="43"/>
      <c r="V151" s="43"/>
      <c r="W151" s="43"/>
      <c r="X151" s="43"/>
      <c r="Y151" s="43"/>
      <c r="Z151" s="43"/>
    </row>
    <row r="152" ht="15.0" customHeight="1">
      <c r="A152" s="43"/>
      <c r="B152" s="959" t="s">
        <v>656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657</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658</v>
      </c>
      <c r="K155" s="43"/>
      <c r="L155" s="43"/>
      <c r="M155" s="43"/>
      <c r="N155" s="43"/>
      <c r="O155" s="43"/>
      <c r="P155" s="43"/>
      <c r="Q155" s="43"/>
      <c r="R155" s="43"/>
      <c r="S155" s="43"/>
      <c r="T155" s="43"/>
      <c r="U155" s="43"/>
      <c r="V155" s="43"/>
      <c r="W155" s="43"/>
      <c r="X155" s="43"/>
      <c r="Y155" s="43"/>
      <c r="Z155" s="43"/>
    </row>
    <row r="156" ht="15.0" customHeight="1">
      <c r="A156" s="43"/>
      <c r="B156" s="959" t="s">
        <v>659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660</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661</v>
      </c>
      <c r="K159" s="43"/>
      <c r="L159" s="43"/>
      <c r="M159" s="43"/>
      <c r="N159" s="43"/>
      <c r="O159" s="43"/>
      <c r="P159" s="43"/>
      <c r="Q159" s="43"/>
      <c r="R159" s="43"/>
      <c r="S159" s="43"/>
      <c r="T159" s="43"/>
      <c r="U159" s="43"/>
      <c r="V159" s="43"/>
      <c r="W159" s="43"/>
      <c r="X159" s="43"/>
      <c r="Y159" s="43"/>
      <c r="Z159" s="43"/>
    </row>
    <row r="160" ht="15.0" customHeight="1">
      <c r="A160" s="43"/>
      <c r="B160" s="959" t="s">
        <v>662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