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FD4DD76A-772E-4164-8B37-CF3B2C0E536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Задание1" sheetId="1" r:id="rId1"/>
    <sheet name="Задание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6" i="2" l="1"/>
  <c r="P56" i="2"/>
  <c r="N56" i="2"/>
  <c r="U55" i="2"/>
  <c r="P55" i="2"/>
  <c r="N55" i="2"/>
  <c r="U54" i="2"/>
  <c r="P54" i="2"/>
  <c r="N54" i="2"/>
  <c r="U53" i="2"/>
  <c r="P53" i="2"/>
  <c r="N53" i="2"/>
  <c r="U52" i="2"/>
  <c r="P52" i="2"/>
  <c r="N52" i="2"/>
  <c r="E104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C92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7" i="1"/>
  <c r="C30" i="1" s="1"/>
  <c r="I50" i="2"/>
  <c r="H50" i="2"/>
  <c r="G50" i="2"/>
  <c r="J50" i="2" s="1"/>
  <c r="I49" i="2"/>
  <c r="H49" i="2"/>
  <c r="G49" i="2"/>
  <c r="J49" i="2" s="1"/>
  <c r="I48" i="2"/>
  <c r="H48" i="2"/>
  <c r="G48" i="2"/>
  <c r="J48" i="2" s="1"/>
  <c r="I47" i="2"/>
  <c r="H47" i="2"/>
  <c r="G47" i="2"/>
  <c r="J47" i="2" s="1"/>
  <c r="I46" i="2"/>
  <c r="I51" i="2" s="1"/>
  <c r="H46" i="2"/>
  <c r="H51" i="2" s="1"/>
  <c r="G46" i="2"/>
  <c r="F18" i="2"/>
  <c r="F17" i="2"/>
  <c r="F16" i="2"/>
  <c r="F15" i="2"/>
  <c r="F14" i="2"/>
  <c r="I14" i="2" s="1"/>
  <c r="H122" i="1"/>
  <c r="O88" i="1"/>
  <c r="D55" i="1"/>
  <c r="G55" i="1" s="1"/>
  <c r="C55" i="1"/>
  <c r="S39" i="1"/>
  <c r="S40" i="1" s="1"/>
  <c r="R39" i="1"/>
  <c r="R40" i="1" s="1"/>
  <c r="Q39" i="1"/>
  <c r="Q40" i="1" s="1"/>
  <c r="P39" i="1"/>
  <c r="P40" i="1" s="1"/>
  <c r="O39" i="1"/>
  <c r="O40" i="1" s="1"/>
  <c r="N39" i="1"/>
  <c r="N40" i="1" s="1"/>
  <c r="M39" i="1"/>
  <c r="M40" i="1" s="1"/>
  <c r="L39" i="1"/>
  <c r="L40" i="1" s="1"/>
  <c r="K39" i="1"/>
  <c r="K40" i="1" s="1"/>
  <c r="J39" i="1"/>
  <c r="J40" i="1" s="1"/>
  <c r="I39" i="1"/>
  <c r="I40" i="1" s="1"/>
  <c r="H39" i="1"/>
  <c r="H40" i="1" s="1"/>
  <c r="G39" i="1"/>
  <c r="G40" i="1" s="1"/>
  <c r="F39" i="1"/>
  <c r="F40" i="1" s="1"/>
  <c r="E39" i="1"/>
  <c r="E40" i="1" s="1"/>
  <c r="D39" i="1"/>
  <c r="D40" i="1" s="1"/>
  <c r="C39" i="1"/>
  <c r="C40" i="1" s="1"/>
  <c r="C43" i="1" s="1"/>
  <c r="J46" i="2" l="1"/>
  <c r="G51" i="2"/>
  <c r="E55" i="1"/>
  <c r="F55" i="1" s="1"/>
  <c r="H14" i="2"/>
  <c r="G14" i="2"/>
  <c r="I15" i="2"/>
  <c r="H15" i="2"/>
  <c r="G15" i="2"/>
  <c r="J15" i="2" s="1"/>
  <c r="I16" i="2"/>
  <c r="H16" i="2"/>
  <c r="G16" i="2"/>
  <c r="J16" i="2" s="1"/>
  <c r="I17" i="2"/>
  <c r="H17" i="2"/>
  <c r="G17" i="2"/>
  <c r="J17" i="2" s="1"/>
  <c r="I18" i="2"/>
  <c r="H18" i="2"/>
  <c r="G18" i="2"/>
  <c r="J18" i="2" s="1"/>
  <c r="C127" i="1"/>
  <c r="E127" i="1" s="1"/>
  <c r="H123" i="1"/>
  <c r="D127" i="1" s="1"/>
  <c r="G127" i="1" s="1"/>
  <c r="I55" i="1"/>
  <c r="H55" i="1"/>
  <c r="O89" i="1"/>
  <c r="C33" i="2" l="1"/>
  <c r="J14" i="2"/>
  <c r="J19" i="2" s="1"/>
  <c r="G19" i="2"/>
  <c r="H19" i="2"/>
  <c r="B53" i="2"/>
  <c r="J51" i="2"/>
  <c r="B20" i="2"/>
  <c r="I19" i="2"/>
  <c r="F127" i="1"/>
  <c r="O90" i="1"/>
  <c r="D56" i="1"/>
  <c r="G56" i="1" s="1"/>
  <c r="C56" i="1"/>
  <c r="E56" i="1" l="1"/>
  <c r="F56" i="1" s="1"/>
  <c r="I127" i="1"/>
  <c r="H127" i="1"/>
  <c r="I56" i="1"/>
  <c r="H56" i="1"/>
  <c r="O91" i="1"/>
  <c r="C128" i="1" l="1"/>
  <c r="D128" i="1"/>
  <c r="G128" i="1" s="1"/>
  <c r="O92" i="1"/>
  <c r="D57" i="1"/>
  <c r="G57" i="1" s="1"/>
  <c r="C57" i="1"/>
  <c r="E128" i="1" l="1"/>
  <c r="F128" i="1" s="1"/>
  <c r="E57" i="1"/>
  <c r="F57" i="1" s="1"/>
  <c r="I57" i="1"/>
  <c r="H57" i="1"/>
  <c r="O93" i="1"/>
  <c r="I128" i="1" l="1"/>
  <c r="H128" i="1"/>
  <c r="O94" i="1"/>
  <c r="D58" i="1"/>
  <c r="G58" i="1" s="1"/>
  <c r="C58" i="1"/>
  <c r="C129" i="1" l="1"/>
  <c r="E129" i="1" s="1"/>
  <c r="D129" i="1"/>
  <c r="G129" i="1" s="1"/>
  <c r="E58" i="1"/>
  <c r="F58" i="1" s="1"/>
  <c r="I58" i="1"/>
  <c r="H58" i="1"/>
  <c r="O95" i="1"/>
  <c r="F129" i="1" l="1"/>
  <c r="O96" i="1"/>
  <c r="D59" i="1"/>
  <c r="G59" i="1" s="1"/>
  <c r="C59" i="1"/>
  <c r="I129" i="1" l="1"/>
  <c r="H129" i="1"/>
  <c r="D130" i="1"/>
  <c r="G130" i="1" s="1"/>
  <c r="C130" i="1"/>
  <c r="E130" i="1" s="1"/>
  <c r="F130" i="1" s="1"/>
  <c r="E59" i="1"/>
  <c r="F59" i="1" s="1"/>
  <c r="I59" i="1"/>
  <c r="H59" i="1"/>
  <c r="O97" i="1"/>
  <c r="I130" i="1" l="1"/>
  <c r="H130" i="1"/>
  <c r="O98" i="1"/>
  <c r="D60" i="1"/>
  <c r="G60" i="1" s="1"/>
  <c r="C60" i="1"/>
  <c r="E60" i="1" s="1"/>
  <c r="C131" i="1" l="1"/>
  <c r="E131" i="1" s="1"/>
  <c r="D131" i="1"/>
  <c r="G131" i="1" s="1"/>
  <c r="F60" i="1"/>
  <c r="O99" i="1"/>
  <c r="F131" i="1" l="1"/>
  <c r="O100" i="1"/>
  <c r="I60" i="1"/>
  <c r="H60" i="1"/>
  <c r="I131" i="1" l="1"/>
  <c r="H131" i="1"/>
  <c r="C132" i="1"/>
  <c r="E132" i="1" s="1"/>
  <c r="D132" i="1"/>
  <c r="G132" i="1" s="1"/>
  <c r="D61" i="1"/>
  <c r="G61" i="1" s="1"/>
  <c r="C61" i="1"/>
  <c r="O101" i="1"/>
  <c r="E61" i="1" l="1"/>
  <c r="B70" i="1"/>
  <c r="F132" i="1"/>
  <c r="O102" i="1"/>
  <c r="F61" i="1"/>
  <c r="C75" i="1" l="1"/>
  <c r="E70" i="1"/>
  <c r="I132" i="1"/>
  <c r="H132" i="1"/>
  <c r="D133" i="1"/>
  <c r="G133" i="1" s="1"/>
  <c r="C133" i="1"/>
  <c r="E133" i="1" s="1"/>
  <c r="F133" i="1" s="1"/>
  <c r="I61" i="1"/>
  <c r="H61" i="1"/>
  <c r="C90" i="1"/>
  <c r="E90" i="1" s="1"/>
  <c r="O103" i="1"/>
  <c r="J84" i="1" s="1"/>
  <c r="D90" i="1"/>
  <c r="G90" i="1" s="1"/>
  <c r="C91" i="1" l="1"/>
  <c r="D134" i="1"/>
  <c r="G134" i="1" s="1"/>
  <c r="I133" i="1"/>
  <c r="H133" i="1"/>
  <c r="C134" i="1" s="1"/>
  <c r="E134" i="1" s="1"/>
  <c r="F134" i="1" s="1"/>
  <c r="I134" i="1"/>
  <c r="H134" i="1"/>
  <c r="F90" i="1"/>
  <c r="D62" i="1"/>
  <c r="G62" i="1" s="1"/>
  <c r="C62" i="1"/>
  <c r="E62" i="1" s="1"/>
  <c r="D135" i="1" l="1"/>
  <c r="G135" i="1" s="1"/>
  <c r="C135" i="1"/>
  <c r="E135" i="1" s="1"/>
  <c r="F135" i="1" s="1"/>
  <c r="B71" i="1"/>
  <c r="E71" i="1" s="1"/>
  <c r="I90" i="1"/>
  <c r="H90" i="1"/>
  <c r="E91" i="1" l="1"/>
  <c r="D91" i="1"/>
  <c r="G91" i="1" s="1"/>
  <c r="E92" i="1" s="1"/>
  <c r="I135" i="1"/>
  <c r="H135" i="1"/>
  <c r="F91" i="1"/>
  <c r="F62" i="1"/>
  <c r="C136" i="1" l="1"/>
  <c r="D136" i="1"/>
  <c r="G136" i="1" s="1"/>
  <c r="E136" i="1"/>
  <c r="F136" i="1" s="1"/>
  <c r="I62" i="1"/>
  <c r="B69" i="1" s="1"/>
  <c r="E69" i="1" s="1"/>
  <c r="H62" i="1"/>
  <c r="B68" i="1" s="1"/>
  <c r="E68" i="1" s="1"/>
  <c r="C76" i="1" s="1"/>
  <c r="I91" i="1"/>
  <c r="H91" i="1"/>
  <c r="G92" i="1" l="1"/>
  <c r="C93" i="1" s="1"/>
  <c r="I136" i="1"/>
  <c r="H136" i="1"/>
  <c r="F92" i="1"/>
  <c r="D137" i="1" l="1"/>
  <c r="G137" i="1" s="1"/>
  <c r="C137" i="1"/>
  <c r="E137" i="1" s="1"/>
  <c r="F137" i="1" s="1"/>
  <c r="I92" i="1"/>
  <c r="H92" i="1"/>
  <c r="G93" i="1" l="1"/>
  <c r="I137" i="1"/>
  <c r="H137" i="1"/>
  <c r="E93" i="1" l="1"/>
  <c r="C94" i="1" s="1"/>
  <c r="C138" i="1"/>
  <c r="D138" i="1"/>
  <c r="G138" i="1" s="1"/>
  <c r="E138" i="1"/>
  <c r="F138" i="1" s="1"/>
  <c r="F93" i="1" l="1"/>
  <c r="I138" i="1"/>
  <c r="H138" i="1"/>
  <c r="I93" i="1" l="1"/>
  <c r="H93" i="1"/>
  <c r="G94" i="1" s="1"/>
  <c r="D139" i="1"/>
  <c r="G139" i="1" s="1"/>
  <c r="C139" i="1"/>
  <c r="E139" i="1" s="1"/>
  <c r="F139" i="1" s="1"/>
  <c r="D140" i="1" l="1"/>
  <c r="G140" i="1" s="1"/>
  <c r="I139" i="1"/>
  <c r="H139" i="1"/>
  <c r="C140" i="1" s="1"/>
  <c r="E94" i="1" l="1"/>
  <c r="C95" i="1" s="1"/>
  <c r="E140" i="1"/>
  <c r="F140" i="1" s="1"/>
  <c r="F94" i="1" l="1"/>
  <c r="I140" i="1"/>
  <c r="H140" i="1"/>
  <c r="I94" i="1" l="1"/>
  <c r="H94" i="1"/>
  <c r="G95" i="1" s="1"/>
  <c r="D141" i="1"/>
  <c r="G141" i="1" s="1"/>
  <c r="C141" i="1"/>
  <c r="E141" i="1" s="1"/>
  <c r="F141" i="1" s="1"/>
  <c r="E95" i="1" l="1"/>
  <c r="F95" i="1"/>
  <c r="I141" i="1"/>
  <c r="H141" i="1"/>
  <c r="I95" i="1" l="1"/>
  <c r="H95" i="1"/>
  <c r="G96" i="1" l="1"/>
  <c r="C96" i="1"/>
  <c r="E96" i="1" s="1"/>
  <c r="G97" i="1"/>
  <c r="F96" i="1"/>
  <c r="I96" i="1" l="1"/>
  <c r="H96" i="1"/>
  <c r="C97" i="1" s="1"/>
  <c r="E97" i="1" s="1"/>
  <c r="F97" i="1"/>
  <c r="C98" i="1" l="1"/>
  <c r="E98" i="1"/>
  <c r="I97" i="1"/>
  <c r="H97" i="1"/>
  <c r="G98" i="1" l="1"/>
  <c r="C99" i="1"/>
  <c r="E99" i="1"/>
  <c r="F98" i="1"/>
  <c r="I98" i="1" l="1"/>
  <c r="H98" i="1"/>
  <c r="G99" i="1" s="1"/>
  <c r="F99" i="1"/>
  <c r="I99" i="1" l="1"/>
  <c r="H99" i="1"/>
  <c r="G100" i="1" l="1"/>
  <c r="C100" i="1"/>
  <c r="E100" i="1" s="1"/>
  <c r="C101" i="1"/>
  <c r="E101" i="1"/>
  <c r="F100" i="1"/>
  <c r="I100" i="1" l="1"/>
  <c r="H100" i="1"/>
  <c r="G101" i="1" s="1"/>
  <c r="F101" i="1"/>
  <c r="C102" i="1" l="1"/>
  <c r="E102" i="1"/>
  <c r="I101" i="1"/>
  <c r="H101" i="1"/>
  <c r="G102" i="1" l="1"/>
  <c r="G103" i="1"/>
  <c r="F102" i="1"/>
  <c r="I102" i="1" l="1"/>
  <c r="H102" i="1"/>
  <c r="C103" i="1" s="1"/>
  <c r="E103" i="1" s="1"/>
  <c r="F103" i="1"/>
  <c r="C104" i="1" l="1"/>
  <c r="I103" i="1"/>
  <c r="H103" i="1"/>
  <c r="G104" i="1" l="1"/>
  <c r="F104" i="1" s="1"/>
  <c r="I104" i="1"/>
  <c r="H104" i="1"/>
</calcChain>
</file>

<file path=xl/sharedStrings.xml><?xml version="1.0" encoding="utf-8"?>
<sst xmlns="http://schemas.openxmlformats.org/spreadsheetml/2006/main" count="181" uniqueCount="105">
  <si>
    <t>f(x)=x^2-15x+14</t>
  </si>
  <si>
    <t>Метод пассивного поиска</t>
  </si>
  <si>
    <t>Пункт А</t>
  </si>
  <si>
    <t>N=</t>
  </si>
  <si>
    <t>eps=</t>
  </si>
  <si>
    <t>a=</t>
  </si>
  <si>
    <t>b=</t>
  </si>
  <si>
    <t>Номер отсчета</t>
  </si>
  <si>
    <t>x</t>
  </si>
  <si>
    <t>f(x)</t>
  </si>
  <si>
    <t>Точка минимума локализована на отрезке [x15; x16].</t>
  </si>
  <si>
    <t>fmin = f(x16) =</t>
  </si>
  <si>
    <t>Ответ: x* ~= 7,161111, f* ~= -42,1352</t>
  </si>
  <si>
    <t>Пункт В</t>
  </si>
  <si>
    <t>Точка минимума локализована на отрезке [x16; x17].</t>
  </si>
  <si>
    <t>fmin = f(x17) =</t>
  </si>
  <si>
    <t xml:space="preserve">Ответ: x* ~= 7,555556, f* ~= -42,2469 </t>
  </si>
  <si>
    <t>Метод дихотомии</t>
  </si>
  <si>
    <t>e=</t>
  </si>
  <si>
    <t>Номер итерации</t>
  </si>
  <si>
    <t>x1(j)</t>
  </si>
  <si>
    <t>x2(j)</t>
  </si>
  <si>
    <t>f1</t>
  </si>
  <si>
    <t xml:space="preserve">&lt;=  </t>
  </si>
  <si>
    <t>f2</t>
  </si>
  <si>
    <t>a</t>
  </si>
  <si>
    <t>b</t>
  </si>
  <si>
    <t>&gt;</t>
  </si>
  <si>
    <t>---</t>
  </si>
  <si>
    <t>a(8) -&gt;</t>
  </si>
  <si>
    <t>f(a)-&gt;</t>
  </si>
  <si>
    <t>b(8) -&gt;</t>
  </si>
  <si>
    <t>f(b)-&gt;</t>
  </si>
  <si>
    <t>x1(7) -&gt;</t>
  </si>
  <si>
    <t>f(x1)-&gt;</t>
  </si>
  <si>
    <t>x2(8) -&gt;</t>
  </si>
  <si>
    <t>f(x2)-&gt;</t>
  </si>
  <si>
    <t xml:space="preserve">x* ~= x1(7) = </t>
  </si>
  <si>
    <t>f* ~=</t>
  </si>
  <si>
    <t xml:space="preserve">Ответ: Δ = [7,437109; 7,567969], x* ~= 7,467969, f* ~= -42,249 </t>
  </si>
  <si>
    <t>Метод Фибоначчи</t>
  </si>
  <si>
    <t>F=</t>
  </si>
  <si>
    <t>e&lt;(b-a)/(Fn+1)</t>
  </si>
  <si>
    <t>e&lt;</t>
  </si>
  <si>
    <t>Числа Фибоначчи от 0 до N-1</t>
  </si>
  <si>
    <t>Ответ: x* ~= 7,499454; f* ~= -42,25</t>
  </si>
  <si>
    <t>Метод золотого сечения</t>
  </si>
  <si>
    <t xml:space="preserve">Ф1 = </t>
  </si>
  <si>
    <t>e =</t>
  </si>
  <si>
    <t xml:space="preserve">Ф2 = </t>
  </si>
  <si>
    <t>Ответ: x ~= 7,500861; f ~= -42,25</t>
  </si>
  <si>
    <t>Вывод:</t>
  </si>
  <si>
    <t>Наилучшим методов для поиска минимума функции оказался метод Фибоначчи, т.к. этому методу удалось максимально приблизиться к искомому минимуму.</t>
  </si>
  <si>
    <t>х.найденное = 7,499454;  x.искомое = 7,5</t>
  </si>
  <si>
    <t>F</t>
  </si>
  <si>
    <t>i</t>
  </si>
  <si>
    <t>Vi</t>
  </si>
  <si>
    <t>Ki</t>
  </si>
  <si>
    <t>Si</t>
  </si>
  <si>
    <t>Fi</t>
  </si>
  <si>
    <t>Оптимизация без ограничений на складские площади</t>
  </si>
  <si>
    <t>f</t>
  </si>
  <si>
    <t>qi0</t>
  </si>
  <si>
    <t>Ki*Vi/ qi0</t>
  </si>
  <si>
    <t>Si * qi</t>
  </si>
  <si>
    <t>fi *qi</t>
  </si>
  <si>
    <t>Li</t>
  </si>
  <si>
    <t xml:space="preserve">L = </t>
  </si>
  <si>
    <t xml:space="preserve">F = </t>
  </si>
  <si>
    <t>Оптимизация с ограничениями на складские площади</t>
  </si>
  <si>
    <t>Так как ограничение накладывается на максимальный уровень запаса, то</t>
  </si>
  <si>
    <t>h=1. Проверим существенность ограничения на складские площади</t>
  </si>
  <si>
    <t>(f=1350 м2). Для этого сравним необходимое количество складских</t>
  </si>
  <si>
    <t>площадей с имеющимся.</t>
  </si>
  <si>
    <t>Так как полученное значение больше исходного, то ограничение является</t>
  </si>
  <si>
    <t>существенным. Для нахождения скорректированных значений составим</t>
  </si>
  <si>
    <t>оптимизационную модель. Цель – минимизировать суммарные расходы.</t>
  </si>
  <si>
    <t xml:space="preserve">F= </t>
  </si>
  <si>
    <t>L=</t>
  </si>
  <si>
    <t>*</t>
  </si>
  <si>
    <t>/q1</t>
  </si>
  <si>
    <t>+</t>
  </si>
  <si>
    <t>1/2*q1</t>
  </si>
  <si>
    <t>цел.ф</t>
  </si>
  <si>
    <t>/q2</t>
  </si>
  <si>
    <t>1/2*q2</t>
  </si>
  <si>
    <t>/q3</t>
  </si>
  <si>
    <t>1/2*q3</t>
  </si>
  <si>
    <t>/q4</t>
  </si>
  <si>
    <t>1/2*q4</t>
  </si>
  <si>
    <t>результат системы</t>
  </si>
  <si>
    <t>необходимые
складские площади</t>
  </si>
  <si>
    <t>издержки работы в д.е./год</t>
  </si>
  <si>
    <t>/q5</t>
  </si>
  <si>
    <t>1/2*q5</t>
  </si>
  <si>
    <t>-</t>
  </si>
  <si>
    <t>&gt;min</t>
  </si>
  <si>
    <t>управление поставками без
ограничений</t>
  </si>
  <si>
    <t>управление поставками с
ограничениями на складские
площади</t>
  </si>
  <si>
    <t>Полученные объёмы поставок с ограничениями:</t>
  </si>
  <si>
    <t>1 товар</t>
  </si>
  <si>
    <t>2 товар</t>
  </si>
  <si>
    <t>3 товар</t>
  </si>
  <si>
    <t>4 товар</t>
  </si>
  <si>
    <t>5 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</si>
</sst>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Aptos Narrow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CEEF"/>
        <bgColor indexed="64"/>
      </patternFill>
    </fill>
    <fill>
      <patternFill patternType="solid">
        <fgColor rgb="FFCAEDFB"/>
        <bgColor indexed="64"/>
      </patternFill>
    </fill>
    <fill>
      <patternFill patternType="solid">
        <fgColor rgb="FFB8D3E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1"/>
    <xf numFmtId="0" fontId="1" fillId="0" borderId="2" xfId="1" applyBorder="1"/>
    <xf numFmtId="0" fontId="1" fillId="4" borderId="3" xfId="1" applyFill="1" applyBorder="1"/>
    <xf numFmtId="0" fontId="0" fillId="4" borderId="3" xfId="0" applyFill="1" applyBorder="1"/>
    <xf numFmtId="0" fontId="0" fillId="5" borderId="3" xfId="0" quotePrefix="1" applyFill="1" applyBorder="1" applyAlignment="1">
      <alignment horizontal="center" vertical="center"/>
    </xf>
    <xf numFmtId="0" fontId="0" fillId="0" borderId="0" xfId="0" quotePrefix="1"/>
    <xf numFmtId="0" fontId="0" fillId="6" borderId="0" xfId="0" applyFill="1"/>
    <xf numFmtId="0" fontId="0" fillId="7" borderId="3" xfId="0" applyFill="1" applyBorder="1"/>
    <xf numFmtId="0" fontId="0" fillId="4" borderId="3" xfId="0" quotePrefix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4" borderId="0" xfId="0" applyFill="1"/>
    <xf numFmtId="0" fontId="0" fillId="11" borderId="0" xfId="0" applyFill="1"/>
    <xf numFmtId="0" fontId="0" fillId="3" borderId="0" xfId="0" applyFill="1"/>
    <xf numFmtId="0" fontId="0" fillId="11" borderId="3" xfId="0" applyFill="1" applyBorder="1"/>
    <xf numFmtId="0" fontId="0" fillId="11" borderId="3" xfId="0" applyFill="1" applyBorder="1" applyAlignment="1">
      <alignment horizontal="center" vertical="center"/>
    </xf>
    <xf numFmtId="0" fontId="0" fillId="4" borderId="5" xfId="0" applyFill="1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right"/>
    </xf>
    <xf numFmtId="0" fontId="1" fillId="2" borderId="3" xfId="1" applyFill="1" applyBorder="1"/>
    <xf numFmtId="0" fontId="0" fillId="2" borderId="3" xfId="0" applyFill="1" applyBorder="1"/>
    <xf numFmtId="0" fontId="0" fillId="5" borderId="0" xfId="0" applyFill="1" applyAlignment="1"/>
    <xf numFmtId="0" fontId="0" fillId="4" borderId="3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5" borderId="0" xfId="0" applyFill="1"/>
    <xf numFmtId="0" fontId="0" fillId="0" borderId="0" xfId="0" applyBorder="1"/>
    <xf numFmtId="0" fontId="0" fillId="1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3" xfId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0" xfId="0" applyFill="1" applyAlignment="1">
      <alignment horizont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0" fontId="0" fillId="14" borderId="0" xfId="0" applyFill="1" applyAlignment="1">
      <alignment horizontal="center"/>
    </xf>
    <xf numFmtId="0" fontId="0" fillId="4" borderId="0" xfId="0" applyFill="1" applyAlignment="1">
      <alignment horizontal="center" wrapText="1"/>
    </xf>
  </cellXfs>
  <cellStyles count="2">
    <cellStyle name="Обычный" xfId="0" builtinId="0"/>
    <cellStyle name="Обычный 2" xfId="1" xr:uid="{3036859A-B7B6-4F12-AFD0-2918C2F0DBC6}"/>
  </cellStyles>
  <dxfs count="0"/>
  <tableStyles count="0" defaultTableStyle="TableStyleMedium2" defaultPivotStyle="PivotStyleMedium9"/>
  <colors>
    <mruColors>
      <color rgb="FFB8D3EF"/>
      <color rgb="FFCAEDFB"/>
      <color rgb="FFF2CE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104775</xdr:colOff>
      <xdr:row>9</xdr:row>
      <xdr:rowOff>103566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8019170-F432-46A1-AC1A-CC70431F0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4991100" cy="1437066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105</xdr:row>
      <xdr:rowOff>171450</xdr:rowOff>
    </xdr:from>
    <xdr:to>
      <xdr:col>16</xdr:col>
      <xdr:colOff>439851</xdr:colOff>
      <xdr:row>118</xdr:row>
      <xdr:rowOff>80981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0FD25F1-CC91-4085-A9BB-DD83959C9D27}"/>
            </a:ext>
            <a:ext uri="{147F2762-F138-4A5C-976F-8EAC2B608ADB}">
              <a16:predDERef xmlns:a16="http://schemas.microsoft.com/office/drawing/2014/main" pred="{E8019170-F432-46A1-AC1A-CC70431F0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20173950"/>
          <a:ext cx="4726101" cy="23860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31</xdr:row>
      <xdr:rowOff>76200</xdr:rowOff>
    </xdr:from>
    <xdr:to>
      <xdr:col>1</xdr:col>
      <xdr:colOff>347668</xdr:colOff>
      <xdr:row>34</xdr:row>
      <xdr:rowOff>33341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FDC98D4-D264-4762-B8F5-93738E09B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5981700"/>
          <a:ext cx="747718" cy="5286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3</xdr:col>
      <xdr:colOff>328629</xdr:colOff>
      <xdr:row>41</xdr:row>
      <xdr:rowOff>128591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9EBBD6C-996A-4508-8B6C-7CD1F0FFA246}"/>
            </a:ext>
            <a:ext uri="{147F2762-F138-4A5C-976F-8EAC2B608ADB}">
              <a16:predDERef xmlns:a16="http://schemas.microsoft.com/office/drawing/2014/main" pred="{4FDC98D4-D264-4762-B8F5-93738E09B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2157429" cy="509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S150"/>
  <sheetViews>
    <sheetView tabSelected="1" topLeftCell="A9" workbookViewId="0">
      <selection activeCell="A43" sqref="A43:B43"/>
    </sheetView>
  </sheetViews>
  <sheetFormatPr defaultRowHeight="15"/>
  <cols>
    <col min="4" max="4" width="9.28515625" bestFit="1" customWidth="1"/>
  </cols>
  <sheetData>
    <row r="13" spans="1:3">
      <c r="A13" s="1" t="s">
        <v>0</v>
      </c>
      <c r="B13" s="1"/>
    </row>
    <row r="16" spans="1:3">
      <c r="A16" s="39" t="s">
        <v>1</v>
      </c>
      <c r="B16" s="39"/>
      <c r="C16" s="39"/>
    </row>
    <row r="17" spans="1:18">
      <c r="A17" s="2" t="s">
        <v>2</v>
      </c>
    </row>
    <row r="18" spans="1:18">
      <c r="A18" t="s">
        <v>3</v>
      </c>
      <c r="B18">
        <v>16</v>
      </c>
    </row>
    <row r="19" spans="1:18">
      <c r="A19" t="s">
        <v>4</v>
      </c>
      <c r="B19">
        <v>0.1</v>
      </c>
    </row>
    <row r="20" spans="1:18">
      <c r="A20" t="s">
        <v>5</v>
      </c>
      <c r="B20">
        <v>0</v>
      </c>
    </row>
    <row r="21" spans="1:18">
      <c r="A21" t="s">
        <v>6</v>
      </c>
      <c r="B21">
        <v>8</v>
      </c>
    </row>
    <row r="24" spans="1:18">
      <c r="A24" s="3"/>
      <c r="B24" s="3"/>
      <c r="C24" s="4">
        <v>1</v>
      </c>
      <c r="D24" s="3">
        <v>1</v>
      </c>
      <c r="E24" s="3">
        <v>2</v>
      </c>
      <c r="F24" s="3">
        <v>2</v>
      </c>
      <c r="G24" s="3">
        <v>3</v>
      </c>
      <c r="H24" s="3">
        <v>3</v>
      </c>
      <c r="I24" s="3">
        <v>4</v>
      </c>
      <c r="J24" s="3">
        <v>4</v>
      </c>
      <c r="K24" s="4">
        <v>5</v>
      </c>
      <c r="L24" s="4">
        <v>5</v>
      </c>
      <c r="M24" s="4">
        <v>6</v>
      </c>
      <c r="N24" s="4">
        <v>6</v>
      </c>
      <c r="O24" s="4">
        <v>7</v>
      </c>
      <c r="P24" s="4">
        <v>7</v>
      </c>
      <c r="Q24" s="4">
        <v>8</v>
      </c>
      <c r="R24" s="4">
        <v>8</v>
      </c>
    </row>
    <row r="25" spans="1:18">
      <c r="A25" s="40" t="s">
        <v>7</v>
      </c>
      <c r="B25" s="40"/>
      <c r="C25" s="5">
        <v>1</v>
      </c>
      <c r="D25" s="5">
        <v>2</v>
      </c>
      <c r="E25" s="5">
        <v>3</v>
      </c>
      <c r="F25" s="5">
        <v>4</v>
      </c>
      <c r="G25" s="5">
        <v>5</v>
      </c>
      <c r="H25" s="5">
        <v>6</v>
      </c>
      <c r="I25" s="5">
        <v>7</v>
      </c>
      <c r="J25" s="5">
        <v>8</v>
      </c>
      <c r="K25" s="5">
        <v>9</v>
      </c>
      <c r="L25" s="5">
        <v>10</v>
      </c>
      <c r="M25" s="5">
        <v>11</v>
      </c>
      <c r="N25" s="5">
        <v>12</v>
      </c>
      <c r="O25" s="5">
        <v>13</v>
      </c>
      <c r="P25" s="5">
        <v>14</v>
      </c>
      <c r="Q25" s="5">
        <v>15</v>
      </c>
      <c r="R25" s="5">
        <v>16</v>
      </c>
    </row>
    <row r="26" spans="1:18">
      <c r="A26" s="40" t="s">
        <v>8</v>
      </c>
      <c r="B26" s="40"/>
      <c r="C26" s="5">
        <f>$B$20+($B$21-$B$20)/($B$18/2+1)*C24-$B$19/2</f>
        <v>0.8388888888888888</v>
      </c>
      <c r="D26" s="5">
        <f>$B$20+($B$21-$B$20)/($B$18/2+1)*D24+$B$19/2</f>
        <v>0.93888888888888888</v>
      </c>
      <c r="E26" s="5">
        <f t="shared" ref="E26:Q26" si="0">$B$20+($B$21-$B$20)/($B$18/2+1)*E24-$B$19/2</f>
        <v>1.7277777777777776</v>
      </c>
      <c r="F26" s="5">
        <f>$B$20+($B$21-$B$20)/($B$18/2+1)*F24+$B$19/2</f>
        <v>1.8277777777777777</v>
      </c>
      <c r="G26" s="5">
        <f t="shared" si="0"/>
        <v>2.6166666666666667</v>
      </c>
      <c r="H26" s="5">
        <f>$B$20+($B$21-$B$20)/($B$18/2+1)*H24+$B$19/2</f>
        <v>2.7166666666666663</v>
      </c>
      <c r="I26" s="5">
        <f t="shared" si="0"/>
        <v>3.5055555555555555</v>
      </c>
      <c r="J26" s="5">
        <f>$B$20+($B$21-$B$20)/($B$18/2+1)*J24+$B$19/2</f>
        <v>3.6055555555555552</v>
      </c>
      <c r="K26" s="5">
        <f t="shared" si="0"/>
        <v>4.3944444444444448</v>
      </c>
      <c r="L26" s="5">
        <f>$B$20+($B$21-$B$20)/($B$18/2+1)*L24+$B$19/2</f>
        <v>4.4944444444444445</v>
      </c>
      <c r="M26" s="5">
        <f t="shared" si="0"/>
        <v>5.2833333333333332</v>
      </c>
      <c r="N26" s="5">
        <f>$B$20+($B$21-$B$20)/($B$18/2+1)*N24+$B$19/2</f>
        <v>5.3833333333333329</v>
      </c>
      <c r="O26" s="5">
        <f t="shared" si="0"/>
        <v>6.1722222222222216</v>
      </c>
      <c r="P26" s="5">
        <f>$B$20+($B$21-$B$20)/($B$18/2+1)*P24+$B$19/2</f>
        <v>6.2722222222222213</v>
      </c>
      <c r="Q26" s="5">
        <f t="shared" si="0"/>
        <v>7.0611111111111109</v>
      </c>
      <c r="R26" s="5">
        <f>$B$20+($B$21-$B$20)/($B$18/2+1)*R24+$B$19/2</f>
        <v>7.1611111111111105</v>
      </c>
    </row>
    <row r="27" spans="1:18">
      <c r="A27" s="40" t="s">
        <v>9</v>
      </c>
      <c r="B27" s="40"/>
      <c r="C27" s="5">
        <f>POWER(C26,2)-15*C26+14</f>
        <v>2.1204012345679022</v>
      </c>
      <c r="D27" s="5">
        <f t="shared" ref="D27:R27" si="1">POWER(D26,2)-15*D26+14</f>
        <v>0.79817901234567756</v>
      </c>
      <c r="E27" s="5">
        <f t="shared" si="1"/>
        <v>-8.9314506172839501</v>
      </c>
      <c r="F27" s="5">
        <f t="shared" si="1"/>
        <v>-10.075895061728392</v>
      </c>
      <c r="G27" s="5">
        <f t="shared" si="1"/>
        <v>-18.403055555555554</v>
      </c>
      <c r="H27" s="5">
        <f t="shared" si="1"/>
        <v>-19.369722222222215</v>
      </c>
      <c r="I27" s="5">
        <f t="shared" si="1"/>
        <v>-26.294413580246918</v>
      </c>
      <c r="J27" s="5">
        <f t="shared" si="1"/>
        <v>-27.083302469135802</v>
      </c>
      <c r="K27" s="5">
        <f t="shared" si="1"/>
        <v>-32.605524691358028</v>
      </c>
      <c r="L27" s="5">
        <f t="shared" si="1"/>
        <v>-33.216635802469142</v>
      </c>
      <c r="M27" s="5">
        <f t="shared" si="1"/>
        <v>-37.336388888888891</v>
      </c>
      <c r="N27" s="5">
        <f t="shared" si="1"/>
        <v>-37.769722222222228</v>
      </c>
      <c r="O27" s="5">
        <f t="shared" si="1"/>
        <v>-40.487006172839507</v>
      </c>
      <c r="P27" s="5">
        <f t="shared" si="1"/>
        <v>-40.742561728395053</v>
      </c>
      <c r="Q27" s="5">
        <f t="shared" si="1"/>
        <v>-42.05737654320987</v>
      </c>
      <c r="R27" s="21">
        <f t="shared" si="1"/>
        <v>-42.135154320987652</v>
      </c>
    </row>
    <row r="29" spans="1:18">
      <c r="A29" s="66" t="s">
        <v>10</v>
      </c>
      <c r="B29" s="66"/>
      <c r="C29" s="66"/>
      <c r="D29" s="66"/>
      <c r="E29" s="66"/>
      <c r="F29" s="66"/>
      <c r="G29" s="66"/>
      <c r="H29" s="66"/>
      <c r="I29" s="66"/>
      <c r="J29" s="66"/>
      <c r="K29" s="66"/>
    </row>
    <row r="30" spans="1:18">
      <c r="A30" s="41" t="s">
        <v>11</v>
      </c>
      <c r="B30" s="41"/>
      <c r="C30">
        <f>MIN(C27:R27)</f>
        <v>-42.135154320987652</v>
      </c>
    </row>
    <row r="31" spans="1:18">
      <c r="A31" s="37" t="s">
        <v>12</v>
      </c>
      <c r="B31" s="37"/>
      <c r="C31" s="37"/>
      <c r="D31" s="37"/>
    </row>
    <row r="32" spans="1:18">
      <c r="A32" s="23"/>
      <c r="B32" s="23"/>
      <c r="C32" s="23"/>
      <c r="D32" s="23"/>
      <c r="E32" s="23"/>
      <c r="F32" s="23"/>
    </row>
    <row r="35" spans="1:19">
      <c r="A35" s="2" t="s">
        <v>13</v>
      </c>
    </row>
    <row r="36" spans="1:19">
      <c r="A36" t="s">
        <v>3</v>
      </c>
      <c r="B36">
        <v>17</v>
      </c>
      <c r="D36" t="s">
        <v>5</v>
      </c>
      <c r="E36">
        <v>0</v>
      </c>
      <c r="G36" t="s">
        <v>6</v>
      </c>
      <c r="H36">
        <v>8</v>
      </c>
    </row>
    <row r="38" spans="1:19">
      <c r="A38" s="38" t="s">
        <v>7</v>
      </c>
      <c r="B38" s="38"/>
      <c r="C38" s="6">
        <v>1</v>
      </c>
      <c r="D38" s="6">
        <v>2</v>
      </c>
      <c r="E38" s="6">
        <v>3</v>
      </c>
      <c r="F38" s="6">
        <v>4</v>
      </c>
      <c r="G38" s="6">
        <v>5</v>
      </c>
      <c r="H38" s="6">
        <v>6</v>
      </c>
      <c r="I38" s="6">
        <v>7</v>
      </c>
      <c r="J38" s="6">
        <v>8</v>
      </c>
      <c r="K38" s="6">
        <v>9</v>
      </c>
      <c r="L38" s="6">
        <v>10</v>
      </c>
      <c r="M38" s="6">
        <v>11</v>
      </c>
      <c r="N38" s="6">
        <v>12</v>
      </c>
      <c r="O38" s="6">
        <v>13</v>
      </c>
      <c r="P38" s="6">
        <v>14</v>
      </c>
      <c r="Q38" s="6">
        <v>15</v>
      </c>
      <c r="R38" s="6">
        <v>16</v>
      </c>
      <c r="S38" s="6">
        <v>17</v>
      </c>
    </row>
    <row r="39" spans="1:19">
      <c r="A39" s="38" t="s">
        <v>8</v>
      </c>
      <c r="B39" s="38"/>
      <c r="C39" s="6">
        <f>$E$36+($H$36-$E$36)/($B$36+1)*C38</f>
        <v>0.44444444444444442</v>
      </c>
      <c r="D39" s="6">
        <f t="shared" ref="D39:S39" si="2">$E$36+($H$36-$E$36)/($B$36+1)*D38</f>
        <v>0.88888888888888884</v>
      </c>
      <c r="E39" s="6">
        <f t="shared" si="2"/>
        <v>1.3333333333333333</v>
      </c>
      <c r="F39" s="6">
        <f t="shared" si="2"/>
        <v>1.7777777777777777</v>
      </c>
      <c r="G39" s="6">
        <f t="shared" si="2"/>
        <v>2.2222222222222223</v>
      </c>
      <c r="H39" s="6">
        <f t="shared" si="2"/>
        <v>2.6666666666666665</v>
      </c>
      <c r="I39" s="6">
        <f t="shared" si="2"/>
        <v>3.1111111111111107</v>
      </c>
      <c r="J39" s="6">
        <f t="shared" si="2"/>
        <v>3.5555555555555554</v>
      </c>
      <c r="K39" s="6">
        <f t="shared" si="2"/>
        <v>4</v>
      </c>
      <c r="L39" s="6">
        <f t="shared" si="2"/>
        <v>4.4444444444444446</v>
      </c>
      <c r="M39" s="6">
        <f t="shared" si="2"/>
        <v>4.8888888888888884</v>
      </c>
      <c r="N39" s="6">
        <f t="shared" si="2"/>
        <v>5.333333333333333</v>
      </c>
      <c r="O39" s="6">
        <f t="shared" si="2"/>
        <v>5.7777777777777777</v>
      </c>
      <c r="P39" s="6">
        <f t="shared" si="2"/>
        <v>6.2222222222222214</v>
      </c>
      <c r="Q39" s="6">
        <f t="shared" si="2"/>
        <v>6.6666666666666661</v>
      </c>
      <c r="R39" s="6">
        <f t="shared" si="2"/>
        <v>7.1111111111111107</v>
      </c>
      <c r="S39" s="6">
        <f t="shared" si="2"/>
        <v>7.5555555555555554</v>
      </c>
    </row>
    <row r="40" spans="1:19">
      <c r="A40" s="38" t="s">
        <v>9</v>
      </c>
      <c r="B40" s="38"/>
      <c r="C40" s="6">
        <f>POWER(C39,2)-15*C39+14</f>
        <v>7.5308641975308648</v>
      </c>
      <c r="D40" s="6">
        <f t="shared" ref="D40:S40" si="3">POWER(D39,2)-15*D39+14</f>
        <v>1.4567901234567913</v>
      </c>
      <c r="E40" s="6">
        <f t="shared" si="3"/>
        <v>-4.2222222222222214</v>
      </c>
      <c r="F40" s="6">
        <f t="shared" si="3"/>
        <v>-9.5061728395061706</v>
      </c>
      <c r="G40" s="6">
        <f t="shared" si="3"/>
        <v>-14.395061728395063</v>
      </c>
      <c r="H40" s="6">
        <f t="shared" si="3"/>
        <v>-18.888888888888886</v>
      </c>
      <c r="I40" s="6">
        <f t="shared" si="3"/>
        <v>-22.987654320987644</v>
      </c>
      <c r="J40" s="6">
        <f t="shared" si="3"/>
        <v>-26.691358024691354</v>
      </c>
      <c r="K40" s="6">
        <f t="shared" si="3"/>
        <v>-30</v>
      </c>
      <c r="L40" s="6">
        <f t="shared" si="3"/>
        <v>-32.913580246913583</v>
      </c>
      <c r="M40" s="6">
        <f t="shared" si="3"/>
        <v>-35.432098765432102</v>
      </c>
      <c r="N40" s="6">
        <f t="shared" si="3"/>
        <v>-37.555555555555557</v>
      </c>
      <c r="O40" s="6">
        <f t="shared" si="3"/>
        <v>-39.283950617283956</v>
      </c>
      <c r="P40" s="6">
        <f t="shared" si="3"/>
        <v>-40.617283950617278</v>
      </c>
      <c r="Q40" s="6">
        <f t="shared" si="3"/>
        <v>-41.55555555555555</v>
      </c>
      <c r="R40" s="6">
        <f t="shared" si="3"/>
        <v>-42.098765432098759</v>
      </c>
      <c r="S40" s="22">
        <f t="shared" si="3"/>
        <v>-42.246913580246911</v>
      </c>
    </row>
    <row r="42" spans="1:19">
      <c r="A42" s="66" t="s">
        <v>14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</row>
    <row r="43" spans="1:19">
      <c r="A43" s="41" t="s">
        <v>15</v>
      </c>
      <c r="B43" s="41"/>
      <c r="C43">
        <f>MIN(C40:S40)</f>
        <v>-42.246913580246911</v>
      </c>
    </row>
    <row r="44" spans="1:19">
      <c r="A44" s="65" t="s">
        <v>16</v>
      </c>
      <c r="B44" s="65"/>
      <c r="C44" s="65"/>
      <c r="D44" s="65"/>
    </row>
    <row r="45" spans="1:19">
      <c r="A45" s="23"/>
      <c r="B45" s="23"/>
      <c r="C45" s="23"/>
      <c r="D45" s="23"/>
      <c r="E45" s="23"/>
      <c r="F45" s="23"/>
    </row>
    <row r="49" spans="1:9">
      <c r="A49" s="39" t="s">
        <v>17</v>
      </c>
      <c r="B49" s="39"/>
      <c r="C49" s="39"/>
      <c r="D49" s="39"/>
      <c r="F49" t="s">
        <v>3</v>
      </c>
      <c r="G49">
        <v>16</v>
      </c>
    </row>
    <row r="50" spans="1:9">
      <c r="F50" t="s">
        <v>18</v>
      </c>
      <c r="G50">
        <v>0.1</v>
      </c>
    </row>
    <row r="52" spans="1:9">
      <c r="A52" s="42" t="s">
        <v>19</v>
      </c>
      <c r="B52" s="42"/>
      <c r="C52" s="42" t="s">
        <v>20</v>
      </c>
      <c r="D52" s="42" t="s">
        <v>21</v>
      </c>
      <c r="E52" s="42" t="s">
        <v>22</v>
      </c>
      <c r="F52" s="27" t="s">
        <v>23</v>
      </c>
      <c r="G52" s="42" t="s">
        <v>24</v>
      </c>
      <c r="H52" s="42" t="s">
        <v>25</v>
      </c>
      <c r="I52" s="42" t="s">
        <v>26</v>
      </c>
    </row>
    <row r="53" spans="1:9">
      <c r="A53" s="42"/>
      <c r="B53" s="42"/>
      <c r="C53" s="42"/>
      <c r="D53" s="42"/>
      <c r="E53" s="42"/>
      <c r="F53" s="27" t="s">
        <v>27</v>
      </c>
      <c r="G53" s="42"/>
      <c r="H53" s="42"/>
      <c r="I53" s="42"/>
    </row>
    <row r="54" spans="1:9">
      <c r="A54" s="42">
        <v>0</v>
      </c>
      <c r="B54" s="42"/>
      <c r="C54" s="7" t="s">
        <v>28</v>
      </c>
      <c r="D54" s="7" t="s">
        <v>28</v>
      </c>
      <c r="E54" s="7" t="s">
        <v>28</v>
      </c>
      <c r="F54" s="28"/>
      <c r="G54" s="7" t="s">
        <v>28</v>
      </c>
      <c r="H54" s="28">
        <v>0</v>
      </c>
      <c r="I54" s="28">
        <v>8</v>
      </c>
    </row>
    <row r="55" spans="1:9">
      <c r="A55" s="42">
        <v>1</v>
      </c>
      <c r="B55" s="42"/>
      <c r="C55" s="28">
        <f>(H54 + I54) / 2 - $G$50 / 2</f>
        <v>3.95</v>
      </c>
      <c r="D55" s="28">
        <f>(H54 + I54) / 2 + $G$50 / 2</f>
        <v>4.05</v>
      </c>
      <c r="E55" s="28">
        <f>POWER(C55, 2) - 15 * C55 + 14</f>
        <v>-29.647500000000001</v>
      </c>
      <c r="F55" s="28" t="str">
        <f>IF(E55 &lt;= G55, "&lt;=", "&gt;")</f>
        <v>&gt;</v>
      </c>
      <c r="G55" s="28">
        <f>POWER(D55, 2) - 15 * D55 + 14</f>
        <v>-30.347499999999997</v>
      </c>
      <c r="H55" s="28">
        <f>IF(F55 = "&lt;=", H54,C55)</f>
        <v>3.95</v>
      </c>
      <c r="I55" s="28">
        <f>IF(F55 = "&lt;=", D55,I54)</f>
        <v>8</v>
      </c>
    </row>
    <row r="56" spans="1:9">
      <c r="A56" s="42">
        <v>2</v>
      </c>
      <c r="B56" s="42"/>
      <c r="C56" s="28">
        <f t="shared" ref="C56:C61" si="4">(H55 + I55) / 2 - $G$50 / 2</f>
        <v>5.9249999999999998</v>
      </c>
      <c r="D56" s="28">
        <f t="shared" ref="D56:D62" si="5">(H55 + I55) / 2 + $G$50 / 2</f>
        <v>6.0249999999999995</v>
      </c>
      <c r="E56" s="28">
        <f t="shared" ref="E56:E62" si="6">POWER(C56, 2) - 15 * C56 + 14</f>
        <v>-39.769375000000004</v>
      </c>
      <c r="F56" s="28" t="str">
        <f t="shared" ref="F56:F62" si="7">IF(E56 &lt;= G56, "&lt;=", "&gt;")</f>
        <v>&gt;</v>
      </c>
      <c r="G56" s="28">
        <f t="shared" ref="G56:G62" si="8">POWER(D56, 2) - 15 * D56 + 14</f>
        <v>-40.074374999999989</v>
      </c>
      <c r="H56" s="28">
        <f t="shared" ref="H56:H62" si="9">IF(F56 = "&lt;=", H55,C56)</f>
        <v>5.9249999999999998</v>
      </c>
      <c r="I56" s="28">
        <f t="shared" ref="I56:I62" si="10">IF(F56 = "&lt;=", D56,I55)</f>
        <v>8</v>
      </c>
    </row>
    <row r="57" spans="1:9">
      <c r="A57" s="42">
        <v>3</v>
      </c>
      <c r="B57" s="42"/>
      <c r="C57" s="28">
        <f t="shared" si="4"/>
        <v>6.9125000000000005</v>
      </c>
      <c r="D57" s="28">
        <f t="shared" si="5"/>
        <v>7.0125000000000002</v>
      </c>
      <c r="E57" s="28">
        <f t="shared" si="6"/>
        <v>-41.904843750000005</v>
      </c>
      <c r="F57" s="28" t="str">
        <f t="shared" si="7"/>
        <v>&gt;</v>
      </c>
      <c r="G57" s="28">
        <f t="shared" si="8"/>
        <v>-42.012343749999999</v>
      </c>
      <c r="H57" s="28">
        <f t="shared" si="9"/>
        <v>6.9125000000000005</v>
      </c>
      <c r="I57" s="28">
        <f t="shared" si="10"/>
        <v>8</v>
      </c>
    </row>
    <row r="58" spans="1:9">
      <c r="A58" s="42">
        <v>4</v>
      </c>
      <c r="B58" s="42"/>
      <c r="C58" s="28">
        <f t="shared" si="4"/>
        <v>7.4062500000000009</v>
      </c>
      <c r="D58" s="28">
        <f t="shared" si="5"/>
        <v>7.5062500000000005</v>
      </c>
      <c r="E58" s="28">
        <f t="shared" si="6"/>
        <v>-42.2412109375</v>
      </c>
      <c r="F58" s="28" t="str">
        <f t="shared" si="7"/>
        <v>&gt;</v>
      </c>
      <c r="G58" s="28">
        <f t="shared" si="8"/>
        <v>-42.249960937500006</v>
      </c>
      <c r="H58" s="28">
        <f t="shared" si="9"/>
        <v>7.4062500000000009</v>
      </c>
      <c r="I58" s="28">
        <f t="shared" si="10"/>
        <v>8</v>
      </c>
    </row>
    <row r="59" spans="1:9">
      <c r="A59" s="42">
        <v>5</v>
      </c>
      <c r="B59" s="42"/>
      <c r="C59" s="28">
        <f t="shared" si="4"/>
        <v>7.6531250000000002</v>
      </c>
      <c r="D59" s="28">
        <f t="shared" si="5"/>
        <v>7.7531249999999998</v>
      </c>
      <c r="E59" s="28">
        <f t="shared" si="6"/>
        <v>-42.226552734374998</v>
      </c>
      <c r="F59" s="28" t="str">
        <f t="shared" si="7"/>
        <v>&lt;=</v>
      </c>
      <c r="G59" s="28">
        <f t="shared" si="8"/>
        <v>-42.185927734374999</v>
      </c>
      <c r="H59" s="28">
        <f t="shared" si="9"/>
        <v>7.4062500000000009</v>
      </c>
      <c r="I59" s="28">
        <f t="shared" si="10"/>
        <v>7.7531249999999998</v>
      </c>
    </row>
    <row r="60" spans="1:9">
      <c r="A60" s="42">
        <v>6</v>
      </c>
      <c r="B60" s="42"/>
      <c r="C60" s="28">
        <f t="shared" si="4"/>
        <v>7.5296875000000005</v>
      </c>
      <c r="D60" s="28">
        <f t="shared" si="5"/>
        <v>7.6296875000000002</v>
      </c>
      <c r="E60" s="28">
        <f t="shared" si="6"/>
        <v>-42.249118652343753</v>
      </c>
      <c r="F60" s="28" t="str">
        <f t="shared" si="7"/>
        <v>&lt;=</v>
      </c>
      <c r="G60" s="28">
        <f t="shared" si="8"/>
        <v>-42.233181152343747</v>
      </c>
      <c r="H60" s="28">
        <f t="shared" si="9"/>
        <v>7.4062500000000009</v>
      </c>
      <c r="I60" s="28">
        <f t="shared" si="10"/>
        <v>7.6296875000000002</v>
      </c>
    </row>
    <row r="61" spans="1:9">
      <c r="A61" s="42">
        <v>7</v>
      </c>
      <c r="B61" s="42"/>
      <c r="C61" s="28">
        <f t="shared" si="4"/>
        <v>7.4679687500000007</v>
      </c>
      <c r="D61" s="28">
        <f t="shared" si="5"/>
        <v>7.5679687500000004</v>
      </c>
      <c r="E61" s="28">
        <f t="shared" si="6"/>
        <v>-42.248973999023441</v>
      </c>
      <c r="F61" s="28" t="str">
        <f t="shared" si="7"/>
        <v>&lt;=</v>
      </c>
      <c r="G61" s="28">
        <f t="shared" si="8"/>
        <v>-42.245380249023434</v>
      </c>
      <c r="H61" s="28">
        <f t="shared" si="9"/>
        <v>7.4062500000000009</v>
      </c>
      <c r="I61" s="28">
        <f t="shared" si="10"/>
        <v>7.5679687500000004</v>
      </c>
    </row>
    <row r="62" spans="1:9">
      <c r="A62" s="43">
        <v>8</v>
      </c>
      <c r="B62" s="43"/>
      <c r="C62" s="28">
        <f>(H61 + I61) / 2 - $G$50 / 2</f>
        <v>7.4371093750000012</v>
      </c>
      <c r="D62" s="28">
        <f t="shared" si="5"/>
        <v>7.5371093750000009</v>
      </c>
      <c r="E62" s="28">
        <f t="shared" si="6"/>
        <v>-42.246044769287103</v>
      </c>
      <c r="F62" s="28" t="str">
        <f t="shared" si="7"/>
        <v>&gt;</v>
      </c>
      <c r="G62" s="28">
        <f t="shared" si="8"/>
        <v>-42.248622894287109</v>
      </c>
      <c r="H62" s="28">
        <f t="shared" si="9"/>
        <v>7.4371093750000012</v>
      </c>
      <c r="I62" s="28">
        <f t="shared" si="10"/>
        <v>7.5679687500000004</v>
      </c>
    </row>
    <row r="64" spans="1:9">
      <c r="B64" s="20"/>
      <c r="C64" s="20"/>
    </row>
    <row r="65" spans="1:1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</row>
    <row r="68" spans="1:11">
      <c r="A68" t="s">
        <v>29</v>
      </c>
      <c r="B68">
        <f>H62</f>
        <v>7.4371093750000012</v>
      </c>
      <c r="D68" t="s">
        <v>30</v>
      </c>
      <c r="E68">
        <f>POWER(B68, 2) - 15 * B68 + 14</f>
        <v>-42.246044769287103</v>
      </c>
    </row>
    <row r="69" spans="1:11">
      <c r="A69" t="s">
        <v>31</v>
      </c>
      <c r="B69">
        <f>I62</f>
        <v>7.5679687500000004</v>
      </c>
      <c r="D69" t="s">
        <v>32</v>
      </c>
      <c r="E69">
        <f t="shared" ref="E69:E71" si="11">POWER(B69, 2) - 15 * B69 + 14</f>
        <v>-42.245380249023434</v>
      </c>
    </row>
    <row r="70" spans="1:11">
      <c r="A70" t="s">
        <v>33</v>
      </c>
      <c r="B70">
        <f>C61</f>
        <v>7.4679687500000007</v>
      </c>
      <c r="D70" t="s">
        <v>34</v>
      </c>
      <c r="E70">
        <f t="shared" si="11"/>
        <v>-42.248973999023441</v>
      </c>
    </row>
    <row r="71" spans="1:11">
      <c r="A71" t="s">
        <v>35</v>
      </c>
      <c r="B71">
        <f>D62</f>
        <v>7.5371093750000009</v>
      </c>
      <c r="D71" t="s">
        <v>36</v>
      </c>
      <c r="E71">
        <f t="shared" si="11"/>
        <v>-42.248622894287109</v>
      </c>
    </row>
    <row r="73" spans="1:11">
      <c r="C73" s="8"/>
    </row>
    <row r="75" spans="1:11">
      <c r="A75" s="41" t="s">
        <v>37</v>
      </c>
      <c r="B75" s="41"/>
      <c r="C75">
        <f>B70</f>
        <v>7.4679687500000007</v>
      </c>
    </row>
    <row r="76" spans="1:11">
      <c r="A76" s="41" t="s">
        <v>38</v>
      </c>
      <c r="B76" s="41"/>
      <c r="C76">
        <f>MIN(E68:E71)</f>
        <v>-42.248973999023441</v>
      </c>
    </row>
    <row r="78" spans="1:11">
      <c r="A78" s="9" t="s">
        <v>39</v>
      </c>
      <c r="B78" s="9"/>
      <c r="C78" s="9"/>
      <c r="D78" s="9"/>
      <c r="E78" s="9"/>
      <c r="F78" s="9"/>
    </row>
    <row r="82" spans="1:15">
      <c r="A82" s="39" t="s">
        <v>40</v>
      </c>
      <c r="B82" s="39"/>
      <c r="C82" s="39"/>
    </row>
    <row r="84" spans="1:15">
      <c r="A84" t="s">
        <v>41</v>
      </c>
      <c r="B84">
        <v>16</v>
      </c>
      <c r="G84" t="s">
        <v>42</v>
      </c>
      <c r="I84" t="s">
        <v>43</v>
      </c>
      <c r="J84">
        <f>(I89-H89)/O103</f>
        <v>3.0959752321981426E-3</v>
      </c>
      <c r="N84" t="s">
        <v>44</v>
      </c>
    </row>
    <row r="85" spans="1:15">
      <c r="A85" t="s">
        <v>18</v>
      </c>
      <c r="B85">
        <v>3.0000000000000001E-3</v>
      </c>
    </row>
    <row r="86" spans="1:15">
      <c r="N86" s="10">
        <v>0</v>
      </c>
      <c r="O86" s="10">
        <v>1</v>
      </c>
    </row>
    <row r="87" spans="1:15">
      <c r="A87" s="45" t="s">
        <v>19</v>
      </c>
      <c r="B87" s="45"/>
      <c r="C87" s="45" t="s">
        <v>20</v>
      </c>
      <c r="D87" s="45" t="s">
        <v>21</v>
      </c>
      <c r="E87" s="45" t="s">
        <v>22</v>
      </c>
      <c r="F87" s="24" t="s">
        <v>23</v>
      </c>
      <c r="G87" s="45" t="s">
        <v>24</v>
      </c>
      <c r="H87" s="45" t="s">
        <v>25</v>
      </c>
      <c r="I87" s="45" t="s">
        <v>26</v>
      </c>
      <c r="N87" s="10">
        <v>1</v>
      </c>
      <c r="O87" s="10">
        <v>1</v>
      </c>
    </row>
    <row r="88" spans="1:15">
      <c r="A88" s="45"/>
      <c r="B88" s="45"/>
      <c r="C88" s="45"/>
      <c r="D88" s="45"/>
      <c r="E88" s="45"/>
      <c r="F88" s="24" t="s">
        <v>27</v>
      </c>
      <c r="G88" s="45"/>
      <c r="H88" s="45"/>
      <c r="I88" s="45"/>
      <c r="N88" s="10">
        <v>2</v>
      </c>
      <c r="O88" s="10">
        <f>O86+O87</f>
        <v>2</v>
      </c>
    </row>
    <row r="89" spans="1:15">
      <c r="A89" s="45">
        <v>0</v>
      </c>
      <c r="B89" s="45"/>
      <c r="C89" s="11" t="s">
        <v>28</v>
      </c>
      <c r="D89" s="11" t="s">
        <v>28</v>
      </c>
      <c r="E89" s="11" t="s">
        <v>28</v>
      </c>
      <c r="F89" s="25"/>
      <c r="G89" s="11" t="s">
        <v>28</v>
      </c>
      <c r="H89" s="25">
        <v>0</v>
      </c>
      <c r="I89" s="25">
        <v>8</v>
      </c>
      <c r="N89" s="10">
        <v>3</v>
      </c>
      <c r="O89" s="10">
        <f t="shared" ref="O89:O103" si="12">O87+O88</f>
        <v>3</v>
      </c>
    </row>
    <row r="90" spans="1:15">
      <c r="A90" s="45">
        <v>1</v>
      </c>
      <c r="B90" s="45"/>
      <c r="C90" s="12">
        <f>($H89+($O100/$O102)*($I89-$H89)-(POWER(-1,16)/$O102)*$B$85)</f>
        <v>3.0557276142767686</v>
      </c>
      <c r="D90" s="12">
        <f>($H89+($O101/$O102)*($I89-$H89)-(POWER(-1,16)/$O102)*$B$85)</f>
        <v>4.9442686286787723</v>
      </c>
      <c r="E90" s="25">
        <f>POWER(C90,2)-15*C90+14</f>
        <v>-22.498442961497936</v>
      </c>
      <c r="F90" s="25" t="str">
        <f>IF(E90&lt;=G90,"&lt;=","&gt;")</f>
        <v>&gt;</v>
      </c>
      <c r="G90" s="25">
        <f>POWER(D90,2)-15*D90+14</f>
        <v>-35.718237157644523</v>
      </c>
      <c r="H90" s="25">
        <f>IF(F90="&lt;=",H89,C90)</f>
        <v>3.0557276142767686</v>
      </c>
      <c r="I90" s="25">
        <f>IF(F90="&lt;=",D90,I89)</f>
        <v>8</v>
      </c>
      <c r="N90" s="10">
        <v>4</v>
      </c>
      <c r="O90" s="10">
        <f t="shared" si="12"/>
        <v>5</v>
      </c>
    </row>
    <row r="91" spans="1:15">
      <c r="A91" s="45">
        <v>2</v>
      </c>
      <c r="B91" s="45"/>
      <c r="C91" s="31">
        <f>IF(E90&gt;G90,D90,H90+(O99/O101)*(I90-H90)-(POWER(-1,N101)/O101)*$J$84)</f>
        <v>4.9442686286787723</v>
      </c>
      <c r="D91" s="33">
        <f>IF(OR(E90=G90,E90&lt;G90),C90,H90+(O100/O101)*(I90-H90)-(POWER(-1,N101)/O101)*$J$84)</f>
        <v>6.1114614048202371</v>
      </c>
      <c r="E91" s="25">
        <f t="shared" ref="E91:E104" si="13">POWER(C91,2)-15*C91+14</f>
        <v>-35.718237157644523</v>
      </c>
      <c r="F91" s="25" t="str">
        <f t="shared" ref="F91:F104" si="14">IF(E91&lt;=G91,"&lt;=","&gt;")</f>
        <v>&gt;</v>
      </c>
      <c r="G91" s="25">
        <f>POWER(D91,2)-15*D91+14</f>
        <v>-40.321960569696216</v>
      </c>
      <c r="H91" s="25">
        <f>IF(F91="&lt;=",H90,C91)</f>
        <v>4.9442686286787723</v>
      </c>
      <c r="I91" s="25">
        <f>IF(F91="&lt;=",D91,I90)</f>
        <v>8</v>
      </c>
      <c r="N91" s="10">
        <v>5</v>
      </c>
      <c r="O91" s="10">
        <f t="shared" si="12"/>
        <v>8</v>
      </c>
    </row>
    <row r="92" spans="1:15">
      <c r="A92" s="45">
        <v>3</v>
      </c>
      <c r="B92" s="45"/>
      <c r="C92" s="32">
        <f>IF(E91&gt;G91,D91,H91+(O98/O100)*(I91-H91)-(POWER(-1,N100)/O100)*$J$84)</f>
        <v>6.1114614048202371</v>
      </c>
      <c r="D92" s="33">
        <f>IF(OR(E91=G91,E91&lt;G91),C91,H91+(O99/O100)*(I91-H91)-(POWER(-1,N100)/O100)*$J$84)</f>
        <v>6.8328057286998716</v>
      </c>
      <c r="E92" s="25">
        <f t="shared" si="13"/>
        <v>-40.321960569696216</v>
      </c>
      <c r="F92" s="25" t="str">
        <f t="shared" si="14"/>
        <v>&gt;</v>
      </c>
      <c r="G92" s="25">
        <f t="shared" ref="G92:G103" si="15">POWER(D92,2)-15*D92+14</f>
        <v>-41.804851804344295</v>
      </c>
      <c r="H92" s="25">
        <f t="shared" ref="H92:H104" si="16">IF(F92="&lt;=",H91,C92)</f>
        <v>6.1114614048202371</v>
      </c>
      <c r="I92" s="25">
        <f t="shared" ref="I92:I103" si="17">IF(F92="&lt;=",D92,I91)</f>
        <v>8</v>
      </c>
      <c r="N92" s="10">
        <v>6</v>
      </c>
      <c r="O92" s="10">
        <f t="shared" si="12"/>
        <v>13</v>
      </c>
    </row>
    <row r="93" spans="1:15">
      <c r="A93" s="45">
        <v>4</v>
      </c>
      <c r="B93" s="45"/>
      <c r="C93" s="32">
        <f>IF(E92&gt;G92,D92,H92+(O97/O99)*(I92-H92)-(POWER(-1,N99)/O99)*$J$84)</f>
        <v>6.8328057286998716</v>
      </c>
      <c r="D93" s="33">
        <f>IF(OR(E92=G92,E92&lt;G92),C92,H92+(O98/O99)*(I92-H92)-(POWER(-1,N99)/O99)*$J$84)</f>
        <v>7.2786566001839432</v>
      </c>
      <c r="E93" s="25">
        <f t="shared" si="13"/>
        <v>-41.804851804344295</v>
      </c>
      <c r="F93" s="25" t="str">
        <f t="shared" si="14"/>
        <v>&gt;</v>
      </c>
      <c r="G93" s="25">
        <f t="shared" si="15"/>
        <v>-42.201007099357859</v>
      </c>
      <c r="H93" s="25">
        <f t="shared" si="16"/>
        <v>6.8328057286998716</v>
      </c>
      <c r="I93" s="25">
        <f t="shared" si="17"/>
        <v>8</v>
      </c>
      <c r="N93" s="10">
        <v>7</v>
      </c>
      <c r="O93" s="10">
        <f t="shared" si="12"/>
        <v>21</v>
      </c>
    </row>
    <row r="94" spans="1:15">
      <c r="A94" s="45">
        <v>5</v>
      </c>
      <c r="B94" s="45"/>
      <c r="C94" s="32">
        <f>IF(E93&gt;G93,D93,H93+(O96/O98)*(I93-H93)-(POWER(-1,N98)/O98)*$J$84)</f>
        <v>7.2786566001839432</v>
      </c>
      <c r="D94" s="33">
        <f>IF(OR(E93=G93,E93&lt;G93),C93,H93+(O97/O98)*(I93-H93)-(POWER(-1,N98)/O98)*$J$84)</f>
        <v>7.5541485574208425</v>
      </c>
      <c r="E94" s="25">
        <f t="shared" si="13"/>
        <v>-42.201007099357859</v>
      </c>
      <c r="F94" s="25" t="str">
        <f t="shared" si="14"/>
        <v>&gt;</v>
      </c>
      <c r="G94" s="25">
        <f t="shared" si="15"/>
        <v>-42.247067933729241</v>
      </c>
      <c r="H94" s="25">
        <f t="shared" si="16"/>
        <v>7.2786566001839432</v>
      </c>
      <c r="I94" s="25">
        <f t="shared" si="17"/>
        <v>8</v>
      </c>
      <c r="N94" s="10">
        <v>8</v>
      </c>
      <c r="O94" s="10">
        <f t="shared" si="12"/>
        <v>34</v>
      </c>
    </row>
    <row r="95" spans="1:15">
      <c r="A95" s="45">
        <v>6</v>
      </c>
      <c r="B95" s="45"/>
      <c r="C95" s="32">
        <f>IF(E94&gt;G94,D94,H94+(O95/O97)*(I94-H94)-(POWER(-1,N97)/O97)*$J$84)</f>
        <v>7.5541485574208425</v>
      </c>
      <c r="D95" s="33">
        <f>IF(OR(E94=G94,E94&lt;G94),C94,H94+(O96/O97)*(I94-H94)-(POWER(-1,N97)/O97)*$J$84)</f>
        <v>7.7245083957315908</v>
      </c>
      <c r="E95" s="25">
        <f t="shared" si="13"/>
        <v>-42.247067933729241</v>
      </c>
      <c r="F95" s="25" t="str">
        <f t="shared" si="14"/>
        <v>&lt;=</v>
      </c>
      <c r="G95" s="25">
        <f t="shared" si="15"/>
        <v>-42.199595980246031</v>
      </c>
      <c r="H95" s="25">
        <f t="shared" si="16"/>
        <v>7.2786566001839432</v>
      </c>
      <c r="I95" s="25">
        <f t="shared" si="17"/>
        <v>7.7245083957315908</v>
      </c>
      <c r="N95" s="10">
        <v>9</v>
      </c>
      <c r="O95" s="10">
        <f t="shared" si="12"/>
        <v>55</v>
      </c>
    </row>
    <row r="96" spans="1:15">
      <c r="A96" s="45">
        <v>7</v>
      </c>
      <c r="B96" s="45"/>
      <c r="C96" s="12">
        <f>IF(E95&gt;G95,D95,H95+(O94/O96)*(I95-H95)-(POWER(-1,N96)/O96)*$J$84)</f>
        <v>7.4489472189860528</v>
      </c>
      <c r="D96" s="25">
        <f>IF(OR(E95=G95,E95&lt;G95),C95,H95+(O95/O96)*(I95-H95)-(POWER(-1,N96)/O96)*$J$84)</f>
        <v>7.5541485574208425</v>
      </c>
      <c r="E96" s="25">
        <f t="shared" si="13"/>
        <v>-42.247393613550749</v>
      </c>
      <c r="F96" s="25" t="str">
        <f t="shared" si="14"/>
        <v>&lt;=</v>
      </c>
      <c r="G96" s="25">
        <f t="shared" si="15"/>
        <v>-42.247067933729241</v>
      </c>
      <c r="H96" s="25">
        <f t="shared" si="16"/>
        <v>7.2786566001839432</v>
      </c>
      <c r="I96" s="25">
        <f t="shared" si="17"/>
        <v>7.5541485574208425</v>
      </c>
      <c r="N96" s="10">
        <v>10</v>
      </c>
      <c r="O96" s="10">
        <f t="shared" si="12"/>
        <v>89</v>
      </c>
    </row>
    <row r="97" spans="1:15">
      <c r="A97" s="38">
        <v>8</v>
      </c>
      <c r="B97" s="38"/>
      <c r="C97" s="12">
        <f>IF(E96&gt;G96,D96,H96+(O93/O95)*(I96-H96)-(POWER(-1,N95)/O95)*$J$84)</f>
        <v>7.3839007288604357</v>
      </c>
      <c r="D97" s="25">
        <f>IF(OR(E96=G96,E96&lt;G96),C96,H96+(O94/O95)*(I96-H96)-(POWER(-1,N95)/O95)*$J$84)</f>
        <v>7.4489472189860528</v>
      </c>
      <c r="E97" s="25">
        <f t="shared" si="13"/>
        <v>-42.236520959240856</v>
      </c>
      <c r="F97" s="25" t="str">
        <f t="shared" si="14"/>
        <v>&gt;</v>
      </c>
      <c r="G97" s="25">
        <f t="shared" si="15"/>
        <v>-42.247393613550749</v>
      </c>
      <c r="H97" s="25">
        <f t="shared" si="16"/>
        <v>7.3839007288604357</v>
      </c>
      <c r="I97" s="25">
        <f t="shared" si="17"/>
        <v>7.5541485574208425</v>
      </c>
      <c r="N97" s="10">
        <v>11</v>
      </c>
      <c r="O97" s="10">
        <f t="shared" si="12"/>
        <v>144</v>
      </c>
    </row>
    <row r="98" spans="1:15">
      <c r="A98" s="38">
        <v>9</v>
      </c>
      <c r="B98" s="38"/>
      <c r="C98" s="32">
        <f>IF(E97&gt;G97,D97,H97+(O92/O94)*(I97-H97)-(POWER(-1,N94)/O94)*$J$84)</f>
        <v>7.4489472189860528</v>
      </c>
      <c r="D98" s="33">
        <f>IF(OR(E97=G97,E97&lt;G97),C97,H97+(O93/O94)*(I97-H97)-(POWER(-1,N94)/O94)*$J$84)</f>
        <v>7.4889627413467981</v>
      </c>
      <c r="E98" s="25">
        <f t="shared" si="13"/>
        <v>-42.247393613550749</v>
      </c>
      <c r="F98" s="25" t="str">
        <f t="shared" si="14"/>
        <v>&gt;</v>
      </c>
      <c r="G98" s="25">
        <f t="shared" si="15"/>
        <v>-42.249878178921421</v>
      </c>
      <c r="H98" s="25">
        <f t="shared" si="16"/>
        <v>7.4489472189860528</v>
      </c>
      <c r="I98" s="25">
        <f t="shared" si="17"/>
        <v>7.5541485574208425</v>
      </c>
      <c r="N98" s="10">
        <v>12</v>
      </c>
      <c r="O98" s="10">
        <f t="shared" si="12"/>
        <v>233</v>
      </c>
    </row>
    <row r="99" spans="1:15">
      <c r="A99" s="38">
        <v>10</v>
      </c>
      <c r="B99" s="38"/>
      <c r="C99" s="32">
        <f>IF(E98&gt;G98,D98,H98+(O91/O93)*(I98-H98)-(POWER(-1,N93)/O93)*$J$84)</f>
        <v>7.4889627413467981</v>
      </c>
      <c r="D99" s="33">
        <f>IF(OR(E98=G98,E98&lt;G98),C98,H98+(O92/O93)*(I98-H98)-(POWER(-1,N93)/O93)*$J$84)</f>
        <v>7.5142192844567415</v>
      </c>
      <c r="E99" s="25">
        <f t="shared" si="13"/>
        <v>-42.249878178921421</v>
      </c>
      <c r="F99" s="25" t="str">
        <f t="shared" si="14"/>
        <v>&lt;=</v>
      </c>
      <c r="G99" s="25">
        <f t="shared" si="15"/>
        <v>-42.249797811949534</v>
      </c>
      <c r="H99" s="25">
        <f t="shared" si="16"/>
        <v>7.4489472189860528</v>
      </c>
      <c r="I99" s="25">
        <f t="shared" si="17"/>
        <v>7.5142192844567415</v>
      </c>
      <c r="N99" s="10">
        <v>13</v>
      </c>
      <c r="O99" s="10">
        <f t="shared" si="12"/>
        <v>377</v>
      </c>
    </row>
    <row r="100" spans="1:15">
      <c r="A100" s="38">
        <v>11</v>
      </c>
      <c r="B100" s="38"/>
      <c r="C100" s="12">
        <f>IF(E99&gt;G99,D99,H99+(O90/O92)*(I99-H99)-(POWER(-1,N92)/O92)*$J$84)</f>
        <v>7.4738137076107636</v>
      </c>
      <c r="D100" s="25">
        <f>IF(OR(E99=G99,E99&lt;G99),C99,H99+(O91/O92)*(I99-H99)-(POWER(-1,N92)/O92)*$J$84)</f>
        <v>7.4889627413467981</v>
      </c>
      <c r="E100" s="25">
        <f t="shared" si="13"/>
        <v>-42.249314278090907</v>
      </c>
      <c r="F100" s="25" t="str">
        <f t="shared" si="14"/>
        <v>&gt;</v>
      </c>
      <c r="G100" s="25">
        <f t="shared" si="15"/>
        <v>-42.249878178921421</v>
      </c>
      <c r="H100" s="25">
        <f t="shared" si="16"/>
        <v>7.4738137076107636</v>
      </c>
      <c r="I100" s="25">
        <f t="shared" si="17"/>
        <v>7.5142192844567415</v>
      </c>
      <c r="N100" s="10">
        <v>14</v>
      </c>
      <c r="O100" s="10">
        <f t="shared" si="12"/>
        <v>610</v>
      </c>
    </row>
    <row r="101" spans="1:15">
      <c r="A101" s="38">
        <v>12</v>
      </c>
      <c r="B101" s="38"/>
      <c r="C101" s="32">
        <f>IF(E100&gt;G100,D100,H100+(O89/O91)*(I100-H100)-(POWER(-1,N91)/O91)*$J$84)</f>
        <v>7.4889627413467981</v>
      </c>
      <c r="D101" s="33">
        <f>IF(OR(E100=G100,E100&lt;G100),C100,H100+(O90/O91)*(I100-H100)-(POWER(-1,N91)/O91)*$J$84)</f>
        <v>7.499454190043525</v>
      </c>
      <c r="E101" s="25">
        <f t="shared" si="13"/>
        <v>-42.249878178921421</v>
      </c>
      <c r="F101" s="25" t="str">
        <f t="shared" si="14"/>
        <v>&gt;</v>
      </c>
      <c r="G101" s="30">
        <f t="shared" si="15"/>
        <v>-42.249999702091493</v>
      </c>
      <c r="H101" s="25">
        <f t="shared" si="16"/>
        <v>7.4889627413467981</v>
      </c>
      <c r="I101" s="25">
        <f t="shared" si="17"/>
        <v>7.5142192844567415</v>
      </c>
      <c r="N101" s="10">
        <v>15</v>
      </c>
      <c r="O101" s="10">
        <f t="shared" si="12"/>
        <v>987</v>
      </c>
    </row>
    <row r="102" spans="1:15">
      <c r="A102" s="38">
        <v>13</v>
      </c>
      <c r="B102" s="38"/>
      <c r="C102" s="32">
        <f>IF(E101&gt;G101,D101,H101+(O98/O90)*(I101-H101)-(POWER(-1,N90)/O90)*$J$84)</f>
        <v>7.499454190043525</v>
      </c>
      <c r="D102" s="33">
        <f>IF(OR(E101=G101,E101&lt;G101),C101,H101+(O89/O90)*(I101-H101)-(POWER(-1,N90)/O90)*$J$84)</f>
        <v>7.5034974721663241</v>
      </c>
      <c r="E102" s="30">
        <f t="shared" si="13"/>
        <v>-42.249999702091493</v>
      </c>
      <c r="F102" s="25" t="str">
        <f t="shared" si="14"/>
        <v>&lt;=</v>
      </c>
      <c r="G102" s="30">
        <f t="shared" si="15"/>
        <v>-42.249987767688438</v>
      </c>
      <c r="H102" s="25">
        <f t="shared" si="16"/>
        <v>7.4889627413467981</v>
      </c>
      <c r="I102" s="25">
        <f t="shared" si="17"/>
        <v>7.5034974721663241</v>
      </c>
      <c r="N102" s="10">
        <v>16</v>
      </c>
      <c r="O102" s="10">
        <f t="shared" si="12"/>
        <v>1597</v>
      </c>
    </row>
    <row r="103" spans="1:15">
      <c r="A103" s="38">
        <v>14</v>
      </c>
      <c r="B103" s="38"/>
      <c r="C103" s="12">
        <f>IF(E102&gt;G102,D102,H102+(O87/O89)*(I102-H102)-(POWER(-1,N89)/O89)*$J$84)</f>
        <v>7.4948396433640392</v>
      </c>
      <c r="D103" s="25">
        <f>IF(OR(E102=G102,E102&lt;G102),C102,H102+(O88/O89)*(I102-H102)-(POWER(-1,N89)/O89)*$J$84)</f>
        <v>7.499454190043525</v>
      </c>
      <c r="E103" s="30">
        <f t="shared" si="13"/>
        <v>-42.249973370719381</v>
      </c>
      <c r="F103" s="25" t="str">
        <f t="shared" si="14"/>
        <v>&gt;</v>
      </c>
      <c r="G103" s="30">
        <f t="shared" si="15"/>
        <v>-42.249999702091493</v>
      </c>
      <c r="H103" s="25">
        <f t="shared" si="16"/>
        <v>7.4948396433640392</v>
      </c>
      <c r="I103" s="25">
        <f t="shared" si="17"/>
        <v>7.5034974721663241</v>
      </c>
      <c r="N103" s="10">
        <v>17</v>
      </c>
      <c r="O103" s="10">
        <f t="shared" si="12"/>
        <v>2584</v>
      </c>
    </row>
    <row r="104" spans="1:15">
      <c r="A104" s="46">
        <v>15</v>
      </c>
      <c r="B104" s="46"/>
      <c r="C104" s="32">
        <f>IF(E103&gt;G103,D103,H103+(O86/O88)*(I103-H103)-(POWER(-1,N88)/O88)*$J$84)</f>
        <v>7.499454190043525</v>
      </c>
      <c r="D104" s="33">
        <f>IF(OR(E103=G103,E103&lt;G103),C103,H103+(O87/O88)*(I103-H103)-(POWER(-1,N88)/O88)*$J$84)</f>
        <v>7.497620570149083</v>
      </c>
      <c r="E104" s="30">
        <f>POWER(C104,2)-15*C104+14</f>
        <v>-42.249999702091493</v>
      </c>
      <c r="F104" s="25" t="str">
        <f t="shared" si="14"/>
        <v>&lt;=</v>
      </c>
      <c r="G104" s="30">
        <f>POWER(D104,2)-15*D104+14</f>
        <v>-42.249994338313584</v>
      </c>
      <c r="H104" s="25">
        <f t="shared" si="16"/>
        <v>7.4948396433640392</v>
      </c>
      <c r="I104" s="25">
        <f>IF(F104="&lt;=",D104,I103)</f>
        <v>7.497620570149083</v>
      </c>
    </row>
    <row r="108" spans="1:15">
      <c r="A108" s="37" t="s">
        <v>45</v>
      </c>
      <c r="B108" s="37"/>
      <c r="C108" s="37"/>
      <c r="D108" s="37"/>
    </row>
    <row r="120" spans="1:9">
      <c r="A120" s="47" t="s">
        <v>46</v>
      </c>
      <c r="B120" s="47"/>
      <c r="C120" s="47"/>
      <c r="D120" s="47"/>
    </row>
    <row r="122" spans="1:9">
      <c r="D122" s="13" t="s">
        <v>3</v>
      </c>
      <c r="E122" s="13">
        <v>16</v>
      </c>
      <c r="G122" t="s">
        <v>47</v>
      </c>
      <c r="H122">
        <f xml:space="preserve"> (3 - SQRT(5)) /2</f>
        <v>0.3819660112501051</v>
      </c>
    </row>
    <row r="123" spans="1:9">
      <c r="D123" s="13" t="s">
        <v>48</v>
      </c>
      <c r="E123" s="13">
        <v>0.2</v>
      </c>
      <c r="G123" t="s">
        <v>49</v>
      </c>
      <c r="H123">
        <f>1 -H122</f>
        <v>0.6180339887498949</v>
      </c>
    </row>
    <row r="124" spans="1:9">
      <c r="A124" s="45" t="s">
        <v>19</v>
      </c>
      <c r="B124" s="45"/>
      <c r="C124" s="45" t="s">
        <v>20</v>
      </c>
      <c r="D124" s="45" t="s">
        <v>21</v>
      </c>
      <c r="E124" s="45" t="s">
        <v>22</v>
      </c>
      <c r="F124" s="24" t="s">
        <v>23</v>
      </c>
      <c r="G124" s="45" t="s">
        <v>24</v>
      </c>
      <c r="H124" s="45" t="s">
        <v>25</v>
      </c>
      <c r="I124" s="45" t="s">
        <v>26</v>
      </c>
    </row>
    <row r="125" spans="1:9">
      <c r="A125" s="45"/>
      <c r="B125" s="45"/>
      <c r="C125" s="45"/>
      <c r="D125" s="45"/>
      <c r="E125" s="45"/>
      <c r="F125" s="24" t="s">
        <v>27</v>
      </c>
      <c r="G125" s="45"/>
      <c r="H125" s="45"/>
      <c r="I125" s="45"/>
    </row>
    <row r="126" spans="1:9">
      <c r="A126" s="45">
        <v>0</v>
      </c>
      <c r="B126" s="45"/>
      <c r="C126" s="11" t="s">
        <v>28</v>
      </c>
      <c r="D126" s="11" t="s">
        <v>28</v>
      </c>
      <c r="E126" s="11" t="s">
        <v>28</v>
      </c>
      <c r="F126" s="25"/>
      <c r="G126" s="11" t="s">
        <v>28</v>
      </c>
      <c r="H126" s="25">
        <v>0</v>
      </c>
      <c r="I126" s="25">
        <v>8</v>
      </c>
    </row>
    <row r="127" spans="1:9">
      <c r="A127" s="45">
        <v>1</v>
      </c>
      <c r="B127" s="45"/>
      <c r="C127" s="12">
        <f xml:space="preserve"> $H126 + $H122 * ($I126 - $H126)</f>
        <v>3.0557280900008408</v>
      </c>
      <c r="D127" s="12">
        <f xml:space="preserve"> $H126 + $H123 * ($I126 - $H126)</f>
        <v>4.9442719099991592</v>
      </c>
      <c r="E127" s="25">
        <f>POWER(C127, 2) - 15 * C127 + 14</f>
        <v>-22.498447189992426</v>
      </c>
      <c r="F127" s="25" t="str">
        <f>IF(E127 &lt;= G127, "&lt;=", "&gt;")</f>
        <v>&gt;</v>
      </c>
      <c r="G127" s="25">
        <f>POWER(D127, 2) - 15 * D127 + 14</f>
        <v>-35.718253929980655</v>
      </c>
      <c r="H127" s="25">
        <f>IF(F127 = "&lt;=", H126,C127)</f>
        <v>3.0557280900008408</v>
      </c>
      <c r="I127" s="25">
        <f>IF(F127 = "&lt;=", D127,I126)</f>
        <v>8</v>
      </c>
    </row>
    <row r="128" spans="1:9">
      <c r="A128" s="45">
        <v>2</v>
      </c>
      <c r="B128" s="45"/>
      <c r="C128" s="12">
        <f>IF(F127 = "&lt;=", $H127 + $H$122 * ($I127 - $H127), D127)</f>
        <v>4.9442719099991592</v>
      </c>
      <c r="D128" s="25">
        <f>IF(F127 = "&lt;=",C127, $H127 + $H$123 * ($I127 - $H127))</f>
        <v>6.1114561800016824</v>
      </c>
      <c r="E128" s="25">
        <f t="shared" ref="E128:E141" si="18">POWER(C128, 2) - 15 * C128 + 14</f>
        <v>-35.718253929980655</v>
      </c>
      <c r="F128" s="25" t="str">
        <f t="shared" ref="F128:F141" si="19">IF(E128 &lt;= G128, "&lt;=", "&gt;")</f>
        <v>&gt;</v>
      </c>
      <c r="G128" s="25">
        <f t="shared" ref="G128:G141" si="20">POWER(D128, 2) - 15 * D128 + 14</f>
        <v>-40.32194605994448</v>
      </c>
      <c r="H128" s="25">
        <f t="shared" ref="H128:H137" si="21">IF(F128 = "&lt;=", H127,C128)</f>
        <v>4.9442719099991592</v>
      </c>
      <c r="I128" s="25">
        <f t="shared" ref="I128:I139" si="22">IF(F128 = "&lt;=", D128,I127)</f>
        <v>8</v>
      </c>
    </row>
    <row r="129" spans="1:9">
      <c r="A129" s="45">
        <v>3</v>
      </c>
      <c r="B129" s="45"/>
      <c r="C129" s="25">
        <f t="shared" ref="C129:C140" si="23">IF(F128 = "&lt;=", $H128 + $H$122 * ($I128 - $H128), D128)</f>
        <v>6.1114561800016824</v>
      </c>
      <c r="D129" s="12">
        <f t="shared" ref="D129:D141" si="24">IF(F128 = "&lt;=",C128, $H128 + $H$123 * ($I128 - $H128))</f>
        <v>6.8328157299974768</v>
      </c>
      <c r="E129" s="25">
        <f t="shared" si="18"/>
        <v>-40.32194605994448</v>
      </c>
      <c r="F129" s="25" t="str">
        <f t="shared" si="19"/>
        <v>&gt;</v>
      </c>
      <c r="G129" s="25">
        <f t="shared" si="20"/>
        <v>-41.8048651498612</v>
      </c>
      <c r="H129" s="25">
        <f t="shared" si="21"/>
        <v>6.1114561800016824</v>
      </c>
      <c r="I129" s="25">
        <f t="shared" si="22"/>
        <v>8</v>
      </c>
    </row>
    <row r="130" spans="1:9">
      <c r="A130" s="45">
        <v>4</v>
      </c>
      <c r="B130" s="45"/>
      <c r="C130" s="25">
        <f t="shared" si="23"/>
        <v>6.8328157299974768</v>
      </c>
      <c r="D130" s="12">
        <f t="shared" si="24"/>
        <v>7.2786404500042057</v>
      </c>
      <c r="E130" s="25">
        <f t="shared" si="18"/>
        <v>-41.8048651498612</v>
      </c>
      <c r="F130" s="25" t="str">
        <f t="shared" si="19"/>
        <v>&gt;</v>
      </c>
      <c r="G130" s="25">
        <f t="shared" si="20"/>
        <v>-42.200999949625661</v>
      </c>
      <c r="H130" s="25">
        <f t="shared" si="21"/>
        <v>6.8328157299974768</v>
      </c>
      <c r="I130" s="25">
        <f t="shared" si="22"/>
        <v>8</v>
      </c>
    </row>
    <row r="131" spans="1:9">
      <c r="A131" s="45">
        <v>5</v>
      </c>
      <c r="B131" s="45"/>
      <c r="C131" s="12">
        <f t="shared" si="23"/>
        <v>7.2786404500042057</v>
      </c>
      <c r="D131" s="25">
        <f t="shared" si="24"/>
        <v>7.5541752799932702</v>
      </c>
      <c r="E131" s="25">
        <f t="shared" si="18"/>
        <v>-42.200999949625661</v>
      </c>
      <c r="F131" s="25" t="str">
        <f t="shared" si="19"/>
        <v>&gt;</v>
      </c>
      <c r="G131" s="25">
        <f t="shared" si="20"/>
        <v>-42.247065039037651</v>
      </c>
      <c r="H131" s="25">
        <f t="shared" si="21"/>
        <v>7.2786404500042057</v>
      </c>
      <c r="I131" s="25">
        <f t="shared" si="22"/>
        <v>8</v>
      </c>
    </row>
    <row r="132" spans="1:9">
      <c r="A132" s="45">
        <v>6</v>
      </c>
      <c r="B132" s="45"/>
      <c r="C132" s="12">
        <f t="shared" si="23"/>
        <v>7.5541752799932702</v>
      </c>
      <c r="D132" s="25">
        <f t="shared" si="24"/>
        <v>7.7244651700109355</v>
      </c>
      <c r="E132" s="25">
        <f t="shared" si="18"/>
        <v>-42.247065039037651</v>
      </c>
      <c r="F132" s="25" t="str">
        <f t="shared" si="19"/>
        <v>&lt;=</v>
      </c>
      <c r="G132" s="25">
        <f t="shared" si="20"/>
        <v>-42.199615387451971</v>
      </c>
      <c r="H132" s="25">
        <f t="shared" si="21"/>
        <v>7.2786404500042057</v>
      </c>
      <c r="I132" s="25">
        <f t="shared" si="22"/>
        <v>7.7244651700109355</v>
      </c>
    </row>
    <row r="133" spans="1:9">
      <c r="A133" s="45">
        <v>7</v>
      </c>
      <c r="B133" s="45"/>
      <c r="C133" s="25">
        <f t="shared" si="23"/>
        <v>7.4489303400218709</v>
      </c>
      <c r="D133" s="12">
        <f t="shared" si="24"/>
        <v>7.5541752799932702</v>
      </c>
      <c r="E133" s="25">
        <f t="shared" si="18"/>
        <v>-42.247391889829714</v>
      </c>
      <c r="F133" s="25" t="str">
        <f t="shared" si="19"/>
        <v>&lt;=</v>
      </c>
      <c r="G133" s="25">
        <f t="shared" si="20"/>
        <v>-42.247065039037651</v>
      </c>
      <c r="H133" s="25">
        <f t="shared" si="21"/>
        <v>7.2786404500042057</v>
      </c>
      <c r="I133" s="25">
        <f t="shared" si="22"/>
        <v>7.5541752799932702</v>
      </c>
    </row>
    <row r="134" spans="1:9">
      <c r="A134" s="38">
        <v>8</v>
      </c>
      <c r="B134" s="38"/>
      <c r="C134" s="12">
        <f t="shared" si="23"/>
        <v>7.3838853899756041</v>
      </c>
      <c r="D134" s="25">
        <f t="shared" si="24"/>
        <v>7.4489303400218709</v>
      </c>
      <c r="E134" s="25">
        <f t="shared" si="18"/>
        <v>-42.236517397338886</v>
      </c>
      <c r="F134" s="25" t="str">
        <f t="shared" si="19"/>
        <v>&gt;</v>
      </c>
      <c r="G134" s="25">
        <f t="shared" si="20"/>
        <v>-42.247391889829714</v>
      </c>
      <c r="H134" s="25">
        <f t="shared" si="21"/>
        <v>7.3838853899756041</v>
      </c>
      <c r="I134" s="25">
        <f t="shared" si="22"/>
        <v>7.5541752799932702</v>
      </c>
    </row>
    <row r="135" spans="1:9">
      <c r="A135" s="38">
        <v>9</v>
      </c>
      <c r="B135" s="38"/>
      <c r="C135" s="25">
        <f t="shared" si="23"/>
        <v>7.4489303400218709</v>
      </c>
      <c r="D135" s="12">
        <f t="shared" si="24"/>
        <v>7.4891303299470033</v>
      </c>
      <c r="E135" s="25">
        <f t="shared" si="18"/>
        <v>-42.247391889829714</v>
      </c>
      <c r="F135" s="25" t="str">
        <f t="shared" si="19"/>
        <v>&gt;</v>
      </c>
      <c r="G135" s="25">
        <f t="shared" si="20"/>
        <v>-42.249881850272942</v>
      </c>
      <c r="H135" s="25">
        <f t="shared" si="21"/>
        <v>7.4489303400218709</v>
      </c>
      <c r="I135" s="25">
        <f t="shared" si="22"/>
        <v>7.5541752799932702</v>
      </c>
    </row>
    <row r="136" spans="1:9">
      <c r="A136" s="38">
        <v>10</v>
      </c>
      <c r="B136" s="38"/>
      <c r="C136" s="12">
        <f t="shared" si="23"/>
        <v>7.4891303299470033</v>
      </c>
      <c r="D136" s="25">
        <f t="shared" si="24"/>
        <v>7.5139752900681378</v>
      </c>
      <c r="E136" s="25">
        <f t="shared" si="18"/>
        <v>-42.249881850272942</v>
      </c>
      <c r="F136" s="25" t="str">
        <f t="shared" si="19"/>
        <v>&lt;=</v>
      </c>
      <c r="G136" s="25">
        <f t="shared" si="20"/>
        <v>-42.249804691267521</v>
      </c>
      <c r="H136" s="25">
        <f t="shared" si="21"/>
        <v>7.4489303400218709</v>
      </c>
      <c r="I136" s="25">
        <f t="shared" si="22"/>
        <v>7.5139752900681378</v>
      </c>
    </row>
    <row r="137" spans="1:9">
      <c r="A137" s="38">
        <v>11</v>
      </c>
      <c r="B137" s="38"/>
      <c r="C137" s="25">
        <f t="shared" si="23"/>
        <v>7.4737753001430054</v>
      </c>
      <c r="D137" s="12">
        <f t="shared" si="24"/>
        <v>7.4891303299470033</v>
      </c>
      <c r="E137" s="25">
        <f t="shared" si="18"/>
        <v>-42.24931226511741</v>
      </c>
      <c r="F137" s="25" t="str">
        <f t="shared" si="19"/>
        <v>&gt;</v>
      </c>
      <c r="G137" s="25">
        <f t="shared" si="20"/>
        <v>-42.249881850272942</v>
      </c>
      <c r="H137" s="25">
        <f t="shared" si="21"/>
        <v>7.4737753001430054</v>
      </c>
      <c r="I137" s="25">
        <f t="shared" si="22"/>
        <v>7.5139752900681378</v>
      </c>
    </row>
    <row r="138" spans="1:9">
      <c r="A138" s="38">
        <v>12</v>
      </c>
      <c r="B138" s="38"/>
      <c r="C138" s="12">
        <f t="shared" si="23"/>
        <v>7.4891303299470033</v>
      </c>
      <c r="D138" s="25">
        <f t="shared" si="24"/>
        <v>7.4986202602641407</v>
      </c>
      <c r="E138" s="25">
        <f t="shared" si="18"/>
        <v>-42.249881850272942</v>
      </c>
      <c r="F138" s="25" t="str">
        <f t="shared" si="19"/>
        <v>&gt;</v>
      </c>
      <c r="G138" s="25">
        <f t="shared" si="20"/>
        <v>-42.249998096318258</v>
      </c>
      <c r="H138" s="25">
        <f>IF(F138 = "&lt;=", H137,C138)</f>
        <v>7.4891303299470033</v>
      </c>
      <c r="I138" s="25">
        <f t="shared" si="22"/>
        <v>7.5139752900681378</v>
      </c>
    </row>
    <row r="139" spans="1:9">
      <c r="A139" s="38">
        <v>13</v>
      </c>
      <c r="B139" s="38"/>
      <c r="C139" s="25">
        <f t="shared" si="23"/>
        <v>7.4986202602641407</v>
      </c>
      <c r="D139" s="12">
        <f t="shared" si="24"/>
        <v>7.5044853597510004</v>
      </c>
      <c r="E139" s="25">
        <f t="shared" si="18"/>
        <v>-42.249998096318258</v>
      </c>
      <c r="F139" s="25" t="str">
        <f t="shared" si="19"/>
        <v>&lt;=</v>
      </c>
      <c r="G139" s="25">
        <f t="shared" si="20"/>
        <v>-42.249979881547901</v>
      </c>
      <c r="H139" s="25">
        <f t="shared" ref="H139:H140" si="25">IF(F139 = "&lt;=", H138,C139)</f>
        <v>7.4891303299470033</v>
      </c>
      <c r="I139" s="25">
        <f t="shared" si="22"/>
        <v>7.5044853597510004</v>
      </c>
    </row>
    <row r="140" spans="1:9">
      <c r="A140" s="38">
        <v>14</v>
      </c>
      <c r="B140" s="38"/>
      <c r="C140" s="12">
        <f t="shared" si="23"/>
        <v>7.494995429433863</v>
      </c>
      <c r="D140" s="25">
        <f t="shared" si="24"/>
        <v>7.4986202602641407</v>
      </c>
      <c r="E140" s="25">
        <f t="shared" si="18"/>
        <v>-42.249974954273455</v>
      </c>
      <c r="F140" s="25" t="str">
        <f t="shared" si="19"/>
        <v>&gt;</v>
      </c>
      <c r="G140" s="25">
        <f t="shared" si="20"/>
        <v>-42.249998096318258</v>
      </c>
      <c r="H140" s="25">
        <f t="shared" si="25"/>
        <v>7.494995429433863</v>
      </c>
      <c r="I140" s="25">
        <f>IF(F140 = "&lt;=", D140,I139)</f>
        <v>7.5044853597510004</v>
      </c>
    </row>
    <row r="141" spans="1:9">
      <c r="A141" s="38">
        <v>15</v>
      </c>
      <c r="B141" s="38"/>
      <c r="C141" s="25">
        <f>IF(F140 = "&lt;=", $H140 + $H$122 * ($I140 - $H140), D140)</f>
        <v>7.4986202602641407</v>
      </c>
      <c r="D141" s="12">
        <f t="shared" si="24"/>
        <v>7.5008605289207217</v>
      </c>
      <c r="E141" s="25">
        <f t="shared" si="18"/>
        <v>-42.249998096318258</v>
      </c>
      <c r="F141" s="25" t="str">
        <f t="shared" si="19"/>
        <v>&gt;</v>
      </c>
      <c r="G141" s="25">
        <f t="shared" si="20"/>
        <v>-42.249999259489975</v>
      </c>
      <c r="H141" s="25">
        <f>IF(F141 = "&lt;=", H140,C141)</f>
        <v>7.4986202602641407</v>
      </c>
      <c r="I141" s="25">
        <f t="shared" ref="I141" si="26">IF(F141 = "&lt;=", D141,I140)</f>
        <v>7.5044853597510004</v>
      </c>
    </row>
    <row r="144" spans="1:9">
      <c r="A144" s="36" t="s">
        <v>50</v>
      </c>
      <c r="B144" s="36"/>
      <c r="C144" s="36"/>
      <c r="D144" s="36"/>
    </row>
    <row r="147" spans="1:1">
      <c r="A147" s="14" t="s">
        <v>51</v>
      </c>
    </row>
    <row r="149" spans="1:1">
      <c r="A149" t="s">
        <v>52</v>
      </c>
    </row>
    <row r="150" spans="1:1">
      <c r="A150" t="s">
        <v>53</v>
      </c>
    </row>
  </sheetData>
  <mergeCells count="83">
    <mergeCell ref="A31:D31"/>
    <mergeCell ref="A44:D44"/>
    <mergeCell ref="A29:K29"/>
    <mergeCell ref="A42:K42"/>
    <mergeCell ref="A140:B140"/>
    <mergeCell ref="A141:B141"/>
    <mergeCell ref="A134:B134"/>
    <mergeCell ref="A135:B135"/>
    <mergeCell ref="A136:B136"/>
    <mergeCell ref="A137:B137"/>
    <mergeCell ref="A138:B138"/>
    <mergeCell ref="A139:B139"/>
    <mergeCell ref="A133:B133"/>
    <mergeCell ref="E124:E125"/>
    <mergeCell ref="G124:G125"/>
    <mergeCell ref="H124:H125"/>
    <mergeCell ref="I124:I125"/>
    <mergeCell ref="A126:B126"/>
    <mergeCell ref="A127:B127"/>
    <mergeCell ref="A124:B125"/>
    <mergeCell ref="C124:C125"/>
    <mergeCell ref="D124:D125"/>
    <mergeCell ref="A128:B128"/>
    <mergeCell ref="A129:B129"/>
    <mergeCell ref="A130:B130"/>
    <mergeCell ref="A131:B131"/>
    <mergeCell ref="A132:B132"/>
    <mergeCell ref="A101:B101"/>
    <mergeCell ref="A102:B102"/>
    <mergeCell ref="A103:B103"/>
    <mergeCell ref="A104:B104"/>
    <mergeCell ref="A120:D120"/>
    <mergeCell ref="A100:B100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60:B60"/>
    <mergeCell ref="A61:B61"/>
    <mergeCell ref="A65:K65"/>
    <mergeCell ref="A82:C82"/>
    <mergeCell ref="A87:B88"/>
    <mergeCell ref="C87:C88"/>
    <mergeCell ref="D87:D88"/>
    <mergeCell ref="E87:E88"/>
    <mergeCell ref="G87:G88"/>
    <mergeCell ref="H87:H88"/>
    <mergeCell ref="I87:I88"/>
    <mergeCell ref="A75:B75"/>
    <mergeCell ref="A76:B76"/>
    <mergeCell ref="A56:B56"/>
    <mergeCell ref="E52:E53"/>
    <mergeCell ref="A57:B57"/>
    <mergeCell ref="A58:B58"/>
    <mergeCell ref="A59:B59"/>
    <mergeCell ref="G52:G53"/>
    <mergeCell ref="H52:H53"/>
    <mergeCell ref="I52:I53"/>
    <mergeCell ref="A54:B54"/>
    <mergeCell ref="A55:B55"/>
    <mergeCell ref="A144:D144"/>
    <mergeCell ref="A108:D108"/>
    <mergeCell ref="A39:B39"/>
    <mergeCell ref="A16:C16"/>
    <mergeCell ref="A25:B25"/>
    <mergeCell ref="A26:B26"/>
    <mergeCell ref="A27:B27"/>
    <mergeCell ref="A38:B38"/>
    <mergeCell ref="A30:B30"/>
    <mergeCell ref="A40:B40"/>
    <mergeCell ref="A49:D49"/>
    <mergeCell ref="A52:B53"/>
    <mergeCell ref="C52:C53"/>
    <mergeCell ref="D52:D53"/>
    <mergeCell ref="A43:B43"/>
    <mergeCell ref="A62:B6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534C-444B-422B-A418-75A77A69F735}">
  <dimension ref="A4:X69"/>
  <sheetViews>
    <sheetView topLeftCell="A20" workbookViewId="0">
      <selection activeCell="L61" sqref="L61"/>
    </sheetView>
  </sheetViews>
  <sheetFormatPr defaultRowHeight="15"/>
  <cols>
    <col min="6" max="6" width="9.28515625" bestFit="1" customWidth="1"/>
  </cols>
  <sheetData>
    <row r="4" spans="1:10">
      <c r="A4" s="29" t="s">
        <v>54</v>
      </c>
      <c r="B4" s="29" t="s">
        <v>55</v>
      </c>
      <c r="C4" s="29">
        <v>1</v>
      </c>
      <c r="D4" s="29">
        <v>2</v>
      </c>
      <c r="E4" s="29">
        <v>3</v>
      </c>
      <c r="F4" s="29">
        <v>4</v>
      </c>
      <c r="G4" s="29">
        <v>5</v>
      </c>
    </row>
    <row r="5" spans="1:10">
      <c r="A5" s="52">
        <v>1350</v>
      </c>
      <c r="B5" s="29" t="s">
        <v>56</v>
      </c>
      <c r="C5" s="29">
        <v>5000</v>
      </c>
      <c r="D5" s="29">
        <v>7000</v>
      </c>
      <c r="E5" s="29">
        <v>2000</v>
      </c>
      <c r="F5" s="29">
        <v>200</v>
      </c>
      <c r="G5" s="29">
        <v>800</v>
      </c>
    </row>
    <row r="6" spans="1:10">
      <c r="A6" s="52"/>
      <c r="B6" s="29" t="s">
        <v>57</v>
      </c>
      <c r="C6" s="29">
        <v>6</v>
      </c>
      <c r="D6" s="29">
        <v>110</v>
      </c>
      <c r="E6" s="29">
        <v>7</v>
      </c>
      <c r="F6" s="29">
        <v>5</v>
      </c>
      <c r="G6" s="29">
        <v>4</v>
      </c>
    </row>
    <row r="7" spans="1:10">
      <c r="A7" s="52"/>
      <c r="B7" s="29" t="s">
        <v>58</v>
      </c>
      <c r="C7" s="29">
        <v>15</v>
      </c>
      <c r="D7" s="29">
        <v>8</v>
      </c>
      <c r="E7" s="29">
        <v>20</v>
      </c>
      <c r="F7" s="29">
        <v>4</v>
      </c>
      <c r="G7" s="29">
        <v>8</v>
      </c>
    </row>
    <row r="8" spans="1:10">
      <c r="A8" s="52"/>
      <c r="B8" s="29" t="s">
        <v>59</v>
      </c>
      <c r="C8" s="29">
        <v>10</v>
      </c>
      <c r="D8" s="29">
        <v>5</v>
      </c>
      <c r="E8" s="29">
        <v>2</v>
      </c>
      <c r="F8" s="29">
        <v>3</v>
      </c>
      <c r="G8" s="29">
        <v>4</v>
      </c>
    </row>
    <row r="11" spans="1:10">
      <c r="A11" s="39" t="s">
        <v>60</v>
      </c>
      <c r="B11" s="39"/>
      <c r="C11" s="39"/>
      <c r="D11" s="39"/>
      <c r="E11" s="39"/>
      <c r="F11" s="39"/>
    </row>
    <row r="13" spans="1:10">
      <c r="A13" s="16" t="s">
        <v>55</v>
      </c>
      <c r="B13" s="17" t="s">
        <v>56</v>
      </c>
      <c r="C13" s="16" t="s">
        <v>57</v>
      </c>
      <c r="D13" s="16" t="s">
        <v>58</v>
      </c>
      <c r="E13" s="16" t="s">
        <v>61</v>
      </c>
      <c r="F13" s="16" t="s">
        <v>62</v>
      </c>
      <c r="G13" s="16" t="s">
        <v>63</v>
      </c>
      <c r="H13" s="16" t="s">
        <v>64</v>
      </c>
      <c r="I13" s="16" t="s">
        <v>65</v>
      </c>
      <c r="J13" s="16" t="s">
        <v>66</v>
      </c>
    </row>
    <row r="14" spans="1:10">
      <c r="A14" s="16">
        <v>1</v>
      </c>
      <c r="B14" s="16">
        <v>5000</v>
      </c>
      <c r="C14" s="16">
        <v>6</v>
      </c>
      <c r="D14" s="16">
        <v>15</v>
      </c>
      <c r="E14" s="16">
        <v>10</v>
      </c>
      <c r="F14" s="16">
        <f>SQRT((2 * C14 * B14) / D14)</f>
        <v>63.245553203367585</v>
      </c>
      <c r="G14" s="16">
        <f xml:space="preserve"> C14 * B14 / F14</f>
        <v>474.34164902525691</v>
      </c>
      <c r="H14" s="16">
        <f xml:space="preserve"> D14 * F14</f>
        <v>948.68329805051383</v>
      </c>
      <c r="I14" s="16">
        <f xml:space="preserve"> E14 * F14</f>
        <v>632.45553203367581</v>
      </c>
      <c r="J14" s="16">
        <f xml:space="preserve"> G14 + 1/2 * H14</f>
        <v>948.68329805051383</v>
      </c>
    </row>
    <row r="15" spans="1:10">
      <c r="A15" s="16">
        <v>2</v>
      </c>
      <c r="B15" s="16">
        <v>7000</v>
      </c>
      <c r="C15" s="16">
        <v>110</v>
      </c>
      <c r="D15" s="16">
        <v>8</v>
      </c>
      <c r="E15" s="16">
        <v>5</v>
      </c>
      <c r="F15" s="16">
        <f t="shared" ref="F15:F17" si="0">SQRT((2 * C15 * B15) / D15)</f>
        <v>438.74821936960609</v>
      </c>
      <c r="G15" s="16">
        <f t="shared" ref="G15:G18" si="1" xml:space="preserve"> C15 * B15 / F15</f>
        <v>1754.9928774784244</v>
      </c>
      <c r="H15" s="16">
        <f t="shared" ref="H15:H18" si="2" xml:space="preserve"> D15 * F15</f>
        <v>3509.9857549568487</v>
      </c>
      <c r="I15" s="16">
        <f t="shared" ref="I15:I18" si="3" xml:space="preserve"> E15 * F15</f>
        <v>2193.7410968480303</v>
      </c>
      <c r="J15" s="16">
        <f t="shared" ref="J15:J18" si="4" xml:space="preserve"> G15 + 1/2 * H15</f>
        <v>3509.9857549568487</v>
      </c>
    </row>
    <row r="16" spans="1:10">
      <c r="A16" s="16">
        <v>3</v>
      </c>
      <c r="B16" s="16">
        <v>2000</v>
      </c>
      <c r="C16" s="16">
        <v>7</v>
      </c>
      <c r="D16" s="16">
        <v>20</v>
      </c>
      <c r="E16" s="16">
        <v>2</v>
      </c>
      <c r="F16" s="16">
        <f t="shared" si="0"/>
        <v>37.416573867739416</v>
      </c>
      <c r="G16" s="16">
        <f t="shared" si="1"/>
        <v>374.16573867739413</v>
      </c>
      <c r="H16" s="16">
        <f t="shared" si="2"/>
        <v>748.33147735478838</v>
      </c>
      <c r="I16" s="16">
        <f t="shared" si="3"/>
        <v>74.833147735478832</v>
      </c>
      <c r="J16" s="16">
        <f t="shared" si="4"/>
        <v>748.33147735478838</v>
      </c>
    </row>
    <row r="17" spans="1:10">
      <c r="A17" s="16">
        <v>4</v>
      </c>
      <c r="B17" s="16">
        <v>200</v>
      </c>
      <c r="C17" s="16">
        <v>5</v>
      </c>
      <c r="D17" s="16">
        <v>4</v>
      </c>
      <c r="E17" s="16">
        <v>3</v>
      </c>
      <c r="F17" s="16">
        <f t="shared" si="0"/>
        <v>22.360679774997898</v>
      </c>
      <c r="G17" s="16">
        <f t="shared" si="1"/>
        <v>44.721359549995789</v>
      </c>
      <c r="H17" s="16">
        <f t="shared" si="2"/>
        <v>89.442719099991592</v>
      </c>
      <c r="I17" s="16">
        <f t="shared" si="3"/>
        <v>67.082039324993701</v>
      </c>
      <c r="J17" s="16">
        <f t="shared" si="4"/>
        <v>89.442719099991592</v>
      </c>
    </row>
    <row r="18" spans="1:10">
      <c r="A18" s="16">
        <v>5</v>
      </c>
      <c r="B18" s="16">
        <v>800</v>
      </c>
      <c r="C18" s="16">
        <v>4</v>
      </c>
      <c r="D18" s="16">
        <v>8</v>
      </c>
      <c r="E18" s="16">
        <v>4</v>
      </c>
      <c r="F18" s="16">
        <f>SQRT((2 * C18 * B18) / D18)</f>
        <v>28.284271247461902</v>
      </c>
      <c r="G18" s="16">
        <f t="shared" si="1"/>
        <v>113.13708498984759</v>
      </c>
      <c r="H18" s="16">
        <f t="shared" si="2"/>
        <v>226.27416997969522</v>
      </c>
      <c r="I18" s="16">
        <f t="shared" si="3"/>
        <v>113.13708498984761</v>
      </c>
      <c r="J18" s="16">
        <f t="shared" si="4"/>
        <v>226.27416997969522</v>
      </c>
    </row>
    <row r="19" spans="1:10">
      <c r="G19" s="18">
        <f t="shared" ref="G19:H19" si="5">SUM(G14:G18)</f>
        <v>2761.3587097209188</v>
      </c>
      <c r="H19" s="18">
        <f t="shared" si="5"/>
        <v>5522.7174194418376</v>
      </c>
      <c r="I19" s="18">
        <f>SUM(I14:I18)</f>
        <v>3081.2489009320261</v>
      </c>
      <c r="J19" s="18">
        <f>SUM(J14:J18)</f>
        <v>5522.7174194418376</v>
      </c>
    </row>
    <row r="20" spans="1:10">
      <c r="A20" s="19" t="s">
        <v>67</v>
      </c>
      <c r="B20">
        <f>SUM(J14:J18)</f>
        <v>5522.7174194418376</v>
      </c>
    </row>
    <row r="21" spans="1:10">
      <c r="A21" s="19" t="s">
        <v>68</v>
      </c>
      <c r="B21">
        <v>1350</v>
      </c>
    </row>
    <row r="25" spans="1:10">
      <c r="A25" s="15" t="s">
        <v>69</v>
      </c>
      <c r="B25" s="15"/>
      <c r="C25" s="15"/>
      <c r="D25" s="15"/>
      <c r="E25" s="15"/>
      <c r="F25" s="15"/>
    </row>
    <row r="28" spans="1:10">
      <c r="A28" t="s">
        <v>70</v>
      </c>
    </row>
    <row r="29" spans="1:10">
      <c r="A29" t="s">
        <v>71</v>
      </c>
    </row>
    <row r="30" spans="1:10">
      <c r="A30" t="s">
        <v>72</v>
      </c>
    </row>
    <row r="31" spans="1:10">
      <c r="A31" t="s">
        <v>73</v>
      </c>
    </row>
    <row r="33" spans="1:10">
      <c r="C33">
        <f xml:space="preserve"> SUM(I14:I18)</f>
        <v>3081.2489009320261</v>
      </c>
    </row>
    <row r="36" spans="1:10">
      <c r="A36" t="s">
        <v>74</v>
      </c>
    </row>
    <row r="37" spans="1:10">
      <c r="A37" t="s">
        <v>75</v>
      </c>
    </row>
    <row r="38" spans="1:10">
      <c r="A38" t="s">
        <v>76</v>
      </c>
    </row>
    <row r="45" spans="1:10">
      <c r="A45" s="16" t="s">
        <v>55</v>
      </c>
      <c r="B45" s="17" t="s">
        <v>56</v>
      </c>
      <c r="C45" s="16" t="s">
        <v>57</v>
      </c>
      <c r="D45" s="16" t="s">
        <v>58</v>
      </c>
      <c r="E45" s="16" t="s">
        <v>61</v>
      </c>
      <c r="F45" s="16" t="s">
        <v>62</v>
      </c>
      <c r="G45" s="16" t="s">
        <v>63</v>
      </c>
      <c r="H45" s="16" t="s">
        <v>64</v>
      </c>
      <c r="I45" s="16" t="s">
        <v>65</v>
      </c>
      <c r="J45" s="16" t="s">
        <v>66</v>
      </c>
    </row>
    <row r="46" spans="1:10">
      <c r="A46" s="16">
        <v>1</v>
      </c>
      <c r="B46" s="16">
        <v>5000</v>
      </c>
      <c r="C46" s="16">
        <v>6</v>
      </c>
      <c r="D46" s="16">
        <v>15</v>
      </c>
      <c r="E46" s="16">
        <v>10</v>
      </c>
      <c r="F46" s="16">
        <v>26.58239837</v>
      </c>
      <c r="G46" s="16">
        <f xml:space="preserve"> C46 * B46 / F46</f>
        <v>1128.5663386136366</v>
      </c>
      <c r="H46" s="16">
        <f xml:space="preserve"> D46 * F46</f>
        <v>398.73597554999998</v>
      </c>
      <c r="I46" s="16">
        <f xml:space="preserve"> E46 * F46</f>
        <v>265.82398369999999</v>
      </c>
      <c r="J46" s="16">
        <f xml:space="preserve"> G46 + 1/2 * H46</f>
        <v>1327.9343263886367</v>
      </c>
    </row>
    <row r="47" spans="1:10">
      <c r="A47" s="16">
        <v>2</v>
      </c>
      <c r="B47" s="16">
        <v>7000</v>
      </c>
      <c r="C47" s="16">
        <v>110</v>
      </c>
      <c r="D47" s="16">
        <v>8</v>
      </c>
      <c r="E47" s="16">
        <v>5</v>
      </c>
      <c r="F47" s="16">
        <v>189.31049756284301</v>
      </c>
      <c r="G47" s="16">
        <f t="shared" ref="G47:G50" si="6" xml:space="preserve"> C47 * B47 / F47</f>
        <v>4067.3919825518014</v>
      </c>
      <c r="H47" s="16">
        <f t="shared" ref="H47:H50" si="7" xml:space="preserve"> D47 * F47</f>
        <v>1514.4839805027441</v>
      </c>
      <c r="I47" s="16">
        <f t="shared" ref="I47:I50" si="8" xml:space="preserve"> E47 * F47</f>
        <v>946.55248781421506</v>
      </c>
      <c r="J47" s="16">
        <f t="shared" ref="J47:J50" si="9" xml:space="preserve"> G47 + 1/2 * H47</f>
        <v>4824.6339728031735</v>
      </c>
    </row>
    <row r="48" spans="1:10">
      <c r="A48" s="16">
        <v>3</v>
      </c>
      <c r="B48" s="16">
        <v>2000</v>
      </c>
      <c r="C48" s="16">
        <v>7</v>
      </c>
      <c r="D48" s="16">
        <v>20</v>
      </c>
      <c r="E48" s="16">
        <v>2</v>
      </c>
      <c r="F48" s="16">
        <v>28.718928056383401</v>
      </c>
      <c r="G48" s="16">
        <f t="shared" si="6"/>
        <v>487.48337585978243</v>
      </c>
      <c r="H48" s="16">
        <f t="shared" si="7"/>
        <v>574.37856112766804</v>
      </c>
      <c r="I48" s="16">
        <f t="shared" si="8"/>
        <v>57.437856112766802</v>
      </c>
      <c r="J48" s="16">
        <f t="shared" si="9"/>
        <v>774.67265642361644</v>
      </c>
    </row>
    <row r="49" spans="1:24">
      <c r="A49" s="16">
        <v>4</v>
      </c>
      <c r="B49" s="16">
        <v>200</v>
      </c>
      <c r="C49" s="16">
        <v>5</v>
      </c>
      <c r="D49" s="16">
        <v>4</v>
      </c>
      <c r="E49" s="16">
        <v>3</v>
      </c>
      <c r="F49" s="16">
        <v>8.9374857533933607</v>
      </c>
      <c r="G49" s="16">
        <f t="shared" si="6"/>
        <v>111.88829024094642</v>
      </c>
      <c r="H49" s="16">
        <f t="shared" si="7"/>
        <v>35.749943013573443</v>
      </c>
      <c r="I49" s="16">
        <f t="shared" si="8"/>
        <v>26.812457260180082</v>
      </c>
      <c r="J49" s="16">
        <f t="shared" si="9"/>
        <v>129.76326174773314</v>
      </c>
    </row>
    <row r="50" spans="1:24">
      <c r="A50" s="16">
        <v>5</v>
      </c>
      <c r="B50" s="16">
        <v>800</v>
      </c>
      <c r="C50" s="16">
        <v>4</v>
      </c>
      <c r="D50" s="16">
        <v>8</v>
      </c>
      <c r="E50" s="16">
        <v>4</v>
      </c>
      <c r="F50" s="16">
        <v>13.343303777384699</v>
      </c>
      <c r="G50" s="16">
        <f t="shared" si="6"/>
        <v>239.82066610996421</v>
      </c>
      <c r="H50" s="16">
        <f t="shared" si="7"/>
        <v>106.7464302190776</v>
      </c>
      <c r="I50" s="16">
        <f t="shared" si="8"/>
        <v>53.373215109538798</v>
      </c>
      <c r="J50" s="16">
        <f t="shared" si="9"/>
        <v>293.193881219503</v>
      </c>
    </row>
    <row r="51" spans="1:24">
      <c r="G51" s="18">
        <f t="shared" ref="G51:J51" si="10">SUM(G46:G50)</f>
        <v>6035.1506533761312</v>
      </c>
      <c r="H51" s="18">
        <f t="shared" si="10"/>
        <v>2630.0948904130632</v>
      </c>
      <c r="I51" s="18">
        <f>SUM(I46:I50)</f>
        <v>1349.9999999967008</v>
      </c>
      <c r="J51" s="18">
        <f t="shared" si="10"/>
        <v>7350.1980985826631</v>
      </c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</row>
    <row r="52" spans="1:24">
      <c r="A52" s="26" t="s">
        <v>77</v>
      </c>
      <c r="B52" s="13">
        <v>1350</v>
      </c>
      <c r="L52" s="35"/>
      <c r="M52" s="54" t="s">
        <v>78</v>
      </c>
      <c r="N52" s="55">
        <f>C46</f>
        <v>6</v>
      </c>
      <c r="O52" s="56" t="s">
        <v>79</v>
      </c>
      <c r="P52" s="55">
        <f>B46</f>
        <v>5000</v>
      </c>
      <c r="Q52" s="55" t="s">
        <v>80</v>
      </c>
      <c r="R52" s="55" t="s">
        <v>81</v>
      </c>
      <c r="S52" s="55" t="s">
        <v>82</v>
      </c>
      <c r="T52" s="55" t="s">
        <v>79</v>
      </c>
      <c r="U52" s="55">
        <f>D46</f>
        <v>15</v>
      </c>
      <c r="V52" s="55" t="s">
        <v>81</v>
      </c>
      <c r="W52" s="57"/>
      <c r="X52" s="35"/>
    </row>
    <row r="53" spans="1:24">
      <c r="A53" s="26" t="s">
        <v>67</v>
      </c>
      <c r="B53" s="13">
        <f>SUM(J46:J50)</f>
        <v>7350.1980985826631</v>
      </c>
      <c r="C53" t="s">
        <v>83</v>
      </c>
      <c r="L53" s="35"/>
      <c r="M53" s="58"/>
      <c r="N53">
        <f t="shared" ref="N53:N56" si="11">C47</f>
        <v>110</v>
      </c>
      <c r="O53" s="26" t="s">
        <v>79</v>
      </c>
      <c r="P53">
        <f t="shared" ref="P53:P56" si="12">B47</f>
        <v>7000</v>
      </c>
      <c r="Q53" t="s">
        <v>84</v>
      </c>
      <c r="R53" t="s">
        <v>81</v>
      </c>
      <c r="S53" t="s">
        <v>85</v>
      </c>
      <c r="T53" t="s">
        <v>79</v>
      </c>
      <c r="U53">
        <f t="shared" ref="U53:U56" si="13">D47</f>
        <v>8</v>
      </c>
      <c r="V53" t="s">
        <v>81</v>
      </c>
      <c r="W53" s="59"/>
      <c r="X53" s="35"/>
    </row>
    <row r="54" spans="1:24">
      <c r="L54" s="35"/>
      <c r="M54" s="58"/>
      <c r="N54">
        <f t="shared" si="11"/>
        <v>7</v>
      </c>
      <c r="O54" s="26" t="s">
        <v>79</v>
      </c>
      <c r="P54">
        <f t="shared" si="12"/>
        <v>2000</v>
      </c>
      <c r="Q54" t="s">
        <v>86</v>
      </c>
      <c r="R54" t="s">
        <v>81</v>
      </c>
      <c r="S54" t="s">
        <v>87</v>
      </c>
      <c r="T54" t="s">
        <v>79</v>
      </c>
      <c r="U54">
        <f t="shared" si="13"/>
        <v>20</v>
      </c>
      <c r="V54" t="s">
        <v>81</v>
      </c>
      <c r="W54" s="59"/>
      <c r="X54" s="35"/>
    </row>
    <row r="55" spans="1:24">
      <c r="L55" s="35"/>
      <c r="M55" s="58"/>
      <c r="N55">
        <f t="shared" si="11"/>
        <v>5</v>
      </c>
      <c r="O55" s="26" t="s">
        <v>79</v>
      </c>
      <c r="P55">
        <f t="shared" si="12"/>
        <v>200</v>
      </c>
      <c r="Q55" t="s">
        <v>88</v>
      </c>
      <c r="R55" t="s">
        <v>81</v>
      </c>
      <c r="S55" t="s">
        <v>89</v>
      </c>
      <c r="T55" t="s">
        <v>79</v>
      </c>
      <c r="U55">
        <f t="shared" si="13"/>
        <v>4</v>
      </c>
      <c r="V55" t="s">
        <v>81</v>
      </c>
      <c r="W55" s="59"/>
      <c r="X55" s="35"/>
    </row>
    <row r="56" spans="1:24">
      <c r="A56" s="51" t="s">
        <v>90</v>
      </c>
      <c r="B56" s="51"/>
      <c r="C56" s="51"/>
      <c r="D56" s="53" t="s">
        <v>91</v>
      </c>
      <c r="E56" s="53"/>
      <c r="F56" s="53"/>
      <c r="G56" s="51" t="s">
        <v>92</v>
      </c>
      <c r="H56" s="51"/>
      <c r="I56" s="51"/>
      <c r="L56" s="35"/>
      <c r="M56" s="60"/>
      <c r="N56" s="61">
        <f t="shared" si="11"/>
        <v>4</v>
      </c>
      <c r="O56" s="62" t="s">
        <v>79</v>
      </c>
      <c r="P56" s="61">
        <f t="shared" si="12"/>
        <v>800</v>
      </c>
      <c r="Q56" s="61" t="s">
        <v>93</v>
      </c>
      <c r="R56" s="61" t="s">
        <v>81</v>
      </c>
      <c r="S56" s="61" t="s">
        <v>94</v>
      </c>
      <c r="T56" s="61" t="s">
        <v>79</v>
      </c>
      <c r="U56" s="61">
        <f t="shared" si="13"/>
        <v>8</v>
      </c>
      <c r="V56" s="63" t="s">
        <v>95</v>
      </c>
      <c r="W56" s="64" t="s">
        <v>96</v>
      </c>
      <c r="X56" s="35"/>
    </row>
    <row r="57" spans="1:24">
      <c r="A57" s="51"/>
      <c r="B57" s="51"/>
      <c r="C57" s="51"/>
      <c r="D57" s="53"/>
      <c r="E57" s="53"/>
      <c r="F57" s="53"/>
      <c r="G57" s="51"/>
      <c r="H57" s="51"/>
      <c r="I57" s="51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</row>
    <row r="58" spans="1:24">
      <c r="A58" s="49" t="s">
        <v>97</v>
      </c>
      <c r="B58" s="50"/>
      <c r="C58" s="50"/>
      <c r="D58" s="51">
        <v>3081.2489999999998</v>
      </c>
      <c r="E58" s="51"/>
      <c r="F58" s="51"/>
      <c r="G58" s="51">
        <v>5522.7169999999996</v>
      </c>
      <c r="H58" s="51"/>
      <c r="I58" s="51"/>
    </row>
    <row r="59" spans="1:24">
      <c r="A59" s="50"/>
      <c r="B59" s="50"/>
      <c r="C59" s="50"/>
      <c r="D59" s="51"/>
      <c r="E59" s="51"/>
      <c r="F59" s="51"/>
      <c r="G59" s="51"/>
      <c r="H59" s="51"/>
      <c r="I59" s="51"/>
    </row>
    <row r="60" spans="1:24">
      <c r="A60" s="49" t="s">
        <v>98</v>
      </c>
      <c r="B60" s="50"/>
      <c r="C60" s="50"/>
      <c r="D60" s="51">
        <v>1350</v>
      </c>
      <c r="E60" s="51"/>
      <c r="F60" s="51"/>
      <c r="G60" s="51">
        <v>7350.1980000000003</v>
      </c>
      <c r="H60" s="51"/>
      <c r="I60" s="51"/>
    </row>
    <row r="61" spans="1:24">
      <c r="A61" s="50"/>
      <c r="B61" s="50"/>
      <c r="C61" s="50"/>
      <c r="D61" s="51"/>
      <c r="E61" s="51"/>
      <c r="F61" s="51"/>
      <c r="G61" s="51"/>
      <c r="H61" s="51"/>
      <c r="I61" s="51"/>
    </row>
    <row r="64" spans="1:24">
      <c r="A64" s="23" t="s">
        <v>99</v>
      </c>
      <c r="B64" s="23"/>
      <c r="C64" s="23"/>
      <c r="D64" s="23"/>
      <c r="E64" s="23"/>
      <c r="G64" s="48" t="s">
        <v>99</v>
      </c>
      <c r="H64" s="48"/>
      <c r="I64" s="48"/>
      <c r="J64" s="48"/>
      <c r="K64" s="48"/>
    </row>
    <row r="65" spans="1:11">
      <c r="A65" s="34" t="s">
        <v>100</v>
      </c>
      <c r="B65" s="34">
        <v>63</v>
      </c>
      <c r="C65" s="34"/>
      <c r="D65" s="34"/>
      <c r="E65" s="34"/>
      <c r="G65" s="34" t="s">
        <v>100</v>
      </c>
      <c r="H65" s="34">
        <v>26</v>
      </c>
      <c r="I65" s="34"/>
      <c r="J65" s="34"/>
      <c r="K65" s="34"/>
    </row>
    <row r="66" spans="1:11">
      <c r="A66" s="34" t="s">
        <v>101</v>
      </c>
      <c r="B66" s="34">
        <v>438</v>
      </c>
      <c r="C66" s="34"/>
      <c r="D66" s="34"/>
      <c r="E66" s="34"/>
      <c r="G66" s="34" t="s">
        <v>101</v>
      </c>
      <c r="H66" s="34">
        <v>189</v>
      </c>
      <c r="I66" s="34"/>
      <c r="J66" s="34"/>
      <c r="K66" s="34"/>
    </row>
    <row r="67" spans="1:11">
      <c r="A67" s="34" t="s">
        <v>102</v>
      </c>
      <c r="B67" s="34">
        <v>37</v>
      </c>
      <c r="C67" s="34"/>
      <c r="D67" s="34"/>
      <c r="E67" s="34"/>
      <c r="G67" s="34" t="s">
        <v>102</v>
      </c>
      <c r="H67" s="34">
        <v>28</v>
      </c>
      <c r="I67" s="34"/>
      <c r="J67" s="34"/>
      <c r="K67" s="34"/>
    </row>
    <row r="68" spans="1:11">
      <c r="A68" s="34" t="s">
        <v>103</v>
      </c>
      <c r="B68" s="34">
        <v>22</v>
      </c>
      <c r="C68" s="34"/>
      <c r="D68" s="34"/>
      <c r="E68" s="34"/>
      <c r="G68" s="34" t="s">
        <v>103</v>
      </c>
      <c r="H68" s="34">
        <v>8</v>
      </c>
      <c r="I68" s="34"/>
      <c r="J68" s="34"/>
      <c r="K68" s="34"/>
    </row>
    <row r="69" spans="1:11">
      <c r="A69" s="34" t="s">
        <v>104</v>
      </c>
      <c r="B69" s="34">
        <v>28</v>
      </c>
      <c r="C69" s="34"/>
      <c r="D69" s="34"/>
      <c r="E69" s="34"/>
      <c r="G69" s="34" t="s">
        <v>104</v>
      </c>
      <c r="H69" s="34">
        <v>13</v>
      </c>
      <c r="I69" s="34"/>
      <c r="J69" s="34"/>
      <c r="K69" s="34"/>
    </row>
  </sheetData>
  <mergeCells count="12">
    <mergeCell ref="G64:K64"/>
    <mergeCell ref="A60:C61"/>
    <mergeCell ref="D60:F61"/>
    <mergeCell ref="G60:I61"/>
    <mergeCell ref="A5:A8"/>
    <mergeCell ref="A56:C57"/>
    <mergeCell ref="D56:F57"/>
    <mergeCell ref="G56:I57"/>
    <mergeCell ref="A58:C59"/>
    <mergeCell ref="D58:F59"/>
    <mergeCell ref="G58:I59"/>
    <mergeCell ref="A11:F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2024-11-28T14:36:05Z</dcterms:created>
  <dcterms:modified xsi:type="dcterms:W3CDTF">2024-12-01T17:17:14Z</dcterms:modified>
  <cp:category/>
  <cp:contentStatus/>
</cp:coreProperties>
</file>