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810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'3MSynthDepo'!$T$14:$T$18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'3MSynthDepo'!$R$19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C16" i="51" l="1"/>
  <c r="C15" i="51"/>
  <c r="C14" i="51"/>
  <c r="C13" i="51"/>
  <c r="D13" i="51" s="1"/>
  <c r="C12" i="51"/>
  <c r="D12" i="51" s="1"/>
  <c r="C11" i="51"/>
  <c r="D11" i="51" s="1"/>
  <c r="D16" i="51"/>
  <c r="D15" i="51"/>
  <c r="D14" i="51"/>
  <c r="L3" i="33" l="1" a="1"/>
  <c r="L3" i="33" s="1"/>
  <c r="L8" i="33"/>
  <c r="L9" i="33"/>
  <c r="L10" i="33"/>
  <c r="L17" i="33"/>
  <c r="L18" i="33"/>
  <c r="L25" i="33"/>
  <c r="L26" i="33"/>
  <c r="L33" i="33"/>
  <c r="L34" i="33"/>
  <c r="L42" i="33"/>
  <c r="L50" i="33"/>
  <c r="L58" i="33"/>
  <c r="L49" i="33" l="1"/>
  <c r="L56" i="33"/>
  <c r="L48" i="33"/>
  <c r="L40" i="33"/>
  <c r="L24" i="33"/>
  <c r="L63" i="33"/>
  <c r="L47" i="33"/>
  <c r="L31" i="33"/>
  <c r="L23" i="33"/>
  <c r="L15" i="33"/>
  <c r="L7" i="33"/>
  <c r="L62" i="33"/>
  <c r="L54" i="33"/>
  <c r="L46" i="33"/>
  <c r="L38" i="33"/>
  <c r="L30" i="33"/>
  <c r="L22" i="33"/>
  <c r="L14" i="33"/>
  <c r="L6" i="33"/>
  <c r="L61" i="33"/>
  <c r="L53" i="33"/>
  <c r="L45" i="33"/>
  <c r="L37" i="33"/>
  <c r="L29" i="33"/>
  <c r="L21" i="33"/>
  <c r="L13" i="33"/>
  <c r="L5" i="33"/>
  <c r="L60" i="33"/>
  <c r="L52" i="33"/>
  <c r="L44" i="33"/>
  <c r="L36" i="33"/>
  <c r="L28" i="33"/>
  <c r="L20" i="33"/>
  <c r="L12" i="33"/>
  <c r="L4" i="33"/>
  <c r="L57" i="33"/>
  <c r="L41" i="33"/>
  <c r="L32" i="33"/>
  <c r="L16" i="33"/>
  <c r="L55" i="33"/>
  <c r="L39" i="33"/>
  <c r="L59" i="33"/>
  <c r="L51" i="33"/>
  <c r="L43" i="33"/>
  <c r="L35" i="33"/>
  <c r="L27" i="33"/>
  <c r="L19" i="33"/>
  <c r="L11" i="33"/>
  <c r="K1" i="45"/>
  <c r="G63" i="33" l="1"/>
  <c r="Q3" i="45"/>
  <c r="K8" i="45"/>
  <c r="K9" i="45"/>
  <c r="K7" i="45"/>
  <c r="K6" i="45"/>
  <c r="K5" i="45"/>
  <c r="K4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 s="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A11" i="51" s="1"/>
  <c r="A12" i="51" s="1"/>
  <c r="A13" i="51" s="1"/>
  <c r="A14" i="51" s="1"/>
  <c r="A15" i="51" s="1"/>
  <c r="A16" i="51" s="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J5" i="45" l="1"/>
  <c r="J6" i="45"/>
  <c r="J7" i="45"/>
  <c r="J8" i="45"/>
  <c r="J9" i="45"/>
  <c r="J4" i="45"/>
  <c r="L1" i="45"/>
  <c r="D6" i="40" l="1"/>
  <c r="D5" i="40"/>
  <c r="A7" i="40"/>
  <c r="L8" i="45"/>
  <c r="L9" i="45"/>
  <c r="L5" i="45"/>
  <c r="L4" i="45"/>
  <c r="L7" i="45"/>
  <c r="L6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G15" i="51"/>
  <c r="G16" i="51"/>
  <c r="G11" i="51"/>
  <c r="G12" i="51"/>
  <c r="G14" i="51"/>
  <c r="G13" i="51"/>
  <c r="D13" i="40" l="1"/>
  <c r="C14" i="40"/>
  <c r="A15" i="40"/>
  <c r="D17" i="29"/>
  <c r="G30" i="40"/>
  <c r="G34" i="51"/>
  <c r="G29" i="52"/>
  <c r="H30" i="40"/>
  <c r="H25" i="40"/>
  <c r="H35" i="51"/>
  <c r="H35" i="52"/>
  <c r="R5" i="45"/>
  <c r="T14" i="45"/>
  <c r="U15" i="45"/>
  <c r="G22" i="52"/>
  <c r="H34" i="40"/>
  <c r="G30" i="52"/>
  <c r="H33" i="40"/>
  <c r="G35" i="52"/>
  <c r="G23" i="52"/>
  <c r="G34" i="40"/>
  <c r="H34" i="51"/>
  <c r="H21" i="52"/>
  <c r="C17" i="51"/>
  <c r="T12" i="45"/>
  <c r="H32" i="40"/>
  <c r="H31" i="40"/>
  <c r="T13" i="45"/>
  <c r="E5" i="51"/>
  <c r="G28" i="52"/>
  <c r="U12" i="45"/>
  <c r="H28" i="52"/>
  <c r="H34" i="52"/>
  <c r="H25" i="52"/>
  <c r="H31" i="52"/>
  <c r="G33" i="52"/>
  <c r="H20" i="52"/>
  <c r="H37" i="51"/>
  <c r="E14" i="52"/>
  <c r="E13" i="52"/>
  <c r="H30" i="52"/>
  <c r="H28" i="40"/>
  <c r="E8" i="52"/>
  <c r="G29" i="40"/>
  <c r="H31" i="51"/>
  <c r="E9" i="51"/>
  <c r="E6" i="52"/>
  <c r="U14" i="45"/>
  <c r="G31" i="40"/>
  <c r="R6" i="45"/>
  <c r="G32" i="40"/>
  <c r="E11" i="52"/>
  <c r="F11" i="52" s="1"/>
  <c r="H33" i="51"/>
  <c r="H26" i="40"/>
  <c r="H32" i="52"/>
  <c r="M11" i="52"/>
  <c r="E6" i="51"/>
  <c r="L6" i="51" s="1"/>
  <c r="G20" i="52"/>
  <c r="H29" i="52"/>
  <c r="H24" i="52"/>
  <c r="G26" i="40"/>
  <c r="E16" i="52"/>
  <c r="G37" i="51"/>
  <c r="H23" i="52"/>
  <c r="G34" i="52"/>
  <c r="G32" i="51"/>
  <c r="R8" i="45"/>
  <c r="E5" i="52"/>
  <c r="H27" i="40"/>
  <c r="T15" i="45"/>
  <c r="E17" i="52"/>
  <c r="H26" i="52"/>
  <c r="H33" i="52"/>
  <c r="U11" i="45"/>
  <c r="R7" i="45"/>
  <c r="E15" i="52"/>
  <c r="H32" i="51"/>
  <c r="G24" i="52"/>
  <c r="G28" i="40"/>
  <c r="G27" i="40"/>
  <c r="E8" i="51"/>
  <c r="G25" i="52"/>
  <c r="G31" i="51"/>
  <c r="G35" i="51"/>
  <c r="H36" i="51"/>
  <c r="L8" i="51"/>
  <c r="M15" i="52"/>
  <c r="E12" i="52"/>
  <c r="G31" i="52"/>
  <c r="G33" i="40"/>
  <c r="G36" i="51"/>
  <c r="E7" i="51"/>
  <c r="H22" i="52"/>
  <c r="G21" i="52"/>
  <c r="G32" i="52"/>
  <c r="E10" i="51"/>
  <c r="E7" i="52"/>
  <c r="E10" i="52"/>
  <c r="G25" i="40"/>
  <c r="G33" i="51"/>
  <c r="T11" i="45"/>
  <c r="U13" i="45"/>
  <c r="H27" i="52"/>
  <c r="G27" i="52"/>
  <c r="E9" i="52"/>
  <c r="H29" i="40"/>
  <c r="G26" i="52"/>
  <c r="E17" i="51"/>
  <c r="C18" i="51"/>
  <c r="L17" i="51"/>
  <c r="F17" i="51"/>
  <c r="C19" i="51"/>
  <c r="E18" i="51"/>
  <c r="E19" i="51"/>
  <c r="C20" i="51"/>
  <c r="F18" i="51"/>
  <c r="L18" i="51"/>
  <c r="L19" i="51"/>
  <c r="F19" i="51"/>
  <c r="C21" i="51"/>
  <c r="E20" i="51"/>
  <c r="C22" i="51"/>
  <c r="E21" i="51"/>
  <c r="F20" i="51"/>
  <c r="L20" i="51"/>
  <c r="C23" i="51"/>
  <c r="E22" i="51"/>
  <c r="L21" i="51"/>
  <c r="F21" i="51"/>
  <c r="E23" i="51"/>
  <c r="C24" i="51"/>
  <c r="L22" i="51"/>
  <c r="F22" i="51"/>
  <c r="L23" i="51"/>
  <c r="F23" i="51"/>
  <c r="E24" i="51"/>
  <c r="C25" i="51"/>
  <c r="L24" i="51"/>
  <c r="F24" i="51"/>
  <c r="C26" i="51"/>
  <c r="E25" i="51"/>
  <c r="C27" i="51"/>
  <c r="E26" i="51"/>
  <c r="L25" i="51"/>
  <c r="F25" i="51"/>
  <c r="E27" i="51"/>
  <c r="C28" i="51"/>
  <c r="L26" i="51"/>
  <c r="F26" i="51"/>
  <c r="L27" i="51"/>
  <c r="F27" i="51"/>
  <c r="E14" i="51"/>
  <c r="E13" i="51"/>
  <c r="E12" i="51"/>
  <c r="E16" i="51"/>
  <c r="E15" i="51"/>
  <c r="E11" i="51"/>
  <c r="L14" i="51"/>
  <c r="H14" i="51"/>
  <c r="F14" i="51"/>
  <c r="N14" i="51"/>
  <c r="L13" i="51"/>
  <c r="H13" i="51"/>
  <c r="F13" i="51"/>
  <c r="N13" i="51"/>
  <c r="L12" i="51"/>
  <c r="H12" i="51"/>
  <c r="F12" i="51"/>
  <c r="N12" i="51"/>
  <c r="L16" i="51"/>
  <c r="H16" i="51"/>
  <c r="F16" i="51"/>
  <c r="N16" i="51"/>
  <c r="L15" i="51"/>
  <c r="H15" i="51"/>
  <c r="F15" i="51"/>
  <c r="N15" i="51"/>
  <c r="L11" i="51"/>
  <c r="H11" i="51"/>
  <c r="F11" i="51"/>
  <c r="N11" i="51"/>
  <c r="I11" i="51" l="1"/>
  <c r="I15" i="51"/>
  <c r="I16" i="51"/>
  <c r="I12" i="51"/>
  <c r="I13" i="51"/>
  <c r="I14" i="51"/>
  <c r="R4" i="45"/>
  <c r="E3" i="40"/>
  <c r="R3" i="45"/>
  <c r="D28" i="51"/>
  <c r="D27" i="51"/>
  <c r="D26" i="51"/>
  <c r="D25" i="51"/>
  <c r="D24" i="51"/>
  <c r="D23" i="51"/>
  <c r="D22" i="51"/>
  <c r="D21" i="51"/>
  <c r="D20" i="51"/>
  <c r="D19" i="51"/>
  <c r="D18" i="51"/>
  <c r="D17" i="51"/>
  <c r="E3" i="52"/>
  <c r="E4" i="52"/>
  <c r="E4" i="51"/>
  <c r="E3" i="51"/>
  <c r="D14" i="40"/>
  <c r="E4" i="40"/>
  <c r="C15" i="40"/>
  <c r="A16" i="40"/>
  <c r="A9" i="33"/>
  <c r="M7" i="52"/>
  <c r="F8" i="52"/>
  <c r="E28" i="51"/>
  <c r="M12" i="52"/>
  <c r="F3" i="52"/>
  <c r="L4" i="40"/>
  <c r="F6" i="51"/>
  <c r="F6" i="52"/>
  <c r="M5" i="52"/>
  <c r="M16" i="52"/>
  <c r="F15" i="52"/>
  <c r="L4" i="51"/>
  <c r="F10" i="51"/>
  <c r="F7" i="51"/>
  <c r="F12" i="52"/>
  <c r="M14" i="52"/>
  <c r="M10" i="52"/>
  <c r="F5" i="51"/>
  <c r="Z4" i="45"/>
  <c r="Z3" i="45"/>
  <c r="F8" i="51"/>
  <c r="F16" i="52"/>
  <c r="F5" i="52"/>
  <c r="M3" i="52"/>
  <c r="L10" i="51"/>
  <c r="L5" i="51"/>
  <c r="F10" i="52"/>
  <c r="F4" i="52"/>
  <c r="F13" i="52"/>
  <c r="F17" i="52"/>
  <c r="F3" i="51"/>
  <c r="M9" i="52"/>
  <c r="L9" i="51"/>
  <c r="M13" i="52"/>
  <c r="F14" i="52"/>
  <c r="L3" i="51"/>
  <c r="F9" i="51"/>
  <c r="F9" i="52"/>
  <c r="L7" i="51"/>
  <c r="M8" i="52"/>
  <c r="M17" i="52"/>
  <c r="M4" i="52"/>
  <c r="F4" i="51"/>
  <c r="F7" i="52"/>
  <c r="M6" i="52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28" i="51"/>
  <c r="L28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55" i="33"/>
  <c r="D50" i="33"/>
  <c r="D63" i="33"/>
  <c r="D41" i="33"/>
  <c r="D62" i="33"/>
  <c r="D52" i="33"/>
  <c r="D51" i="33"/>
  <c r="D60" i="33"/>
  <c r="D49" i="33"/>
  <c r="D57" i="33"/>
  <c r="D48" i="33"/>
  <c r="D58" i="33"/>
  <c r="D61" i="33"/>
  <c r="D43" i="33"/>
  <c r="D59" i="33"/>
  <c r="D53" i="33"/>
  <c r="D42" i="33"/>
  <c r="D56" i="33"/>
  <c r="D54" i="33"/>
  <c r="D46" i="33"/>
  <c r="D44" i="33"/>
  <c r="D45" i="33"/>
  <c r="D47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45" i="33"/>
  <c r="E54" i="33"/>
  <c r="E42" i="33"/>
  <c r="E57" i="33"/>
  <c r="E56" i="33"/>
  <c r="E46" i="33"/>
  <c r="E61" i="33"/>
  <c r="E60" i="33"/>
  <c r="E58" i="33"/>
  <c r="E59" i="33"/>
  <c r="E43" i="33"/>
  <c r="E52" i="33"/>
  <c r="E63" i="33"/>
  <c r="E47" i="33"/>
  <c r="E53" i="33"/>
  <c r="E50" i="33"/>
  <c r="E62" i="33"/>
  <c r="E41" i="33"/>
  <c r="E51" i="33"/>
  <c r="E49" i="33"/>
  <c r="E48" i="33"/>
  <c r="E44" i="33"/>
  <c r="E55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2" i="40" l="1"/>
  <c r="E14" i="40"/>
  <c r="C5" i="35"/>
  <c r="K3" i="45"/>
  <c r="D14" i="33"/>
  <c r="D15" i="33"/>
  <c r="D11" i="33"/>
  <c r="D20" i="33"/>
  <c r="C16" i="35"/>
  <c r="D40" i="33"/>
  <c r="Z8" i="45"/>
  <c r="C4" i="35"/>
  <c r="F3" i="40"/>
  <c r="E7" i="40"/>
  <c r="D9" i="33"/>
  <c r="D22" i="33"/>
  <c r="D31" i="33"/>
  <c r="E13" i="40"/>
  <c r="D34" i="33"/>
  <c r="E12" i="40"/>
  <c r="C23" i="35"/>
  <c r="D23" i="35" s="1"/>
  <c r="C22" i="35"/>
  <c r="C3" i="35"/>
  <c r="E22" i="40"/>
  <c r="D38" i="33"/>
  <c r="E38" i="33" s="1"/>
  <c r="F4" i="40"/>
  <c r="D29" i="33"/>
  <c r="E9" i="40"/>
  <c r="C12" i="35"/>
  <c r="B12" i="35" s="1"/>
  <c r="E15" i="40"/>
  <c r="C13" i="35"/>
  <c r="D12" i="35"/>
  <c r="D25" i="33"/>
  <c r="C20" i="35"/>
  <c r="E15" i="33"/>
  <c r="D5" i="35"/>
  <c r="B22" i="35"/>
  <c r="F9" i="40"/>
  <c r="C17" i="35"/>
  <c r="E17" i="40"/>
  <c r="D17" i="33"/>
  <c r="B17" i="35"/>
  <c r="D37" i="33"/>
  <c r="B1" i="29"/>
  <c r="E8" i="40"/>
  <c r="L13" i="40"/>
  <c r="C14" i="35"/>
  <c r="D14" i="35" s="1"/>
  <c r="B13" i="35"/>
  <c r="F15" i="40"/>
  <c r="B20" i="35"/>
  <c r="B16" i="35"/>
  <c r="D4" i="35"/>
  <c r="F7" i="40"/>
  <c r="C24" i="35"/>
  <c r="C15" i="35"/>
  <c r="D15" i="35" s="1"/>
  <c r="D16" i="35"/>
  <c r="B4" i="35"/>
  <c r="D5" i="33"/>
  <c r="C8" i="35"/>
  <c r="B8" i="35" s="1"/>
  <c r="E5" i="33"/>
  <c r="D22" i="35"/>
  <c r="E16" i="40"/>
  <c r="D12" i="33"/>
  <c r="E5" i="40"/>
  <c r="C10" i="35"/>
  <c r="E29" i="33"/>
  <c r="G13" i="45" a="1"/>
  <c r="D8" i="35"/>
  <c r="D21" i="33"/>
  <c r="D16" i="33"/>
  <c r="E19" i="40"/>
  <c r="D32" i="33"/>
  <c r="E32" i="33"/>
  <c r="D19" i="33"/>
  <c r="E19" i="33" s="1"/>
  <c r="D39" i="33"/>
  <c r="E39" i="33" s="1"/>
  <c r="E22" i="33"/>
  <c r="D27" i="33"/>
  <c r="E27" i="33" s="1"/>
  <c r="D6" i="33"/>
  <c r="E6" i="33" s="1"/>
  <c r="F22" i="40"/>
  <c r="D13" i="33"/>
  <c r="E10" i="40"/>
  <c r="F10" i="40" s="1"/>
  <c r="C18" i="35"/>
  <c r="C6" i="35"/>
  <c r="L7" i="40"/>
  <c r="L5" i="40"/>
  <c r="L12" i="40"/>
  <c r="B23" i="35"/>
  <c r="C7" i="35"/>
  <c r="E21" i="33"/>
  <c r="C11" i="35"/>
  <c r="F12" i="40"/>
  <c r="D33" i="33"/>
  <c r="E33" i="33" s="1"/>
  <c r="E20" i="40"/>
  <c r="L17" i="40"/>
  <c r="D17" i="35"/>
  <c r="F14" i="40"/>
  <c r="D8" i="33"/>
  <c r="D28" i="33"/>
  <c r="E28" i="33" s="1"/>
  <c r="F17" i="40"/>
  <c r="C27" i="35"/>
  <c r="D26" i="33"/>
  <c r="D6" i="35"/>
  <c r="L10" i="40"/>
  <c r="D24" i="35"/>
  <c r="Z7" i="45"/>
  <c r="D3" i="33"/>
  <c r="E3" i="33" s="1"/>
  <c r="D35" i="33"/>
  <c r="C26" i="35"/>
  <c r="B26" i="35" s="1"/>
  <c r="B11" i="35"/>
  <c r="B24" i="35"/>
  <c r="E26" i="33"/>
  <c r="B14" i="35"/>
  <c r="C19" i="35"/>
  <c r="C9" i="35"/>
  <c r="E18" i="40"/>
  <c r="C21" i="35"/>
  <c r="D21" i="35" s="1"/>
  <c r="E11" i="40"/>
  <c r="C25" i="35"/>
  <c r="E37" i="33"/>
  <c r="B5" i="35"/>
  <c r="D24" i="33"/>
  <c r="E24" i="33" s="1"/>
  <c r="F8" i="40"/>
  <c r="D18" i="33"/>
  <c r="L3" i="45"/>
  <c r="E21" i="40"/>
  <c r="L14" i="40"/>
  <c r="F21" i="40"/>
  <c r="D36" i="33"/>
  <c r="D30" i="33"/>
  <c r="D10" i="35"/>
  <c r="B21" i="35"/>
  <c r="D26" i="35"/>
  <c r="B15" i="35"/>
  <c r="E6" i="40"/>
  <c r="D4" i="33"/>
  <c r="E4" i="33" s="1"/>
  <c r="Z6" i="45"/>
  <c r="D10" i="33"/>
  <c r="D7" i="33"/>
  <c r="D27" i="35"/>
  <c r="D3" i="35"/>
  <c r="D23" i="33"/>
  <c r="E17" i="33"/>
  <c r="L9" i="40"/>
  <c r="M19" i="33"/>
  <c r="M48" i="33"/>
  <c r="M56" i="33"/>
  <c r="M58" i="33"/>
  <c r="M61" i="33"/>
  <c r="M50" i="33"/>
  <c r="M18" i="33"/>
  <c r="M16" i="33"/>
  <c r="M63" i="33"/>
  <c r="M57" i="33"/>
  <c r="M51" i="33"/>
  <c r="M52" i="33"/>
  <c r="M46" i="33"/>
  <c r="M62" i="33"/>
  <c r="M44" i="33"/>
  <c r="M20" i="33"/>
  <c r="M60" i="33"/>
  <c r="M43" i="33"/>
  <c r="M15" i="33"/>
  <c r="M54" i="33"/>
  <c r="M45" i="33"/>
  <c r="M17" i="33"/>
  <c r="M41" i="33"/>
  <c r="M53" i="33"/>
  <c r="M55" i="33"/>
  <c r="M22" i="33"/>
  <c r="M24" i="33"/>
  <c r="M59" i="33"/>
  <c r="M47" i="33"/>
  <c r="M21" i="33"/>
  <c r="M23" i="33"/>
  <c r="N15" i="33" s="1"/>
  <c r="M42" i="33"/>
  <c r="M49" i="33"/>
  <c r="F16" i="40"/>
  <c r="L16" i="40"/>
  <c r="L19" i="40"/>
  <c r="B18" i="35"/>
  <c r="B7" i="35"/>
  <c r="L20" i="40"/>
  <c r="B19" i="35"/>
  <c r="D19" i="35"/>
  <c r="B9" i="35"/>
  <c r="D9" i="35"/>
  <c r="F18" i="40"/>
  <c r="L11" i="40"/>
  <c r="B25" i="35"/>
  <c r="L6" i="40"/>
  <c r="G13" i="45" l="1"/>
  <c r="G16" i="45"/>
  <c r="G17" i="45"/>
  <c r="G19" i="45"/>
  <c r="G14" i="45"/>
  <c r="G15" i="45"/>
  <c r="G18" i="45"/>
  <c r="E23" i="33"/>
  <c r="F11" i="40"/>
  <c r="D18" i="35"/>
  <c r="D13" i="35"/>
  <c r="E20" i="33"/>
  <c r="J13" i="45"/>
  <c r="H16" i="45"/>
  <c r="H19" i="45"/>
  <c r="L14" i="45"/>
  <c r="H18" i="45"/>
  <c r="L18" i="40"/>
  <c r="I14" i="45"/>
  <c r="E7" i="33"/>
  <c r="F6" i="40"/>
  <c r="E35" i="33"/>
  <c r="E16" i="33"/>
  <c r="L22" i="40"/>
  <c r="H13" i="45"/>
  <c r="K16" i="45"/>
  <c r="L19" i="45"/>
  <c r="J15" i="45"/>
  <c r="L18" i="45"/>
  <c r="I15" i="45"/>
  <c r="K18" i="45"/>
  <c r="I16" i="45"/>
  <c r="K15" i="45"/>
  <c r="I13" i="45"/>
  <c r="E30" i="33"/>
  <c r="B27" i="35"/>
  <c r="B10" i="35"/>
  <c r="B3" i="35"/>
  <c r="K13" i="45"/>
  <c r="I17" i="45"/>
  <c r="I19" i="45"/>
  <c r="K19" i="45"/>
  <c r="E36" i="33"/>
  <c r="F20" i="40"/>
  <c r="F5" i="40"/>
  <c r="E34" i="33"/>
  <c r="D34" i="29"/>
  <c r="K17" i="45"/>
  <c r="J19" i="45"/>
  <c r="H15" i="45"/>
  <c r="C37" i="29"/>
  <c r="H14" i="45"/>
  <c r="J18" i="45"/>
  <c r="L21" i="40"/>
  <c r="D11" i="35"/>
  <c r="L8" i="40"/>
  <c r="F13" i="40"/>
  <c r="L13" i="45"/>
  <c r="L17" i="45"/>
  <c r="K14" i="45"/>
  <c r="L15" i="45"/>
  <c r="C38" i="29"/>
  <c r="D20" i="35"/>
  <c r="L16" i="45"/>
  <c r="E18" i="33"/>
  <c r="D7" i="35"/>
  <c r="E31" i="33"/>
  <c r="J17" i="45"/>
  <c r="D25" i="35"/>
  <c r="B6" i="35"/>
  <c r="E25" i="33"/>
  <c r="E40" i="33"/>
  <c r="J16" i="45"/>
  <c r="H17" i="45"/>
  <c r="J14" i="45"/>
  <c r="I18" i="45"/>
  <c r="D37" i="29"/>
  <c r="F19" i="40"/>
  <c r="L15" i="40"/>
  <c r="N41" i="33"/>
  <c r="D35" i="29"/>
  <c r="D28" i="29"/>
  <c r="S4" i="45"/>
  <c r="S5" i="45"/>
  <c r="S8" i="45"/>
  <c r="S3" i="45"/>
  <c r="S7" i="45"/>
  <c r="S6" i="45"/>
  <c r="D38" i="29"/>
  <c r="M38" i="33"/>
  <c r="M10" i="33"/>
  <c r="M37" i="33"/>
  <c r="M34" i="33"/>
  <c r="M40" i="33"/>
  <c r="M32" i="33"/>
  <c r="M11" i="33"/>
  <c r="M28" i="33"/>
  <c r="M14" i="33"/>
  <c r="M36" i="33"/>
  <c r="M27" i="33"/>
  <c r="M35" i="33"/>
  <c r="M30" i="33"/>
  <c r="M9" i="33"/>
  <c r="M29" i="33"/>
  <c r="M12" i="33"/>
  <c r="M26" i="33"/>
  <c r="M25" i="33"/>
  <c r="M13" i="33"/>
  <c r="M31" i="33"/>
  <c r="M8" i="33"/>
  <c r="N8" i="33" s="1"/>
  <c r="M33" i="33"/>
  <c r="M39" i="33"/>
  <c r="N25" i="33" s="1"/>
  <c r="M3" i="33"/>
  <c r="M7" i="33"/>
  <c r="M6" i="33"/>
  <c r="M4" i="33"/>
  <c r="M5" i="33"/>
  <c r="N2" i="33"/>
  <c r="I19" i="29" l="1"/>
  <c r="I20" i="29"/>
  <c r="N10" i="40"/>
  <c r="G17" i="40"/>
  <c r="E17" i="35"/>
  <c r="M12" i="45" a="1"/>
  <c r="N16" i="52"/>
  <c r="E3" i="35"/>
  <c r="N14" i="52"/>
  <c r="T3" i="45"/>
  <c r="N11" i="52"/>
  <c r="N4" i="40"/>
  <c r="G13" i="52"/>
  <c r="G11" i="40"/>
  <c r="N7" i="40"/>
  <c r="N8" i="51"/>
  <c r="G26" i="51"/>
  <c r="N16" i="40"/>
  <c r="G18" i="40"/>
  <c r="N6" i="40"/>
  <c r="H15" i="52"/>
  <c r="G12" i="40"/>
  <c r="N7" i="51"/>
  <c r="H5" i="40"/>
  <c r="N12" i="52"/>
  <c r="H7" i="52"/>
  <c r="E25" i="35"/>
  <c r="H9" i="52"/>
  <c r="G19" i="51"/>
  <c r="H13" i="40"/>
  <c r="E4" i="35"/>
  <c r="H17" i="51"/>
  <c r="G9" i="40"/>
  <c r="T6" i="45"/>
  <c r="N23" i="51"/>
  <c r="G13" i="40"/>
  <c r="U5" i="45"/>
  <c r="N5" i="52"/>
  <c r="N28" i="51"/>
  <c r="H22" i="40"/>
  <c r="E23" i="35"/>
  <c r="G7" i="52"/>
  <c r="G25" i="51"/>
  <c r="H26" i="51"/>
  <c r="G22" i="51"/>
  <c r="H27" i="51"/>
  <c r="N13" i="52"/>
  <c r="AA3" i="45"/>
  <c r="N14" i="40"/>
  <c r="AA5" i="45"/>
  <c r="N17" i="52"/>
  <c r="G21" i="40"/>
  <c r="AA4" i="45"/>
  <c r="H21" i="40"/>
  <c r="G16" i="40"/>
  <c r="N21" i="40"/>
  <c r="E16" i="35"/>
  <c r="N22" i="40"/>
  <c r="G9" i="51"/>
  <c r="G17" i="51"/>
  <c r="H20" i="51"/>
  <c r="N10" i="52"/>
  <c r="U7" i="45"/>
  <c r="N25" i="51"/>
  <c r="T7" i="45"/>
  <c r="N9" i="52"/>
  <c r="AA7" i="45"/>
  <c r="H7" i="40"/>
  <c r="H16" i="52"/>
  <c r="N18" i="40"/>
  <c r="N27" i="51"/>
  <c r="N19" i="51"/>
  <c r="G7" i="51"/>
  <c r="G15" i="52"/>
  <c r="E20" i="35"/>
  <c r="N26" i="51"/>
  <c r="H12" i="40"/>
  <c r="N13" i="40"/>
  <c r="E6" i="35"/>
  <c r="H9" i="51"/>
  <c r="AA8" i="45"/>
  <c r="N6" i="52"/>
  <c r="H20" i="40"/>
  <c r="G22" i="40"/>
  <c r="U8" i="45"/>
  <c r="E13" i="35"/>
  <c r="E24" i="35"/>
  <c r="H4" i="40"/>
  <c r="T5" i="45"/>
  <c r="N9" i="51"/>
  <c r="G8" i="40"/>
  <c r="U4" i="45"/>
  <c r="N6" i="51"/>
  <c r="H8" i="51"/>
  <c r="E19" i="35"/>
  <c r="G14" i="52"/>
  <c r="G5" i="51"/>
  <c r="H19" i="40"/>
  <c r="N21" i="51"/>
  <c r="H24" i="51"/>
  <c r="N15" i="52"/>
  <c r="H15" i="40"/>
  <c r="N8" i="52"/>
  <c r="G8" i="51"/>
  <c r="E18" i="35"/>
  <c r="G6" i="51"/>
  <c r="H18" i="51"/>
  <c r="H12" i="52"/>
  <c r="G12" i="52"/>
  <c r="H11" i="40"/>
  <c r="N17" i="51"/>
  <c r="G10" i="40"/>
  <c r="T8" i="45"/>
  <c r="H25" i="51"/>
  <c r="N20" i="51"/>
  <c r="G10" i="51"/>
  <c r="G7" i="40"/>
  <c r="H8" i="52"/>
  <c r="E12" i="35"/>
  <c r="H10" i="40"/>
  <c r="N5" i="51"/>
  <c r="H28" i="51"/>
  <c r="G16" i="52"/>
  <c r="H23" i="51"/>
  <c r="G28" i="51"/>
  <c r="G17" i="52"/>
  <c r="G19" i="40"/>
  <c r="G24" i="51"/>
  <c r="G9" i="52"/>
  <c r="E5" i="35"/>
  <c r="H21" i="51"/>
  <c r="G21" i="51"/>
  <c r="E22" i="35"/>
  <c r="E21" i="35"/>
  <c r="N24" i="51"/>
  <c r="H16" i="40"/>
  <c r="H8" i="40"/>
  <c r="N20" i="40"/>
  <c r="N10" i="51"/>
  <c r="H9" i="40"/>
  <c r="H18" i="40"/>
  <c r="G20" i="51"/>
  <c r="N4" i="51"/>
  <c r="G5" i="52"/>
  <c r="H13" i="52"/>
  <c r="H6" i="40"/>
  <c r="E10" i="35"/>
  <c r="N7" i="52"/>
  <c r="E26" i="35"/>
  <c r="AA6" i="45"/>
  <c r="G27" i="51"/>
  <c r="H17" i="52"/>
  <c r="G15" i="40"/>
  <c r="N8" i="40"/>
  <c r="G11" i="52"/>
  <c r="N18" i="51"/>
  <c r="G18" i="51"/>
  <c r="G10" i="52"/>
  <c r="E11" i="35"/>
  <c r="H17" i="40"/>
  <c r="H4" i="52"/>
  <c r="H6" i="51"/>
  <c r="H14" i="40"/>
  <c r="N11" i="40"/>
  <c r="H10" i="51"/>
  <c r="G8" i="52"/>
  <c r="H7" i="51"/>
  <c r="E7" i="35"/>
  <c r="G6" i="52"/>
  <c r="N12" i="40"/>
  <c r="H5" i="52"/>
  <c r="G23" i="51"/>
  <c r="E14" i="35"/>
  <c r="H14" i="52"/>
  <c r="E8" i="35"/>
  <c r="H11" i="52"/>
  <c r="U6" i="45"/>
  <c r="N19" i="40"/>
  <c r="G5" i="40"/>
  <c r="E15" i="35"/>
  <c r="N22" i="51"/>
  <c r="E27" i="35"/>
  <c r="E9" i="35"/>
  <c r="G6" i="40"/>
  <c r="N15" i="40"/>
  <c r="G14" i="40"/>
  <c r="H22" i="51"/>
  <c r="N9" i="40"/>
  <c r="N4" i="52"/>
  <c r="G20" i="40"/>
  <c r="N17" i="40"/>
  <c r="H10" i="52"/>
  <c r="N5" i="40"/>
  <c r="H19" i="51"/>
  <c r="H6" i="52"/>
  <c r="H5" i="51"/>
  <c r="H4" i="51"/>
  <c r="G4" i="52"/>
  <c r="G4" i="40"/>
  <c r="T4" i="45"/>
  <c r="G4" i="51"/>
  <c r="I4" i="51" l="1"/>
  <c r="V4" i="45"/>
  <c r="I4" i="40"/>
  <c r="I4" i="52"/>
  <c r="I20" i="40"/>
  <c r="I14" i="40"/>
  <c r="I6" i="40"/>
  <c r="I5" i="40"/>
  <c r="I23" i="51"/>
  <c r="I6" i="52"/>
  <c r="I8" i="52"/>
  <c r="I10" i="52"/>
  <c r="I18" i="51"/>
  <c r="I11" i="52"/>
  <c r="I15" i="40"/>
  <c r="I27" i="51"/>
  <c r="I5" i="52"/>
  <c r="I20" i="51"/>
  <c r="I21" i="51"/>
  <c r="I9" i="52"/>
  <c r="I24" i="51"/>
  <c r="I19" i="40"/>
  <c r="I17" i="52"/>
  <c r="I28" i="51"/>
  <c r="I16" i="52"/>
  <c r="I7" i="40"/>
  <c r="I10" i="51"/>
  <c r="V8" i="45"/>
  <c r="I10" i="40"/>
  <c r="I12" i="52"/>
  <c r="I6" i="51"/>
  <c r="I8" i="51"/>
  <c r="I5" i="51"/>
  <c r="I14" i="52"/>
  <c r="I8" i="40"/>
  <c r="V5" i="45"/>
  <c r="I22" i="40"/>
  <c r="I15" i="52"/>
  <c r="I7" i="51"/>
  <c r="V7" i="45"/>
  <c r="I17" i="51"/>
  <c r="I9" i="51"/>
  <c r="I16" i="40"/>
  <c r="I21" i="40"/>
  <c r="I22" i="51"/>
  <c r="I25" i="51"/>
  <c r="I7" i="52"/>
  <c r="I13" i="40"/>
  <c r="V6" i="45"/>
  <c r="I9" i="40"/>
  <c r="I19" i="51"/>
  <c r="I12" i="40"/>
  <c r="I18" i="40"/>
  <c r="I26" i="51"/>
  <c r="I11" i="40"/>
  <c r="I13" i="52"/>
  <c r="M12" i="45"/>
  <c r="M16" i="45"/>
  <c r="M13" i="45"/>
  <c r="M15" i="45"/>
  <c r="M14" i="45"/>
  <c r="M18" i="45"/>
  <c r="M17" i="45"/>
  <c r="M19" i="45"/>
  <c r="I17" i="40"/>
  <c r="AE6" i="45" l="1"/>
  <c r="AE7" i="45"/>
  <c r="AE9" i="45"/>
  <c r="AE10" i="45"/>
  <c r="AE8" i="45"/>
  <c r="AE13" i="45" a="1"/>
  <c r="AE13" i="45"/>
  <c r="AE16" i="45"/>
  <c r="AE15" i="45"/>
  <c r="AE17" i="45"/>
  <c r="AE14" i="45"/>
  <c r="R6" i="52"/>
  <c r="R9" i="52"/>
  <c r="D19" i="29"/>
  <c r="R10" i="52"/>
  <c r="F10" i="35"/>
  <c r="F9" i="35"/>
  <c r="F26" i="35"/>
  <c r="F25" i="35"/>
  <c r="F23" i="35"/>
  <c r="F24" i="35"/>
  <c r="F13" i="35"/>
  <c r="F7" i="35"/>
  <c r="F6" i="35"/>
  <c r="R6" i="51"/>
  <c r="F17" i="35"/>
  <c r="F5" i="35"/>
  <c r="F27" i="35"/>
  <c r="R7" i="51"/>
  <c r="R14" i="51" a="1"/>
  <c r="R7" i="52"/>
  <c r="F20" i="35"/>
  <c r="R8" i="51"/>
  <c r="F11" i="35"/>
  <c r="F8" i="35"/>
  <c r="R13" i="52" a="1"/>
  <c r="F3" i="35"/>
  <c r="R8" i="52"/>
  <c r="F19" i="35"/>
  <c r="F15" i="35"/>
  <c r="F12" i="35"/>
  <c r="F14" i="35"/>
  <c r="F18" i="35"/>
  <c r="F21" i="35"/>
  <c r="F16" i="35"/>
  <c r="F4" i="35"/>
  <c r="F22" i="35"/>
  <c r="R10" i="51"/>
  <c r="R9" i="51"/>
  <c r="R16" i="52"/>
  <c r="R18" i="51"/>
  <c r="R17" i="52"/>
  <c r="R13" i="52"/>
  <c r="R14" i="51"/>
  <c r="R14" i="52"/>
  <c r="R17" i="51"/>
  <c r="R15" i="52"/>
  <c r="R15" i="51"/>
  <c r="R16" i="51"/>
  <c r="R6" i="40"/>
  <c r="R7" i="40"/>
  <c r="R10" i="40"/>
  <c r="R13" i="40" a="1"/>
  <c r="R8" i="40"/>
  <c r="R9" i="40"/>
  <c r="R16" i="40"/>
  <c r="R17" i="40"/>
  <c r="R14" i="40"/>
  <c r="R15" i="40"/>
  <c r="R13" i="40"/>
  <c r="AE18" i="45"/>
  <c r="V11" i="45"/>
  <c r="H3" i="33" l="1"/>
  <c r="V15" i="45"/>
  <c r="H7" i="33" l="1"/>
  <c r="G8" i="35"/>
  <c r="H45" i="33"/>
  <c r="G21" i="35"/>
  <c r="H57" i="33" s="1"/>
  <c r="G24" i="35"/>
  <c r="H60" i="33"/>
  <c r="G23" i="35"/>
  <c r="H59" i="33"/>
  <c r="G14" i="35"/>
  <c r="H51" i="33"/>
  <c r="G22" i="35"/>
  <c r="H58" i="33" s="1"/>
  <c r="G18" i="35"/>
  <c r="H54" i="33" s="1"/>
  <c r="G13" i="35"/>
  <c r="H50" i="33"/>
  <c r="G12" i="35"/>
  <c r="H49" i="33"/>
  <c r="G16" i="35"/>
  <c r="H52" i="33" s="1"/>
  <c r="G5" i="35"/>
  <c r="H42" i="33"/>
  <c r="G6" i="35"/>
  <c r="H43" i="33"/>
  <c r="G9" i="35"/>
  <c r="H46" i="33"/>
  <c r="G7" i="35"/>
  <c r="H44" i="33" s="1"/>
  <c r="G26" i="35"/>
  <c r="H62" i="33"/>
  <c r="G20" i="35"/>
  <c r="H56" i="33" s="1"/>
  <c r="G4" i="35"/>
  <c r="H41" i="33"/>
  <c r="G3" i="35"/>
  <c r="G27" i="35"/>
  <c r="H63" i="33"/>
  <c r="G10" i="35"/>
  <c r="H47" i="33"/>
  <c r="G19" i="35"/>
  <c r="H55" i="33"/>
  <c r="G17" i="35"/>
  <c r="H53" i="33"/>
  <c r="G15" i="35"/>
  <c r="G11" i="35"/>
  <c r="H48" i="33"/>
  <c r="G25" i="35"/>
  <c r="H61" i="33" s="1"/>
  <c r="V14" i="45"/>
  <c r="H6" i="33" l="1"/>
  <c r="W3" i="45"/>
  <c r="R19" i="51"/>
  <c r="J24" i="51"/>
  <c r="I33" i="51"/>
  <c r="I32" i="51"/>
  <c r="J26" i="51"/>
  <c r="J8" i="51"/>
  <c r="W4" i="45"/>
  <c r="J15" i="51"/>
  <c r="J14" i="51"/>
  <c r="J16" i="51"/>
  <c r="J13" i="51"/>
  <c r="J11" i="51"/>
  <c r="J12" i="51"/>
  <c r="M12" i="51" l="1"/>
  <c r="K12" i="51" s="1"/>
  <c r="M11" i="51"/>
  <c r="K11" i="51" s="1"/>
  <c r="M13" i="51"/>
  <c r="K13" i="51" s="1"/>
  <c r="M16" i="51"/>
  <c r="K16" i="51" s="1"/>
  <c r="M14" i="51"/>
  <c r="K14" i="51" s="1"/>
  <c r="M15" i="51"/>
  <c r="K15" i="51" s="1"/>
  <c r="Y4" i="45"/>
  <c r="X4" i="45" s="1"/>
  <c r="I35" i="51"/>
  <c r="J7" i="51"/>
  <c r="W8" i="45"/>
  <c r="Y8" i="45" l="1"/>
  <c r="X8" i="45"/>
  <c r="J25" i="51"/>
  <c r="J17" i="51"/>
  <c r="J20" i="51"/>
  <c r="J10" i="51"/>
  <c r="J22" i="51"/>
  <c r="J5" i="51"/>
  <c r="I31" i="51"/>
  <c r="J9" i="51"/>
  <c r="V13" i="45"/>
  <c r="H5" i="33"/>
  <c r="W6" i="45"/>
  <c r="Y6" i="45"/>
  <c r="X6" i="45" s="1"/>
  <c r="W7" i="45"/>
  <c r="Y7" i="45"/>
  <c r="X7" i="45" s="1"/>
  <c r="I36" i="51"/>
  <c r="R18" i="52"/>
  <c r="J16" i="52"/>
  <c r="I30" i="52"/>
  <c r="I33" i="52"/>
  <c r="I32" i="52"/>
  <c r="J7" i="52"/>
  <c r="I23" i="52"/>
  <c r="J10" i="52"/>
  <c r="I29" i="52"/>
  <c r="J6" i="52"/>
  <c r="J14" i="52"/>
  <c r="J4" i="52"/>
  <c r="J17" i="52"/>
  <c r="I31" i="52"/>
  <c r="I25" i="52"/>
  <c r="I21" i="52"/>
  <c r="I27" i="52"/>
  <c r="I26" i="52"/>
  <c r="I35" i="52"/>
  <c r="I22" i="52"/>
  <c r="J8" i="52"/>
  <c r="I28" i="52"/>
  <c r="J21" i="51"/>
  <c r="J4" i="51"/>
  <c r="J5" i="52"/>
  <c r="J19" i="51"/>
  <c r="J28" i="51"/>
  <c r="J18" i="51"/>
  <c r="J23" i="51"/>
  <c r="I37" i="51"/>
  <c r="J12" i="52"/>
  <c r="J3" i="51"/>
  <c r="V12" i="45"/>
  <c r="H4" i="33" l="1"/>
  <c r="J15" i="52"/>
  <c r="J13" i="52"/>
  <c r="I34" i="51"/>
  <c r="J3" i="52"/>
  <c r="J6" i="51"/>
  <c r="I20" i="52"/>
  <c r="I34" i="52"/>
  <c r="I24" i="52"/>
  <c r="W5" i="45"/>
  <c r="Y5" i="45" l="1"/>
  <c r="X5" i="45"/>
  <c r="J27" i="51"/>
  <c r="J11" i="52"/>
  <c r="J9" i="52"/>
  <c r="M28" i="51"/>
  <c r="L7" i="52"/>
  <c r="K7" i="52"/>
  <c r="L10" i="52"/>
  <c r="K10" i="52" s="1"/>
  <c r="H33" i="33"/>
  <c r="L17" i="52"/>
  <c r="M9" i="51"/>
  <c r="K9" i="51" s="1"/>
  <c r="H11" i="33"/>
  <c r="M5" i="51"/>
  <c r="K5" i="51" s="1"/>
  <c r="M6" i="51"/>
  <c r="M24" i="51"/>
  <c r="K24" i="51" s="1"/>
  <c r="G3" i="51"/>
  <c r="H29" i="33"/>
  <c r="K17" i="52"/>
  <c r="H37" i="33"/>
  <c r="M21" i="51"/>
  <c r="K21" i="51" s="1"/>
  <c r="L5" i="52"/>
  <c r="K5" i="52"/>
  <c r="M10" i="51"/>
  <c r="K10" i="51"/>
  <c r="K6" i="51"/>
  <c r="L4" i="52"/>
  <c r="K4" i="52" s="1"/>
  <c r="G3" i="52"/>
  <c r="M23" i="51"/>
  <c r="K23" i="51" s="1"/>
  <c r="H14" i="33"/>
  <c r="H38" i="33"/>
  <c r="K28" i="51"/>
  <c r="H36" i="33"/>
  <c r="H27" i="33"/>
  <c r="M20" i="51"/>
  <c r="K20" i="51" s="1"/>
  <c r="L16" i="52"/>
  <c r="K16" i="52" s="1"/>
  <c r="H31" i="33"/>
  <c r="M18" i="51"/>
  <c r="K18" i="51" s="1"/>
  <c r="M25" i="51"/>
  <c r="K25" i="51"/>
  <c r="M4" i="51"/>
  <c r="K4" i="51" s="1"/>
  <c r="L8" i="52"/>
  <c r="K8" i="52"/>
  <c r="H13" i="33"/>
  <c r="M27" i="51"/>
  <c r="K27" i="51" s="1"/>
  <c r="M8" i="51"/>
  <c r="K8" i="51" s="1"/>
  <c r="L13" i="52"/>
  <c r="K13" i="52"/>
  <c r="H25" i="33"/>
  <c r="H34" i="33"/>
  <c r="H39" i="33"/>
  <c r="H12" i="33"/>
  <c r="M26" i="51"/>
  <c r="K26" i="51" s="1"/>
  <c r="M22" i="51"/>
  <c r="K22" i="51" s="1"/>
  <c r="H35" i="33"/>
  <c r="H30" i="33"/>
  <c r="L15" i="52"/>
  <c r="K15" i="52"/>
  <c r="H28" i="33"/>
  <c r="L9" i="52"/>
  <c r="K9" i="52" s="1"/>
  <c r="H40" i="33"/>
  <c r="M17" i="51"/>
  <c r="K17" i="51" s="1"/>
  <c r="L12" i="52"/>
  <c r="K12" i="52"/>
  <c r="L14" i="52"/>
  <c r="K14" i="52"/>
  <c r="M19" i="51"/>
  <c r="K19" i="51" s="1"/>
  <c r="H32" i="33"/>
  <c r="M7" i="51"/>
  <c r="K7" i="51" s="1"/>
  <c r="H26" i="33"/>
  <c r="H10" i="33"/>
  <c r="L6" i="52"/>
  <c r="K6" i="52"/>
  <c r="H9" i="33"/>
  <c r="H8" i="33"/>
  <c r="L11" i="52"/>
  <c r="K11" i="52"/>
  <c r="R18" i="40"/>
  <c r="I32" i="40"/>
  <c r="H22" i="33" l="1"/>
  <c r="I31" i="40"/>
  <c r="H21" i="33" l="1"/>
  <c r="J4" i="40"/>
  <c r="M4" i="40"/>
  <c r="K4" i="40"/>
  <c r="J14" i="40"/>
  <c r="M14" i="40"/>
  <c r="K14" i="40"/>
  <c r="J10" i="40"/>
  <c r="M10" i="40"/>
  <c r="K10" i="40" s="1"/>
  <c r="J21" i="40"/>
  <c r="M21" i="40"/>
  <c r="K21" i="40"/>
  <c r="J19" i="40"/>
  <c r="M19" i="40"/>
  <c r="K19" i="40" s="1"/>
  <c r="I28" i="40"/>
  <c r="H18" i="33"/>
  <c r="J7" i="40"/>
  <c r="M7" i="40"/>
  <c r="K7" i="40"/>
  <c r="J17" i="40"/>
  <c r="M17" i="40"/>
  <c r="K17" i="40"/>
  <c r="I34" i="40"/>
  <c r="H24" i="33"/>
  <c r="I27" i="40"/>
  <c r="H17" i="33"/>
  <c r="I29" i="40"/>
  <c r="H19" i="33"/>
  <c r="J13" i="40"/>
  <c r="M13" i="40"/>
  <c r="K13" i="40"/>
  <c r="I25" i="40"/>
  <c r="H15" i="33"/>
  <c r="J20" i="40"/>
  <c r="M20" i="40"/>
  <c r="K20" i="40"/>
  <c r="I26" i="40"/>
  <c r="H16" i="33"/>
  <c r="J11" i="40"/>
  <c r="M11" i="40"/>
  <c r="K11" i="40" s="1"/>
  <c r="J12" i="40"/>
  <c r="M12" i="40"/>
  <c r="K12" i="40"/>
  <c r="J18" i="40"/>
  <c r="M18" i="40"/>
  <c r="K18" i="40"/>
  <c r="J3" i="40"/>
  <c r="G3" i="40"/>
  <c r="J9" i="40"/>
  <c r="M9" i="40"/>
  <c r="K9" i="40"/>
  <c r="J15" i="40"/>
  <c r="M15" i="40"/>
  <c r="K15" i="40"/>
  <c r="J5" i="40"/>
  <c r="M5" i="40"/>
  <c r="K5" i="40"/>
  <c r="J16" i="40"/>
  <c r="M16" i="40"/>
  <c r="K16" i="40"/>
  <c r="J8" i="40"/>
  <c r="M8" i="40"/>
  <c r="K8" i="40"/>
  <c r="I33" i="40"/>
  <c r="H23" i="33"/>
  <c r="J6" i="40"/>
  <c r="M6" i="40"/>
  <c r="K6" i="40"/>
  <c r="I30" i="40"/>
  <c r="H20" i="33"/>
  <c r="J22" i="40"/>
  <c r="M22" i="40"/>
  <c r="K22" i="40" s="1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<sst xmlns="http://schemas.openxmlformats.org/spreadsheetml/2006/main" count="414" uniqueCount="141">
  <si>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</si>
  <si>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</si>
  <si>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</si>
  <si>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</si>
  <si>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</si>
  <si>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</si>
  <si>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</si>
  <si>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</si>
  <si>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</si>
  <si>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</si>
  <si>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</si>
  <si>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</si>
  <si>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</si>
  <si>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</si>
  <si>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</si>
  <si>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</si>
  <si>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</si>
  <si>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</si>
  <si>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</si>
  <si>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</si>
  <si>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</si>
  <si>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</si>
  <si>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</si>
  <si>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</si>
  <si>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</si>
  <si>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</si>
  <si>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</si>
  <si>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</si>
  <si>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</si>
  <si>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</si>
  <si>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</si>
  <si>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</si>
  <si>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</si>
  <si>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</si>
  <si>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</si>
  <si>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</si>
  <si>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</si>
  <si>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</si>
  <si>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</si>
  <si>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</si>
  <si>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</si>
  <si>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</si>
  <si>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</si>
  <si>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</si>
  <si>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</si>
  <si>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</si>
  <si>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</si>
  <si>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</si>
  <si>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</si>
  <si>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</si>
  <si>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</si>
  <si>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</si>
  <si>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</si>
  <si>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</si>
  <si>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</si>
  <si>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</si>
  <si>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</si>
  <si>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</si>
  <si>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</si>
  <si>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</si>
  <si>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</si>
  <si>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</si>
  <si>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</si>
  <si>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</si>
  <si>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</si>
  <si>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</si>
  <si>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</si>
  <si>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</si>
  <si>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</si>
  <si>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</si>
  <si>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</si>
  <si>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</si>
  <si>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</si>
  <si>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</si>
  <si>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</si>
  <si>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</si>
  <si>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</si>
  <si>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</si>
  <si>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</si>
  <si>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</si>
  <si>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</si>
  <si>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</si>
  <si>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</si>
  <si>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</si>
  <si>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</si>
  <si>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</si>
  <si>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</si>
  <si>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</si>
  <si>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</si>
  <si>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</si>
  <si>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</si>
  <si>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</si>
  <si>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</si>
  <si>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</si>
  <si>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</si>
  <si>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</si>
  <si>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</si>
  <si>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</si>
  <si>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</si>
  <si>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</si>
  <si>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</si>
  <si>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</si>
  <si>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</si>
  <si>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</si>
  <si>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</si>
  <si>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</si>
  <si>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</si>
  <si>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</si>
  <si>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</si>
  <si>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</si>
  <si>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</si>
  <si>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</si>
  <si>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</si>
  <si>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</si>
  <si>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</si>
  <si>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</si>
  <si>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</si>
  <si>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</si>
  <si>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</si>
  <si>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</si>
  <si>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</si>
  <si>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</si>
  <si>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</si>
  <si>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</si>
  <si>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</si>
  <si>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</si>
  <si>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</si>
  <si>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</si>
  <si>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</si>
  <si>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</si>
  <si>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</si>
  <si>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</si>
  <si>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</si>
  <si>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</si>
  <si>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</si>
  <si>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</si>
  <si>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</si>
  <si>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</si>
  <si>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</si>
  <si>
    <t>Quote ID</t>
  </si>
  <si>
    <t>Quote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</si>
</sst>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3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M6</v>
          </cell>
        </row>
        <row r="8">
          <cell r="D8" t="str">
            <v>U6</v>
          </cell>
        </row>
      </sheetData>
      <sheetData sheetId="8">
        <row r="7">
          <cell r="D7" t="str">
            <v>Z5</v>
          </cell>
        </row>
        <row r="8">
          <cell r="D8" t="str">
            <v>F6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Z5</v>
          </cell>
        </row>
        <row r="8">
          <cell r="D8" t="str">
            <v>F6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42275</v>
          </cell>
        </row>
        <row r="8">
          <cell r="D8">
            <v>42272</v>
          </cell>
        </row>
      </sheetData>
      <sheetData sheetId="27">
        <row r="7">
          <cell r="D7">
            <v>42275</v>
          </cell>
        </row>
        <row r="8">
          <cell r="D8">
            <v>42272</v>
          </cell>
        </row>
      </sheetData>
      <sheetData sheetId="28">
        <row r="7">
          <cell r="D7">
            <v>42276</v>
          </cell>
        </row>
        <row r="8">
          <cell r="D8">
            <v>42275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1.7.0 - MS VC++ (version unknown) - Multithreaded Dynamic Runtime library - Release Configuration - Nov 10 2015 11:01:27</v>
      </c>
    </row>
    <row r="2" spans="1:34" ht="19.5" thickBot="1" x14ac:dyDescent="0.25">
      <c r="B2" s="205" t="s">
        <v>0</v>
      </c>
      <c r="C2" s="206"/>
      <c r="D2" s="206"/>
      <c r="E2" s="207"/>
      <c r="G2" s="205" t="s">
        <v>106</v>
      </c>
      <c r="H2" s="206"/>
      <c r="I2" s="206"/>
      <c r="J2" s="207"/>
    </row>
    <row r="3" spans="1:34" x14ac:dyDescent="0.2">
      <c r="B3" s="208"/>
      <c r="C3" s="1"/>
      <c r="D3" s="1"/>
      <c r="E3" s="209"/>
      <c r="G3" s="216"/>
      <c r="H3" s="5"/>
      <c r="I3" s="5"/>
      <c r="J3" s="217"/>
    </row>
    <row r="4" spans="1:34" x14ac:dyDescent="0.2">
      <c r="B4" s="208"/>
      <c r="C4" s="2" t="s">
        <v>1</v>
      </c>
      <c r="D4" s="3" t="s">
        <v>2</v>
      </c>
      <c r="E4" s="209"/>
      <c r="G4" s="216"/>
      <c r="H4" s="7" t="s">
        <v>8</v>
      </c>
      <c r="I4" s="47" t="b">
        <v>1</v>
      </c>
      <c r="J4" s="218"/>
    </row>
    <row r="5" spans="1:34" s="45" customFormat="1" x14ac:dyDescent="0.2">
      <c r="A5" s="44"/>
      <c r="B5" s="208"/>
      <c r="C5" s="2" t="s">
        <v>3</v>
      </c>
      <c r="D5" s="4" t="s">
        <v>4</v>
      </c>
      <c r="E5" s="209"/>
      <c r="F5" s="44"/>
      <c r="G5" s="216"/>
      <c r="H5" s="7" t="s">
        <v>9</v>
      </c>
      <c r="I5" s="47" t="b">
        <v>1</v>
      </c>
      <c r="J5" s="218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08"/>
      <c r="C6" s="2" t="s">
        <v>5</v>
      </c>
      <c r="D6" s="4" t="str">
        <f>IF(UPPER(Currency)&lt;&gt;"EUR","L","")&amp;"ibor"</f>
        <v>ibor</v>
      </c>
      <c r="E6" s="209"/>
      <c r="F6" s="44"/>
      <c r="G6" s="216"/>
      <c r="H6" s="7" t="s">
        <v>11</v>
      </c>
      <c r="I6" s="47" t="b">
        <v>0</v>
      </c>
      <c r="J6" s="218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08"/>
      <c r="C7" s="2" t="s">
        <v>6</v>
      </c>
      <c r="D7" s="6" t="s">
        <v>7</v>
      </c>
      <c r="E7" s="209"/>
      <c r="G7" s="216"/>
      <c r="H7" s="7" t="s">
        <v>12</v>
      </c>
      <c r="I7" s="48"/>
      <c r="J7" s="218"/>
    </row>
    <row r="8" spans="1:34" x14ac:dyDescent="0.2">
      <c r="B8" s="208"/>
      <c r="C8" s="2" t="s">
        <v>94</v>
      </c>
      <c r="D8" s="9" t="s">
        <v>95</v>
      </c>
      <c r="E8" s="209"/>
      <c r="G8" s="216"/>
      <c r="H8" s="7" t="s">
        <v>13</v>
      </c>
      <c r="I8" s="49" t="b">
        <v>1</v>
      </c>
      <c r="J8" s="218"/>
    </row>
    <row r="9" spans="1:34" x14ac:dyDescent="0.2">
      <c r="B9" s="208"/>
      <c r="C9" s="2" t="s">
        <v>108</v>
      </c>
      <c r="D9" s="9" t="s">
        <v>14</v>
      </c>
      <c r="E9" s="209"/>
      <c r="G9" s="216"/>
      <c r="H9" s="5"/>
      <c r="I9" s="5"/>
      <c r="J9" s="217"/>
    </row>
    <row r="10" spans="1:34" x14ac:dyDescent="0.2">
      <c r="B10" s="210"/>
      <c r="C10" s="211"/>
      <c r="D10" s="211"/>
      <c r="E10" s="209"/>
      <c r="G10" s="216"/>
      <c r="H10" s="7" t="s">
        <v>15</v>
      </c>
      <c r="I10" s="49" t="s">
        <v>16</v>
      </c>
      <c r="J10" s="218"/>
    </row>
    <row r="11" spans="1:34" x14ac:dyDescent="0.2">
      <c r="B11" s="208"/>
      <c r="C11" s="30" t="s">
        <v>19</v>
      </c>
      <c r="D11" s="31">
        <v>42216.718761574077</v>
      </c>
      <c r="E11" s="209"/>
      <c r="G11" s="216"/>
      <c r="H11" s="7" t="s">
        <v>17</v>
      </c>
      <c r="I11" s="50">
        <v>1E-4</v>
      </c>
      <c r="J11" s="218"/>
    </row>
    <row r="12" spans="1:34" x14ac:dyDescent="0.2">
      <c r="B12" s="208"/>
      <c r="C12" s="30" t="s">
        <v>20</v>
      </c>
      <c r="D12" s="32" t="b">
        <v>0</v>
      </c>
      <c r="E12" s="209"/>
      <c r="G12" s="216"/>
      <c r="H12" s="7" t="s">
        <v>18</v>
      </c>
      <c r="I12" s="51">
        <v>-0.01</v>
      </c>
      <c r="J12" s="218"/>
    </row>
    <row r="13" spans="1:34" x14ac:dyDescent="0.2">
      <c r="B13" s="212"/>
      <c r="C13" s="213"/>
      <c r="D13" s="214"/>
      <c r="E13" s="215"/>
      <c r="G13" s="219"/>
      <c r="H13" s="220"/>
      <c r="I13" s="220"/>
      <c r="J13" s="221"/>
    </row>
    <row r="14" spans="1:34" x14ac:dyDescent="0.2">
      <c r="C14" s="46"/>
      <c r="D14" s="46"/>
      <c r="E14" s="46"/>
    </row>
    <row r="15" spans="1:34" ht="18.75" x14ac:dyDescent="0.2">
      <c r="B15" s="227" t="s">
        <v>138</v>
      </c>
      <c r="C15" s="228"/>
      <c r="D15" s="228"/>
      <c r="E15" s="229"/>
      <c r="G15" s="227" t="s">
        <v>90</v>
      </c>
      <c r="H15" s="228"/>
      <c r="I15" s="228"/>
      <c r="J15" s="229"/>
    </row>
    <row r="16" spans="1:34" x14ac:dyDescent="0.2">
      <c r="B16" s="210"/>
      <c r="C16" s="20"/>
      <c r="D16" s="21"/>
      <c r="E16" s="224"/>
      <c r="G16" s="222"/>
      <c r="H16" s="10"/>
      <c r="I16" s="10"/>
      <c r="J16" s="108"/>
    </row>
    <row r="17" spans="2:10" x14ac:dyDescent="0.2">
      <c r="B17" s="208"/>
      <c r="C17" s="24" t="s">
        <v>10</v>
      </c>
      <c r="D17" s="8">
        <f>_xll.qlCalendarAdvance(Calendar,_xll.qlCalendarAdjust(Calendar,EvaluationDate,"f",Trigger),"2D","f")</f>
        <v>42279</v>
      </c>
      <c r="E17" s="209"/>
      <c r="G17" s="222"/>
      <c r="H17" s="2" t="s">
        <v>21</v>
      </c>
      <c r="I17" s="230"/>
      <c r="J17" s="108"/>
    </row>
    <row r="18" spans="2:10" x14ac:dyDescent="0.2">
      <c r="B18" s="208"/>
      <c r="C18" s="2" t="s">
        <v>85</v>
      </c>
      <c r="D18" s="23" t="s">
        <v>87</v>
      </c>
      <c r="E18" s="209"/>
      <c r="G18" s="222"/>
      <c r="H18" s="2" t="s">
        <v>22</v>
      </c>
      <c r="I18" s="33">
        <f>_xll.qlSettingsEvaluationDate(Trigger)</f>
        <v>42277</v>
      </c>
      <c r="J18" s="108"/>
    </row>
    <row r="19" spans="2:10" x14ac:dyDescent="0.2">
      <c r="B19" s="208"/>
      <c r="C19" s="2" t="s">
        <v>86</v>
      </c>
      <c r="D19" s="25" t="str">
        <f>_xll.qlInterpolation(,BasisInterpolation,'1YSynthDepo'!E5:E17,'1YSynthDepo'!I5:I17)</f>
        <v>obj_0059e#0002</v>
      </c>
      <c r="E19" s="209"/>
      <c r="G19" s="222"/>
      <c r="H19" s="2" t="s">
        <v>23</v>
      </c>
      <c r="I19" s="34">
        <f>[1]!TriggerCounter</f>
        <v>2</v>
      </c>
      <c r="J19" s="108"/>
    </row>
    <row r="20" spans="2:10" x14ac:dyDescent="0.2">
      <c r="B20" s="208"/>
      <c r="C20" s="340"/>
      <c r="D20" s="340"/>
      <c r="E20" s="209"/>
      <c r="G20" s="222"/>
      <c r="H20" s="2" t="s">
        <v>24</v>
      </c>
      <c r="I20" s="35">
        <f>[1]!LastFixingsTrigger</f>
        <v>1</v>
      </c>
      <c r="J20" s="108"/>
    </row>
    <row r="21" spans="2:10" x14ac:dyDescent="0.2">
      <c r="B21" s="208"/>
      <c r="C21" s="340"/>
      <c r="D21" s="340"/>
      <c r="E21" s="209"/>
      <c r="G21" s="222"/>
      <c r="H21" s="2" t="s">
        <v>27</v>
      </c>
      <c r="I21" s="3">
        <f>_xll.ohTrigger(Contribution!U16,Contribution!U22,Contribution!U29,Contribution!U39,Contribution!U55)</f>
        <v>0</v>
      </c>
      <c r="J21" s="108"/>
    </row>
    <row r="22" spans="2:10" x14ac:dyDescent="0.2">
      <c r="B22" s="212"/>
      <c r="C22" s="225"/>
      <c r="D22" s="225"/>
      <c r="E22" s="215"/>
      <c r="G22" s="223"/>
      <c r="H22" s="115"/>
      <c r="I22" s="115"/>
      <c r="J22" s="116"/>
    </row>
    <row r="24" spans="2:10" ht="18.75" x14ac:dyDescent="0.2">
      <c r="B24" s="227" t="str">
        <f>D26&amp;" Curve Settings"</f>
        <v>1M Curve Settings</v>
      </c>
      <c r="C24" s="228"/>
      <c r="D24" s="228"/>
      <c r="E24" s="229"/>
    </row>
    <row r="25" spans="2:10" x14ac:dyDescent="0.2">
      <c r="B25" s="208"/>
      <c r="C25" s="1"/>
      <c r="D25" s="1"/>
      <c r="E25" s="209"/>
    </row>
    <row r="26" spans="2:10" x14ac:dyDescent="0.2">
      <c r="B26" s="208"/>
      <c r="C26" s="24" t="s">
        <v>25</v>
      </c>
      <c r="D26" s="3" t="s">
        <v>35</v>
      </c>
      <c r="E26" s="209"/>
    </row>
    <row r="27" spans="2:10" x14ac:dyDescent="0.2">
      <c r="B27" s="208"/>
      <c r="C27" s="24" t="s">
        <v>28</v>
      </c>
      <c r="D27" s="22">
        <v>2</v>
      </c>
      <c r="E27" s="209"/>
    </row>
    <row r="28" spans="2:10" x14ac:dyDescent="0.2">
      <c r="B28" s="208"/>
      <c r="C28" s="2" t="s">
        <v>84</v>
      </c>
      <c r="D28" s="36" t="str">
        <f>_xll.qlEuribor(,"1M",D34,,Trigger)</f>
        <v>obj_0048f#0002</v>
      </c>
      <c r="E28" s="209"/>
    </row>
    <row r="29" spans="2:10" x14ac:dyDescent="0.2">
      <c r="B29" s="210"/>
      <c r="C29" s="211"/>
      <c r="D29" s="211"/>
      <c r="E29" s="224"/>
    </row>
    <row r="30" spans="2:10" x14ac:dyDescent="0.2">
      <c r="B30" s="208"/>
      <c r="C30" s="24" t="s">
        <v>29</v>
      </c>
      <c r="D30" s="4" t="e">
        <v>#N/A</v>
      </c>
      <c r="E30" s="209"/>
    </row>
    <row r="31" spans="2:10" x14ac:dyDescent="0.2">
      <c r="B31" s="208"/>
      <c r="C31" s="24" t="s">
        <v>30</v>
      </c>
      <c r="D31" s="6" t="s">
        <v>31</v>
      </c>
      <c r="E31" s="209"/>
    </row>
    <row r="32" spans="2:10" x14ac:dyDescent="0.2">
      <c r="B32" s="208"/>
      <c r="C32" s="24" t="s">
        <v>32</v>
      </c>
      <c r="D32" s="9" t="s">
        <v>105</v>
      </c>
      <c r="E32" s="209"/>
    </row>
    <row r="33" spans="2:5" x14ac:dyDescent="0.2">
      <c r="B33" s="210"/>
      <c r="C33" s="42"/>
      <c r="D33" s="43"/>
      <c r="E33" s="209"/>
    </row>
    <row r="34" spans="2:5" x14ac:dyDescent="0.2">
      <c r="B34" s="208"/>
      <c r="C34" s="28" t="s">
        <v>88</v>
      </c>
      <c r="D34" s="52" t="str">
        <f>_xll.qlPiecewiseYieldCurve(,2,Calendar,_xll.ohPack('1MSynthDepo'!G13:G21),"actual/365",,,,D31,D32,,Trigger)</f>
        <v>obj_0048e#0002</v>
      </c>
      <c r="E34" s="209"/>
    </row>
    <row r="35" spans="2:5" x14ac:dyDescent="0.2">
      <c r="B35" s="208"/>
      <c r="C35" s="29" t="s">
        <v>89</v>
      </c>
      <c r="D35" s="53" t="str">
        <f>_xll.ohRangeRetrieveError($D$34)</f>
        <v/>
      </c>
      <c r="E35" s="226"/>
    </row>
    <row r="36" spans="2:5" x14ac:dyDescent="0.2">
      <c r="B36" s="210"/>
      <c r="C36" s="211"/>
      <c r="D36" s="211"/>
      <c r="E36" s="226"/>
    </row>
    <row r="37" spans="2:5" x14ac:dyDescent="0.2">
      <c r="B37" s="208"/>
      <c r="C37" s="26">
        <f>_xll.qlTermStructureReferenceDate(D34)</f>
        <v>42279</v>
      </c>
      <c r="D37" s="37">
        <f>_xll.qlYieldTSDiscount(D34,C37,,Trigger)</f>
        <v>1</v>
      </c>
      <c r="E37" s="226"/>
    </row>
    <row r="38" spans="2:5" x14ac:dyDescent="0.2">
      <c r="B38" s="208"/>
      <c r="C38" s="27">
        <f>_xll.qlTermStructureMaxDate(D34)</f>
        <v>42492</v>
      </c>
      <c r="D38" s="38">
        <f>_xll.qlYieldTSDiscount(D34,C38,,Trigger)</f>
        <v>1.0007402016501707</v>
      </c>
      <c r="E38" s="226"/>
    </row>
    <row r="39" spans="2:5" x14ac:dyDescent="0.2">
      <c r="B39" s="212"/>
      <c r="C39" s="225"/>
      <c r="D39" s="225"/>
      <c r="E39" s="215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4" hidden="1" customWidth="1" outlineLevel="1"/>
    <col min="2" max="2" width="7" style="164" hidden="1" customWidth="1" outlineLevel="1"/>
    <col min="3" max="3" width="3.5" style="164" hidden="1" customWidth="1" outlineLevel="1"/>
    <col min="4" max="4" width="2.33203125" style="176" hidden="1" customWidth="1" outlineLevel="1"/>
    <col min="5" max="5" width="4.6640625" style="176" hidden="1" customWidth="1" outlineLevel="1"/>
    <col min="6" max="6" width="8.1640625" style="164" hidden="1" customWidth="1" outlineLevel="1"/>
    <col min="7" max="7" width="22.6640625" style="164" hidden="1" customWidth="1" outlineLevel="1"/>
    <col min="8" max="8" width="23" style="164" hidden="1" customWidth="1" outlineLevel="1"/>
    <col min="9" max="9" width="10.5" style="164" hidden="1" customWidth="1" outlineLevel="1"/>
    <col min="10" max="10" width="16.1640625" style="164" hidden="1" customWidth="1" outlineLevel="1"/>
    <col min="11" max="11" width="17.83203125" style="178" hidden="1" customWidth="1" outlineLevel="1"/>
    <col min="12" max="12" width="14.1640625" style="164" hidden="1" customWidth="1" outlineLevel="1"/>
    <col min="13" max="13" width="19" style="164" hidden="1" customWidth="1" outlineLevel="1"/>
    <col min="14" max="14" width="7" style="164" customWidth="1" collapsed="1"/>
    <col min="15" max="15" width="2.33203125" style="164" bestFit="1" customWidth="1"/>
    <col min="16" max="16" width="3.5" style="164" customWidth="1"/>
    <col min="17" max="17" width="22.83203125" style="164" customWidth="1"/>
    <col min="18" max="18" width="12.83203125" style="164" bestFit="1" customWidth="1"/>
    <col min="19" max="19" width="12.83203125" style="164" customWidth="1"/>
    <col min="20" max="21" width="11.33203125" style="164" customWidth="1"/>
    <col min="22" max="22" width="12.83203125" style="164" bestFit="1" customWidth="1"/>
    <col min="23" max="23" width="9.33203125" style="164" bestFit="1" customWidth="1"/>
    <col min="24" max="24" width="10.5" style="164" customWidth="1"/>
    <col min="25" max="25" width="9.33203125" style="164" hidden="1" customWidth="1" outlineLevel="1"/>
    <col min="26" max="26" width="8.1640625" style="164" hidden="1" customWidth="1" outlineLevel="1"/>
    <col min="27" max="27" width="8.1640625" style="164" bestFit="1" customWidth="1" collapsed="1"/>
    <col min="28" max="28" width="11.5" style="164" customWidth="1"/>
    <col min="29" max="29" width="2.83203125" style="164" customWidth="1"/>
    <col min="30" max="30" width="15.33203125" style="164" customWidth="1"/>
    <col min="31" max="31" width="17" style="164" customWidth="1"/>
    <col min="32" max="32" width="9.33203125" style="164"/>
    <col min="33" max="33" width="10.5" style="164" bestFit="1" customWidth="1"/>
    <col min="34" max="16384" width="9.33203125" style="164"/>
  </cols>
  <sheetData>
    <row r="1" spans="1:33" ht="11.25" customHeight="1" x14ac:dyDescent="0.2">
      <c r="D1" s="164"/>
      <c r="E1" s="164"/>
      <c r="K1" s="164" t="str">
        <f>Currency&amp;IborType&amp;"1M"</f>
        <v>EURibor1M</v>
      </c>
      <c r="L1" s="164" t="str">
        <f>_xll.ohRangeRetrieveError(K1)</f>
        <v/>
      </c>
      <c r="R1" s="325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2"/>
      <c r="B2" s="165" t="s">
        <v>96</v>
      </c>
      <c r="C2" s="165"/>
      <c r="D2" s="166"/>
      <c r="E2" s="166"/>
      <c r="F2" s="165" t="s">
        <v>97</v>
      </c>
      <c r="G2" s="165" t="s">
        <v>98</v>
      </c>
      <c r="H2" s="165" t="s">
        <v>99</v>
      </c>
      <c r="I2" s="165" t="s">
        <v>100</v>
      </c>
      <c r="J2" s="165" t="s">
        <v>72</v>
      </c>
      <c r="K2" s="165" t="s">
        <v>73</v>
      </c>
      <c r="L2" s="167" t="s">
        <v>33</v>
      </c>
      <c r="M2" s="168" t="s">
        <v>74</v>
      </c>
      <c r="N2" s="175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3"/>
      <c r="B3" s="301" t="s">
        <v>102</v>
      </c>
      <c r="C3" s="302"/>
      <c r="D3" s="303"/>
      <c r="E3" s="303"/>
      <c r="F3" s="304"/>
      <c r="G3" s="304"/>
      <c r="H3" s="304"/>
      <c r="I3" s="305"/>
      <c r="J3" s="306" t="str">
        <f>PROPER((Currency))&amp;IborType&amp;S1&amp;"LastFixing"&amp;QuoteSuffix</f>
        <v>Euribor1MLastFixing_Quote</v>
      </c>
      <c r="K3" s="307" t="str">
        <f>_xll.qlDepositRateHelper(,J3,K1,,Trigger)</f>
        <v>obj_00467#0002</v>
      </c>
      <c r="L3" s="306" t="str">
        <f>_xll.ohRangeRetrieveError(K3)</f>
        <v/>
      </c>
      <c r="M3" s="330" t="b">
        <v>1</v>
      </c>
      <c r="N3" s="164">
        <v>0</v>
      </c>
      <c r="O3" s="164" t="s">
        <v>34</v>
      </c>
      <c r="P3" s="164">
        <v>1</v>
      </c>
      <c r="Q3" s="201" t="str">
        <f>Currency&amp;N3&amp;O3&amp;P3&amp;"F_Estimated"</f>
        <v>EUR0x1F_Estimated</v>
      </c>
      <c r="R3" s="328">
        <f>SettlementDate</f>
        <v>42279</v>
      </c>
      <c r="S3" s="328">
        <f>_xll.qlInterestRateIndexMaturity(iborindex1M,R3,Trigger)</f>
        <v>42310</v>
      </c>
      <c r="T3" s="62">
        <f>_xll.qlIndexFixing(iborindex1M,_xll.qlInterestRateIndexFixingDate(iborindex1M,R3,Trigger),TRUE,AllTriggers)</f>
        <v>-1.1300000000010854E-3</v>
      </c>
      <c r="U3" s="236"/>
      <c r="V3" s="236"/>
      <c r="W3" s="187">
        <f>_xll.qlTenorBasisValue(TenorBasis1M,R3,Trigger)</f>
        <v>2.6999999976827808E-4</v>
      </c>
      <c r="X3" s="236"/>
      <c r="Y3" s="236"/>
      <c r="Z3" s="59">
        <f>_xll.qlDayCounterYearFraction("actual/365 (fixed)",SettlementDate,R3,,,Trigger)</f>
        <v>0</v>
      </c>
      <c r="AA3" s="59">
        <f>_xll.qlYieldTSDiscount(Discounting,R3,,AllTriggers)</f>
        <v>1.0000063889195219</v>
      </c>
      <c r="AB3" s="254"/>
      <c r="AD3" s="274" t="s">
        <v>135</v>
      </c>
      <c r="AE3" s="187" t="str">
        <f>_xll.qlIborIndex(,,S1,2,Currency,Calendar,"mf",TRUE,DayCounter,Discounting,,Trigger)</f>
        <v>obj_0044c#0002</v>
      </c>
      <c r="AF3" s="54"/>
      <c r="AG3" s="54"/>
    </row>
    <row r="4" spans="1:33" ht="11.25" customHeight="1" x14ac:dyDescent="0.2">
      <c r="A4" s="173"/>
      <c r="B4" s="308" t="s">
        <v>102</v>
      </c>
      <c r="C4" s="309" t="s">
        <v>42</v>
      </c>
      <c r="D4" s="310">
        <v>2</v>
      </c>
      <c r="E4" s="310" t="s">
        <v>103</v>
      </c>
      <c r="F4" s="308" t="s">
        <v>104</v>
      </c>
      <c r="G4" s="311" t="s">
        <v>101</v>
      </c>
      <c r="H4" s="311" t="s">
        <v>14</v>
      </c>
      <c r="I4" s="312">
        <v>0</v>
      </c>
      <c r="J4" s="313" t="str">
        <f t="shared" ref="J4:J9" si="0">Currency&amp;$D4&amp;$E4&amp;"_Quote"</f>
        <v>EUR2X1S_Quote</v>
      </c>
      <c r="K4" s="155" t="str">
        <f>_xll.qlSwapRateHelper2(,$J4,,C4,Calendar,$F4,$G4,$H4,$K$1,$I4,B4,Discounting,,,Permanent,Trigger,ObjectOverwrite)</f>
        <v>obj_0044b#0002</v>
      </c>
      <c r="L4" s="306" t="str">
        <f>_xll.ohRangeRetrieveError(K4)</f>
        <v/>
      </c>
      <c r="M4" s="331" t="b">
        <v>1</v>
      </c>
      <c r="N4" s="251">
        <v>1</v>
      </c>
      <c r="O4" s="252" t="s">
        <v>34</v>
      </c>
      <c r="P4" s="253">
        <v>2</v>
      </c>
      <c r="Q4" s="244" t="str">
        <f>PROPER((Currency))&amp;IborType&amp;S1&amp;"LastFixing"&amp;QuoteSuffix</f>
        <v>Euribor1MLastFixing_Quote</v>
      </c>
      <c r="R4" s="291">
        <f>SettlementDate</f>
        <v>42279</v>
      </c>
      <c r="S4" s="291">
        <f>_xll.qlInterestRateIndexMaturity(iborindex1M,R4,Trigger)</f>
        <v>42310</v>
      </c>
      <c r="T4" s="187">
        <f>_xll.qlQuoteValue(Q4,LastFixingsTrigger)</f>
        <v>-1.1299999999999999E-3</v>
      </c>
      <c r="U4" s="187">
        <f>_xll.qlIndexFixing(ON_1M_index,_xll.qlInterestRateIndexFixingDate(ON_1M_index,R4),,AllTriggers)</f>
        <v>-1.3999999997693635E-3</v>
      </c>
      <c r="V4" s="255">
        <f>T4-U4</f>
        <v>2.6999999976936358E-4</v>
      </c>
      <c r="W4" s="183">
        <f>_xll.qlTenorBasisValue(TenorBasis1M,R4,Trigger)</f>
        <v>2.6999999976827808E-4</v>
      </c>
      <c r="X4" s="184">
        <f>Y4*10000</f>
        <v>1.085503215092487E-11</v>
      </c>
      <c r="Y4" s="275">
        <f>V4-W4</f>
        <v>1.085503215092487E-15</v>
      </c>
      <c r="Z4" s="281">
        <f>_xll.qlDayCounterYearFraction("actual/365 (fixed)",SettlementDate,R4,,,Trigger)</f>
        <v>0</v>
      </c>
      <c r="AA4" s="333">
        <f>_xll.qlYieldTSDiscount(Discounting,R4,,AllTriggers)</f>
        <v>1.0000063889195219</v>
      </c>
      <c r="AB4" s="238" t="b">
        <v>0</v>
      </c>
      <c r="AD4" s="54"/>
      <c r="AE4" s="54"/>
      <c r="AF4" s="54"/>
      <c r="AG4" s="54"/>
    </row>
    <row r="5" spans="1:33" ht="11.25" customHeight="1" x14ac:dyDescent="0.2">
      <c r="A5" s="173"/>
      <c r="B5" s="301" t="s">
        <v>102</v>
      </c>
      <c r="C5" s="314" t="s">
        <v>36</v>
      </c>
      <c r="D5" s="315">
        <v>3</v>
      </c>
      <c r="E5" s="315" t="s">
        <v>103</v>
      </c>
      <c r="F5" s="301" t="s">
        <v>104</v>
      </c>
      <c r="G5" s="316" t="s">
        <v>101</v>
      </c>
      <c r="H5" s="316" t="s">
        <v>14</v>
      </c>
      <c r="I5" s="317">
        <v>0</v>
      </c>
      <c r="J5" s="318" t="str">
        <f t="shared" si="0"/>
        <v>EUR3X1S_Quote</v>
      </c>
      <c r="K5" s="157" t="str">
        <f>_xll.qlSwapRateHelper2(,$J5,,C5,Calendar,$F5,$G5,$H5,$K$1,$I5,B5,Discounting,,,Permanent,Trigger,ObjectOverwrite)</f>
        <v>obj_0044a#0002</v>
      </c>
      <c r="L5" s="199" t="str">
        <f>_xll.ohRangeRetrieveError(K5)</f>
        <v/>
      </c>
      <c r="M5" s="331" t="b">
        <v>1</v>
      </c>
      <c r="N5" s="164">
        <v>0</v>
      </c>
      <c r="O5" s="164" t="s">
        <v>34</v>
      </c>
      <c r="P5" s="164">
        <f>N5+SUBSTITUTE($S$1,"M","")</f>
        <v>1</v>
      </c>
      <c r="Q5" s="201" t="str">
        <f>Currency&amp;N5&amp;O5&amp;P5&amp;"F"</f>
        <v>EUR0x1F</v>
      </c>
      <c r="R5" s="328">
        <f>_xll.qlCalendarAdvance("target",SettlementDate,N5&amp;"M","mf",,Trigger)</f>
        <v>42279</v>
      </c>
      <c r="S5" s="328">
        <f>_xll.qlInterestRateIndexMaturity(iborindex1M,R5,Trigger)</f>
        <v>42310</v>
      </c>
      <c r="T5" s="62">
        <f>_xll.qlIndexFixing(iborindex1M,_xll.qlInterestRateIndexFixingDate(iborindex1M,R5,Trigger),TRUE,AllTriggers)</f>
        <v>-1.1300000000010854E-3</v>
      </c>
      <c r="U5" s="62">
        <f>_xll.qlIndexFixing(ON_1M_index,_xll.qlInterestRateIndexFixingDate(ON_1M_index,R5),,AllTriggers)</f>
        <v>-1.3999999997693635E-3</v>
      </c>
      <c r="V5" s="262">
        <f>T5-U5</f>
        <v>2.6999999976827808E-4</v>
      </c>
      <c r="W5" s="67">
        <f>_xll.qlTenorBasisValue(TenorBasis1M,R5,Trigger)</f>
        <v>2.6999999976827808E-4</v>
      </c>
      <c r="X5" s="237">
        <f>Y5*10000</f>
        <v>0</v>
      </c>
      <c r="Y5" s="231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1.0000063889195219</v>
      </c>
      <c r="AB5" s="238" t="b">
        <v>1</v>
      </c>
      <c r="AD5" s="258" t="s">
        <v>125</v>
      </c>
      <c r="AE5" s="259"/>
      <c r="AF5" s="54"/>
      <c r="AG5" s="55"/>
    </row>
    <row r="6" spans="1:33" ht="11.25" customHeight="1" x14ac:dyDescent="0.2">
      <c r="A6" s="172"/>
      <c r="B6" s="301" t="s">
        <v>102</v>
      </c>
      <c r="C6" s="314" t="s">
        <v>43</v>
      </c>
      <c r="D6" s="315">
        <v>4</v>
      </c>
      <c r="E6" s="315" t="s">
        <v>103</v>
      </c>
      <c r="F6" s="301" t="s">
        <v>104</v>
      </c>
      <c r="G6" s="316" t="s">
        <v>101</v>
      </c>
      <c r="H6" s="316" t="s">
        <v>14</v>
      </c>
      <c r="I6" s="317">
        <v>0</v>
      </c>
      <c r="J6" s="318" t="str">
        <f t="shared" si="0"/>
        <v>EUR4X1S_Quote</v>
      </c>
      <c r="K6" s="157" t="str">
        <f>_xll.qlSwapRateHelper2(,$J6,,C6,Calendar,$F6,$G6,$H6,$K$1,$I6,B6,Discounting,,,Permanent,Trigger,ObjectOverwrite)</f>
        <v>obj_00449#0002</v>
      </c>
      <c r="L6" s="199" t="str">
        <f>_xll.ohRangeRetrieveError(K6)</f>
        <v/>
      </c>
      <c r="M6" s="331" t="b">
        <v>1</v>
      </c>
      <c r="N6" s="164">
        <v>1</v>
      </c>
      <c r="O6" s="164" t="s">
        <v>34</v>
      </c>
      <c r="P6" s="164">
        <f>N6+SUBSTITUTE($S$1,"M","")</f>
        <v>2</v>
      </c>
      <c r="Q6" s="201" t="str">
        <f>Currency&amp;N6&amp;O6&amp;P6&amp;"F"</f>
        <v>EUR1x2F</v>
      </c>
      <c r="R6" s="328">
        <f>_xll.qlCalendarAdvance("target",SettlementDate,N6&amp;"M","mf",,Trigger)</f>
        <v>42310</v>
      </c>
      <c r="S6" s="328">
        <f>_xll.qlInterestRateIndexMaturity(iborindex1M,R6,Trigger)</f>
        <v>42340</v>
      </c>
      <c r="T6" s="62">
        <f>_xll.qlIndexFixing(iborindex1M,_xll.qlInterestRateIndexFixingDate(iborindex1M,R6,Trigger),TRUE,AllTriggers)</f>
        <v>-1.2318128047916765E-3</v>
      </c>
      <c r="U6" s="62">
        <f>_xll.qlIndexFixing(ON_1M_index,_xll.qlInterestRateIndexFixingDate(ON_1M_index,R6),,AllTriggers)</f>
        <v>-1.501847722991112E-3</v>
      </c>
      <c r="V6" s="262">
        <f>T6-U6</f>
        <v>2.7003491819943548E-4</v>
      </c>
      <c r="W6" s="62">
        <f>_xll.qlTenorBasisValue(TenorBasis1M,R6,Trigger)</f>
        <v>2.7003491819943548E-4</v>
      </c>
      <c r="X6" s="185">
        <f t="shared" ref="X6:X8" si="1">Y6*10000</f>
        <v>0</v>
      </c>
      <c r="Y6" s="231">
        <f t="shared" ref="Y6:Y8" si="2">V6-W6</f>
        <v>0</v>
      </c>
      <c r="Z6" s="59">
        <f>_xll.qlDayCounterYearFraction("actual/365 (fixed)",SettlementDate,R6,,,Trigger)</f>
        <v>8.4931506849315067E-2</v>
      </c>
      <c r="AA6" s="59">
        <f>_xll.qlYieldTSDiscount(Discounting,R6,,AllTriggers)</f>
        <v>1.0001269597807645</v>
      </c>
      <c r="AB6" s="234" t="b">
        <v>1</v>
      </c>
      <c r="AD6" s="274" t="s">
        <v>126</v>
      </c>
      <c r="AE6" s="279" t="str">
        <f>_xll.qlPolynomialCalibration(,_xll.ohFilter($Z$5:$Z$8,$AB$5:$AB$8),_xll.ohFilter($V$5:$V$8,$AB$5:$AB$8),_xll.ohFilter($AA$5:$AA$8,$AB$5:$AB$8),_xll.ohFilter(AG13:AG17,AF13:AF17),,,,,Trigger)</f>
        <v>obj_0059c#0002</v>
      </c>
      <c r="AF6" s="54"/>
      <c r="AG6" s="55"/>
    </row>
    <row r="7" spans="1:33" ht="11.25" customHeight="1" x14ac:dyDescent="0.2">
      <c r="A7" s="172"/>
      <c r="B7" s="301" t="s">
        <v>102</v>
      </c>
      <c r="C7" s="314" t="s">
        <v>44</v>
      </c>
      <c r="D7" s="315">
        <v>5</v>
      </c>
      <c r="E7" s="315" t="s">
        <v>103</v>
      </c>
      <c r="F7" s="301" t="s">
        <v>104</v>
      </c>
      <c r="G7" s="316" t="s">
        <v>101</v>
      </c>
      <c r="H7" s="316" t="s">
        <v>14</v>
      </c>
      <c r="I7" s="317">
        <v>0</v>
      </c>
      <c r="J7" s="318" t="str">
        <f t="shared" si="0"/>
        <v>EUR5X1S_Quote</v>
      </c>
      <c r="K7" s="157" t="str">
        <f>_xll.qlSwapRateHelper2(,$J7,,C7,Calendar,$F7,$G7,$H7,$K$1,$I7,B7,Discounting,,,Permanent,Trigger,ObjectOverwrite)</f>
        <v>obj_00448#0002</v>
      </c>
      <c r="L7" s="199" t="str">
        <f>_xll.ohRangeRetrieveError(K7)</f>
        <v/>
      </c>
      <c r="M7" s="331" t="b">
        <v>1</v>
      </c>
      <c r="N7" s="164">
        <v>2</v>
      </c>
      <c r="O7" s="164" t="s">
        <v>34</v>
      </c>
      <c r="P7" s="164">
        <f>N7+SUBSTITUTE($S$1,"M","")</f>
        <v>3</v>
      </c>
      <c r="Q7" s="201" t="str">
        <f>Currency&amp;N7&amp;O7&amp;P7&amp;"F"</f>
        <v>EUR2x3F</v>
      </c>
      <c r="R7" s="328">
        <f>_xll.qlCalendarAdvance("target",SettlementDate,N7&amp;"M","mf",,Trigger)</f>
        <v>42340</v>
      </c>
      <c r="S7" s="328">
        <f>_xll.qlInterestRateIndexMaturity(iborindex1M,R7,Trigger)</f>
        <v>42373</v>
      </c>
      <c r="T7" s="62">
        <f>_xll.qlIndexFixing(iborindex1M,_xll.qlInterestRateIndexFixingDate(iborindex1M,R7,Trigger),TRUE,AllTriggers)</f>
        <v>-1.1802784638134415E-3</v>
      </c>
      <c r="U7" s="62">
        <f>_xll.qlIndexFixing(ON_1M_index,_xll.qlInterestRateIndexFixingDate(ON_1M_index,R7),,AllTriggers)</f>
        <v>-1.3927059087363732E-3</v>
      </c>
      <c r="V7" s="262">
        <f>T7-U7</f>
        <v>2.1242744492293167E-4</v>
      </c>
      <c r="W7" s="62">
        <f>_xll.qlTenorBasisValue(TenorBasis1M,R7,Trigger)</f>
        <v>2.1242744492293156E-4</v>
      </c>
      <c r="X7" s="185">
        <f t="shared" si="1"/>
        <v>0</v>
      </c>
      <c r="Y7" s="231">
        <f t="shared" si="2"/>
        <v>0</v>
      </c>
      <c r="Z7" s="59">
        <f>_xll.qlDayCounterYearFraction("actual/365 (fixed)",SettlementDate,R7,,,Trigger)</f>
        <v>0.16712328767123288</v>
      </c>
      <c r="AA7" s="59">
        <f>_xll.qlYieldTSDiscount(Discounting,R7,,AllTriggers)</f>
        <v>1.0002521453146693</v>
      </c>
      <c r="AB7" s="234" t="b">
        <v>1</v>
      </c>
      <c r="AD7" s="274" t="s">
        <v>127</v>
      </c>
      <c r="AE7" s="279" t="b">
        <f>_xll.qlPolynomialCalibrationCompute($AE$6,AllTriggers)</f>
        <v>1</v>
      </c>
      <c r="AF7" s="54"/>
      <c r="AG7" s="55"/>
    </row>
    <row r="8" spans="1:33" ht="11.25" customHeight="1" x14ac:dyDescent="0.2">
      <c r="A8" s="172"/>
      <c r="B8" s="301" t="s">
        <v>102</v>
      </c>
      <c r="C8" s="314" t="s">
        <v>37</v>
      </c>
      <c r="D8" s="315">
        <v>6</v>
      </c>
      <c r="E8" s="315" t="s">
        <v>103</v>
      </c>
      <c r="F8" s="301" t="s">
        <v>104</v>
      </c>
      <c r="G8" s="316" t="s">
        <v>101</v>
      </c>
      <c r="H8" s="316" t="s">
        <v>14</v>
      </c>
      <c r="I8" s="317">
        <v>0</v>
      </c>
      <c r="J8" s="318" t="str">
        <f t="shared" si="0"/>
        <v>EUR6X1S_Quote</v>
      </c>
      <c r="K8" s="157" t="str">
        <f>_xll.qlSwapRateHelper2(,$J8,,C8,Calendar,$F8,$G8,$H8,$K$1,$I8,B8,Discounting,,,Permanent,Trigger,ObjectOverwrite)</f>
        <v>obj_00446#0002</v>
      </c>
      <c r="L8" s="199" t="str">
        <f>_xll.ohRangeRetrieveError(K8)</f>
        <v/>
      </c>
      <c r="M8" s="331" t="b">
        <v>1</v>
      </c>
      <c r="N8" s="164">
        <v>3</v>
      </c>
      <c r="O8" s="164" t="s">
        <v>34</v>
      </c>
      <c r="P8" s="164">
        <f>N8+SUBSTITUTE($S$1,"M","")</f>
        <v>4</v>
      </c>
      <c r="Q8" s="202" t="str">
        <f>Currency&amp;N8&amp;O8&amp;P8&amp;"F"</f>
        <v>EUR3x4F</v>
      </c>
      <c r="R8" s="329">
        <f>_xll.qlCalendarAdvance("target",SettlementDate,N8&amp;"M","mf",,Trigger)</f>
        <v>42373</v>
      </c>
      <c r="S8" s="329">
        <f>_xll.qlInterestRateIndexMaturity(iborindex1M,R8,Trigger)</f>
        <v>42404</v>
      </c>
      <c r="T8" s="65">
        <f>_xll.qlIndexFixing(iborindex1M,_xll.qlInterestRateIndexFixingDate(iborindex1M,R8,Trigger),TRUE,AllTriggers)</f>
        <v>-1.30825497960518E-3</v>
      </c>
      <c r="U8" s="65">
        <f>_xll.qlIndexFixing(ON_1M_index,_xll.qlInterestRateIndexFixingDate(ON_1M_index,R8),,AllTriggers)</f>
        <v>-1.6807117566641056E-3</v>
      </c>
      <c r="V8" s="257">
        <f>T8-U8</f>
        <v>3.7245677705892563E-4</v>
      </c>
      <c r="W8" s="65">
        <f>_xll.qlTenorBasisValue(TenorBasis1M,R8,Trigger)</f>
        <v>3.7245677705892563E-4</v>
      </c>
      <c r="X8" s="186">
        <f t="shared" si="1"/>
        <v>0</v>
      </c>
      <c r="Y8" s="232">
        <f t="shared" si="2"/>
        <v>0</v>
      </c>
      <c r="Z8" s="60">
        <f>_xll.qlDayCounterYearFraction("actual/365 (fixed)",SettlementDate,R8,,,Trigger)</f>
        <v>0.25753424657534246</v>
      </c>
      <c r="AA8" s="60">
        <f>_xll.qlYieldTSDiscount(Discounting,R8,,AllTriggers)</f>
        <v>1.000379858517497</v>
      </c>
      <c r="AB8" s="235" t="b">
        <v>1</v>
      </c>
      <c r="AD8" s="274" t="s">
        <v>128</v>
      </c>
      <c r="AE8" s="279" t="str">
        <f>_xll.qlPolynomialCalibrationEndCriteria(AE6,)</f>
        <v>StationaryFunctionValue</v>
      </c>
      <c r="AF8" s="54"/>
      <c r="AG8" s="55"/>
    </row>
    <row r="9" spans="1:33" ht="11.25" customHeight="1" x14ac:dyDescent="0.2">
      <c r="B9" s="319" t="s">
        <v>102</v>
      </c>
      <c r="C9" s="320" t="s">
        <v>45</v>
      </c>
      <c r="D9" s="321">
        <v>7</v>
      </c>
      <c r="E9" s="321" t="s">
        <v>103</v>
      </c>
      <c r="F9" s="319" t="s">
        <v>104</v>
      </c>
      <c r="G9" s="322" t="s">
        <v>101</v>
      </c>
      <c r="H9" s="322" t="s">
        <v>14</v>
      </c>
      <c r="I9" s="323">
        <v>0</v>
      </c>
      <c r="J9" s="324" t="str">
        <f t="shared" si="0"/>
        <v>EUR7X1S_Quote</v>
      </c>
      <c r="K9" s="159" t="str">
        <f>_xll.qlSwapRateHelper2(,$J9,,C9,Calendar,$F9,$G9,$H9,$K$1,$I9,B9,Discounting,,,Permanent,Trigger,ObjectOverwrite)</f>
        <v>obj_00447#0002</v>
      </c>
      <c r="L9" s="200" t="str">
        <f>_xll.ohRangeRetrieveError(K9)</f>
        <v/>
      </c>
      <c r="M9" s="332" t="b">
        <v>1</v>
      </c>
      <c r="AD9" s="274" t="s">
        <v>89</v>
      </c>
      <c r="AE9" s="187">
        <f>_xll.qlPolynomialCalibrationError(AE6,)</f>
        <v>6.2598344377647085E-20</v>
      </c>
      <c r="AF9" s="54"/>
      <c r="AG9" s="55"/>
    </row>
    <row r="10" spans="1:33" ht="11.25" customHeight="1" thickBot="1" x14ac:dyDescent="0.25">
      <c r="D10" s="164"/>
      <c r="E10" s="164"/>
      <c r="K10" s="164"/>
      <c r="L10" s="174"/>
      <c r="S10" s="58" t="s">
        <v>91</v>
      </c>
      <c r="T10" s="58" t="s">
        <v>80</v>
      </c>
      <c r="U10" s="58" t="s">
        <v>81</v>
      </c>
      <c r="V10" s="283" t="s">
        <v>129</v>
      </c>
      <c r="AD10" s="274" t="s">
        <v>124</v>
      </c>
      <c r="AE10" s="187">
        <f>_xll.qlPolynomialCalibrationMaxError(AE6,)</f>
        <v>1.0842021724855044E-19</v>
      </c>
      <c r="AF10" s="54"/>
      <c r="AG10" s="55"/>
    </row>
    <row r="11" spans="1:33" x14ac:dyDescent="0.2">
      <c r="G11" s="176"/>
      <c r="H11" s="169" t="str">
        <f>S1&amp;" "&amp;PROPER(Currency)&amp;IborType&amp;" Curve"</f>
        <v>1M Euribor Curve</v>
      </c>
      <c r="I11" s="170"/>
      <c r="J11" s="170"/>
      <c r="K11" s="170"/>
      <c r="L11" s="170"/>
      <c r="M11" s="171" t="s">
        <v>110</v>
      </c>
      <c r="S11" s="61" t="s">
        <v>38</v>
      </c>
      <c r="T11" s="265">
        <f>_xll.qlCalendarAdvance(Calendar,SettlementDate,0&amp;"M","mf",TRUE,Trigger)</f>
        <v>42279</v>
      </c>
      <c r="U11" s="266">
        <f>_xll.qlCalendarAdvance(Calendar,SettlementDate,S11,"Following",,Trigger)</f>
        <v>42282</v>
      </c>
      <c r="V11" s="284">
        <f>_xll.qlTenorBasisForwardRate2(TenorBasis1M,T11,U11,AllTriggers)</f>
        <v>-1.1818933969509615E-3</v>
      </c>
      <c r="AD11" s="54"/>
      <c r="AE11" s="54"/>
      <c r="AF11" s="54"/>
      <c r="AG11" s="55"/>
    </row>
    <row r="12" spans="1:33" ht="11.25" customHeight="1" x14ac:dyDescent="0.2">
      <c r="G12" s="168" t="s">
        <v>137</v>
      </c>
      <c r="H12" s="168" t="s">
        <v>77</v>
      </c>
      <c r="I12" s="168" t="s">
        <v>78</v>
      </c>
      <c r="J12" s="168" t="s">
        <v>100</v>
      </c>
      <c r="K12" s="168" t="s">
        <v>75</v>
      </c>
      <c r="L12" s="168" t="s">
        <v>76</v>
      </c>
      <c r="M12" s="198">
        <f t="array" ref="M12:M19">_xll.qlPiecewiseYieldCurveData('General Settings'!D34,InterestRatesTrigger)</f>
        <v>1</v>
      </c>
      <c r="S12" s="63" t="s">
        <v>39</v>
      </c>
      <c r="T12" s="267">
        <f>_xll.qlCalendarAdvance(Calendar,SettlementDate,0&amp;"M","mf",TRUE,Trigger)</f>
        <v>42279</v>
      </c>
      <c r="U12" s="268">
        <f>_xll.qlCalendarAdvance(Calendar,SettlementDate,S12,"Following",,Trigger)</f>
        <v>42286</v>
      </c>
      <c r="V12" s="285">
        <f>_xll.qlTenorBasisForwardRate2(TenorBasis1M,T12,U12,AllTriggers)</f>
        <v>-1.2193612458258737E-3</v>
      </c>
      <c r="AD12" s="258" t="s">
        <v>111</v>
      </c>
      <c r="AE12" s="259"/>
      <c r="AF12" s="260" t="s">
        <v>122</v>
      </c>
      <c r="AG12" s="259" t="s">
        <v>133</v>
      </c>
    </row>
    <row r="13" spans="1:33" ht="11.25" customHeight="1" x14ac:dyDescent="0.2">
      <c r="G13" s="306" t="str">
        <f t="array" ref="G13:G19">_xll.ohFilter(K3:K9,M3:M9)</f>
        <v>obj_00467#0002</v>
      </c>
      <c r="H13" s="190" t="str">
        <f>_xll.qlRateHelperQuoteName(G13,Trigger)</f>
        <v>Euribor1MLastFixing_Quote</v>
      </c>
      <c r="I13" s="191">
        <f>_xll.qlRateHelperRate(G13,Trigger)</f>
        <v>-1.1299999999999999E-3</v>
      </c>
      <c r="J13" s="192" t="str">
        <f>IFERROR(_xll.qlSwapRateHelperSpread(G13),"--")</f>
        <v>--</v>
      </c>
      <c r="K13" s="326">
        <f>_xll.qlRateHelperEarliestDate(G13,Trigger)</f>
        <v>42279</v>
      </c>
      <c r="L13" s="326">
        <f>_xll.qlRateHelperPillarDate(G13,Trigger)</f>
        <v>42310</v>
      </c>
      <c r="M13" s="193">
        <v>1.0000973150248482</v>
      </c>
      <c r="S13" s="63" t="s">
        <v>40</v>
      </c>
      <c r="T13" s="267">
        <f>_xll.qlCalendarAdvance(Calendar,SettlementDate,0&amp;"M","mf",TRUE,Trigger)</f>
        <v>42279</v>
      </c>
      <c r="U13" s="268">
        <f>_xll.qlCalendarAdvance(Calendar,SettlementDate,S13,"Following",,Trigger)</f>
        <v>42293</v>
      </c>
      <c r="V13" s="285">
        <f>_xll.qlTenorBasisForwardRate2(TenorBasis1M,T13,U13,AllTriggers)</f>
        <v>-1.1962377503417696E-3</v>
      </c>
      <c r="AD13" s="274" t="s">
        <v>113</v>
      </c>
      <c r="AE13" s="187">
        <f t="array" ref="AE13:AE17">_xll.qlPolynomialCalibrationCoefficients($AE$6,AE7)</f>
        <v>2.6999999976827808E-4</v>
      </c>
      <c r="AF13" s="187" t="b">
        <v>1</v>
      </c>
      <c r="AG13" s="187">
        <v>2.1999999999994246E-4</v>
      </c>
    </row>
    <row r="14" spans="1:33" ht="11.25" customHeight="1" x14ac:dyDescent="0.2">
      <c r="G14" s="199" t="str">
        <v>obj_0044b#0002</v>
      </c>
      <c r="H14" s="190" t="str">
        <f>_xll.qlRateHelperQuoteName(G14,Trigger)</f>
        <v>EUR2X1S_Quote</v>
      </c>
      <c r="I14" s="191">
        <f>_xll.qlRateHelperRate(G14,Trigger)</f>
        <v>-1.1799999999999998E-3</v>
      </c>
      <c r="J14" s="192">
        <f>IFERROR(_xll.qlSwapRateHelperSpread(G14),"--")</f>
        <v>0</v>
      </c>
      <c r="K14" s="326">
        <f>_xll.qlRateHelperEarliestDate(G14,Trigger)</f>
        <v>42279</v>
      </c>
      <c r="L14" s="326">
        <f>_xll.qlRateHelperPillarDate(G14,Trigger)</f>
        <v>42340</v>
      </c>
      <c r="M14" s="193">
        <v>1.0001999866207543</v>
      </c>
      <c r="S14" s="63" t="s">
        <v>41</v>
      </c>
      <c r="T14" s="267">
        <f>_xll.qlCalendarAdvance(Calendar,SettlementDate,0&amp;"M","mf",TRUE,Trigger)</f>
        <v>42279</v>
      </c>
      <c r="U14" s="268">
        <f>_xll.qlCalendarAdvance(Calendar,SettlementDate,S14,"Following",,Trigger)</f>
        <v>42300</v>
      </c>
      <c r="V14" s="285">
        <f>_xll.qlTenorBasisForwardRate2(TenorBasis1M,T14,U14,AllTriggers)</f>
        <v>-1.1792565643663011E-3</v>
      </c>
      <c r="AD14" s="274" t="s">
        <v>114</v>
      </c>
      <c r="AE14" s="187">
        <v>1.3770972945503928E-3</v>
      </c>
      <c r="AF14" s="187" t="b">
        <v>1</v>
      </c>
      <c r="AG14" s="187">
        <v>2.5077200037699174E-5</v>
      </c>
    </row>
    <row r="15" spans="1:33" ht="11.25" customHeight="1" thickBot="1" x14ac:dyDescent="0.25">
      <c r="G15" s="199" t="str">
        <v>obj_0044a#0002</v>
      </c>
      <c r="H15" s="190" t="str">
        <f>_xll.qlRateHelperQuoteName(G15,Trigger)</f>
        <v>EUR3X1S_Quote</v>
      </c>
      <c r="I15" s="191">
        <f>_xll.qlRateHelperRate(G15,Trigger)</f>
        <v>-1.1799999999999998E-3</v>
      </c>
      <c r="J15" s="192">
        <f>IFERROR(_xll.qlSwapRateHelperSpread(G15),"--")</f>
        <v>0</v>
      </c>
      <c r="K15" s="326">
        <f>_xll.qlRateHelperEarliestDate(G15,Trigger)</f>
        <v>42279</v>
      </c>
      <c r="L15" s="326">
        <f>_xll.qlRateHelperPillarDate(G15,Trigger)</f>
        <v>42373</v>
      </c>
      <c r="M15" s="193">
        <v>1.0003082121594198</v>
      </c>
      <c r="S15" s="264" t="s">
        <v>35</v>
      </c>
      <c r="T15" s="273">
        <f>_xll.qlCalendarAdvance(Calendar,SettlementDate,0&amp;"M","mf",TRUE,Trigger)</f>
        <v>42279</v>
      </c>
      <c r="U15" s="334">
        <f>_xll.qlCalendarAdvance(Calendar,SettlementDate,S15,"mf",TRUE,Trigger)</f>
        <v>42310</v>
      </c>
      <c r="V15" s="335">
        <f>_xll.qlTenorBasisForwardRate2(TenorBasis1M,T15,U15,AllTriggers)</f>
        <v>-1.1341642445812157E-3</v>
      </c>
      <c r="AD15" s="274" t="s">
        <v>115</v>
      </c>
      <c r="AE15" s="187">
        <v>-2.2314363769644938E-2</v>
      </c>
      <c r="AF15" s="187" t="b">
        <v>1</v>
      </c>
      <c r="AG15" s="187">
        <v>1.6499495356155643E-2</v>
      </c>
    </row>
    <row r="16" spans="1:33" ht="11.25" customHeight="1" x14ac:dyDescent="0.2">
      <c r="G16" s="199" t="str">
        <v>obj_00449#0002</v>
      </c>
      <c r="H16" s="190" t="str">
        <f>_xll.qlRateHelperQuoteName(G16,Trigger)</f>
        <v>EUR4X1S_Quote</v>
      </c>
      <c r="I16" s="191">
        <f>_xll.qlRateHelperRate(G16,Trigger)</f>
        <v>-1.2099999999999999E-3</v>
      </c>
      <c r="J16" s="192">
        <f>IFERROR(_xll.qlSwapRateHelperSpread(G16),"--")</f>
        <v>0</v>
      </c>
      <c r="K16" s="326">
        <f>_xll.qlRateHelperEarliestDate(G16,Trigger)</f>
        <v>42279</v>
      </c>
      <c r="L16" s="326">
        <f>_xll.qlRateHelperPillarDate(G16,Trigger)</f>
        <v>42402</v>
      </c>
      <c r="M16" s="193">
        <v>1.0004136029847832</v>
      </c>
      <c r="AD16" s="274" t="s">
        <v>116</v>
      </c>
      <c r="AE16" s="187">
        <v>7.188138671126991E-2</v>
      </c>
      <c r="AF16" s="187" t="b">
        <v>1</v>
      </c>
      <c r="AG16" s="187">
        <v>-6.5675219422702408E-2</v>
      </c>
    </row>
    <row r="17" spans="4:33" ht="11.25" customHeight="1" x14ac:dyDescent="0.2">
      <c r="G17" s="199" t="str">
        <v>obj_00448#0002</v>
      </c>
      <c r="H17" s="190" t="str">
        <f>_xll.qlRateHelperQuoteName(G17,Trigger)</f>
        <v>EUR5X1S_Quote</v>
      </c>
      <c r="I17" s="191">
        <f>_xll.qlRateHelperRate(G17,Trigger)</f>
        <v>-1.23E-3</v>
      </c>
      <c r="J17" s="192">
        <f>IFERROR(_xll.qlSwapRateHelperSpread(G17),"--")</f>
        <v>0</v>
      </c>
      <c r="K17" s="326">
        <f>_xll.qlRateHelperEarliestDate(G17,Trigger)</f>
        <v>42279</v>
      </c>
      <c r="L17" s="326">
        <f>_xll.qlRateHelperPillarDate(G17,Trigger)</f>
        <v>42431</v>
      </c>
      <c r="M17" s="193">
        <v>1.000519630516616</v>
      </c>
      <c r="AD17" s="274" t="s">
        <v>117</v>
      </c>
      <c r="AE17" s="187" t="e">
        <v>#N/A</v>
      </c>
      <c r="AF17" s="187" t="b">
        <v>0</v>
      </c>
      <c r="AG17" s="187" t="e">
        <v>#N/A</v>
      </c>
    </row>
    <row r="18" spans="4:33" ht="11.25" customHeight="1" x14ac:dyDescent="0.2">
      <c r="G18" s="199" t="str">
        <v>obj_00446#0002</v>
      </c>
      <c r="H18" s="190" t="str">
        <f>_xll.qlRateHelperQuoteName(G18,Trigger)</f>
        <v>EUR6X1S_Quote</v>
      </c>
      <c r="I18" s="191">
        <f>_xll.qlRateHelperRate(G18,Trigger)</f>
        <v>-1.24E-3</v>
      </c>
      <c r="J18" s="192">
        <f>IFERROR(_xll.qlSwapRateHelperSpread(G18),"--")</f>
        <v>0</v>
      </c>
      <c r="K18" s="326">
        <f>_xll.qlRateHelperEarliestDate(G18,Trigger)</f>
        <v>42279</v>
      </c>
      <c r="L18" s="326">
        <f>_xll.qlRateHelperPillarDate(G18,Trigger)</f>
        <v>42464</v>
      </c>
      <c r="M18" s="193">
        <v>1.0006376760091424</v>
      </c>
      <c r="AD18" s="274" t="s">
        <v>118</v>
      </c>
      <c r="AE18" s="187" t="str">
        <f>_xll.qlPolynomialTenorBasis(,PROPER(Currency)&amp;IborType&amp;$S1,Discounting,SettlementDate,TRUE,_xll.ohFilter(AE13:AE17,AF13:AF17),,Trigger)</f>
        <v>obj_005a1#0002</v>
      </c>
      <c r="AF18" s="54"/>
      <c r="AG18" s="55"/>
    </row>
    <row r="19" spans="4:33" ht="11.25" customHeight="1" x14ac:dyDescent="0.2">
      <c r="G19" s="200" t="str">
        <v>obj_00447#0002</v>
      </c>
      <c r="H19" s="194" t="str">
        <f>_xll.qlRateHelperQuoteName(G19,Trigger)</f>
        <v>EUR7X1S_Quote</v>
      </c>
      <c r="I19" s="195">
        <f>_xll.qlRateHelperRate(G19,Trigger)</f>
        <v>-1.25E-3</v>
      </c>
      <c r="J19" s="196">
        <f>IFERROR(_xll.qlSwapRateHelperSpread(G19),"--")</f>
        <v>0</v>
      </c>
      <c r="K19" s="327">
        <f>_xll.qlRateHelperEarliestDate(G19,Trigger)</f>
        <v>42279</v>
      </c>
      <c r="L19" s="327">
        <f>_xll.qlRateHelperPillarDate(G19,Trigger)</f>
        <v>42492</v>
      </c>
      <c r="M19" s="197">
        <v>1.0007402016501707</v>
      </c>
      <c r="X19" s="54"/>
      <c r="Y19" s="54"/>
      <c r="Z19" s="54"/>
      <c r="AA19" s="55"/>
      <c r="AB19" s="54"/>
    </row>
    <row r="20" spans="4:33" ht="11.25" customHeight="1" x14ac:dyDescent="0.2">
      <c r="D20" s="164"/>
      <c r="E20" s="164"/>
      <c r="X20" s="54"/>
      <c r="Y20" s="54"/>
      <c r="Z20" s="54"/>
      <c r="AA20" s="54"/>
      <c r="AB20" s="54"/>
    </row>
    <row r="21" spans="4:33" ht="11.25" customHeight="1" x14ac:dyDescent="0.2"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77"/>
      <c r="J35" s="177"/>
    </row>
    <row r="37" spans="9:10" x14ac:dyDescent="0.2">
      <c r="I37" s="177"/>
      <c r="J37" s="177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0" t="s">
        <v>91</v>
      </c>
      <c r="F1" s="261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1">
        <v>0</v>
      </c>
      <c r="B3" s="252" t="s">
        <v>34</v>
      </c>
      <c r="C3" s="253" t="str">
        <f>SUBSTITUTE($F$1,"M","")</f>
        <v>3</v>
      </c>
      <c r="D3" s="256" t="str">
        <f>Currency&amp;A4&amp;B4&amp;C4&amp;"F"&amp;"_Estimated"</f>
        <v>EUR0x3F_Estimated</v>
      </c>
      <c r="E3" s="291">
        <f>SettlementDate</f>
        <v>42279</v>
      </c>
      <c r="F3" s="291">
        <f>_xll.qlInterestRateIndexMaturity(PROPER(Currency)&amp;"ibor"&amp;$F$1,E3)</f>
        <v>42373</v>
      </c>
      <c r="G3" s="255">
        <f>J3+$H$4</f>
        <v>-4.2126914632234437E-4</v>
      </c>
      <c r="H3" s="236"/>
      <c r="I3" s="236"/>
      <c r="J3" s="187">
        <f>_xll.qlTenorBasisValue($R$19,E3,Trigger)</f>
        <v>1.0084968435163785E-3</v>
      </c>
      <c r="K3" s="236"/>
      <c r="L3" s="280">
        <f>_xll.qlDayCounterYearFraction("actual/365 (fixed)",SettlementDate,E3,,,Trigger)</f>
        <v>0</v>
      </c>
      <c r="M3" s="236"/>
      <c r="N3" s="236"/>
      <c r="O3" s="254"/>
      <c r="Q3" s="274" t="s">
        <v>130</v>
      </c>
      <c r="R3" s="187" t="str">
        <f>_xll.qlIborIndex(,,F1,2,Currency,Calendar,"mf",TRUE,DayCounter,Discounting,,Trigger)</f>
        <v>obj_0044f#0012</v>
      </c>
      <c r="X3" s="57"/>
    </row>
    <row r="4" spans="1:24" ht="11.25" customHeight="1" x14ac:dyDescent="0.2">
      <c r="A4" s="251">
        <v>0</v>
      </c>
      <c r="B4" s="252" t="s">
        <v>34</v>
      </c>
      <c r="C4" s="253" t="str">
        <f>SUBSTITUTE($F$1,"M","")</f>
        <v>3</v>
      </c>
      <c r="D4" s="244" t="str">
        <f>PROPER(Currency&amp;IborType)&amp;F1&amp;"LastFixing"&amp;QuoteSuffix</f>
        <v>Euribor3MLastFixing_Quote</v>
      </c>
      <c r="E4" s="291">
        <f>SettlementDate</f>
        <v>42279</v>
      </c>
      <c r="F4" s="291">
        <f>_xll.qlInterestRateIndexMaturity(ON_6M_index,E4)</f>
        <v>42464</v>
      </c>
      <c r="G4" s="187">
        <f>_xll.qlQuoteValue(D4,LastFixingsTrigger)</f>
        <v>-4.0000000000000002E-4</v>
      </c>
      <c r="H4" s="187">
        <f>_xll.qlIndexFixing(ON_3M_index,_xll.qlInterestRateIndexFixingDate(ON_3M_index,E4),,AllTriggers)</f>
        <v>-1.4297659898387229E-3</v>
      </c>
      <c r="I4" s="255">
        <f t="shared" ref="I4:I28" si="0">G4-H4</f>
        <v>1.0297659898387229E-3</v>
      </c>
      <c r="J4" s="183">
        <f>_xll.qlTenorBasisValue($R$19,E4,Trigger)</f>
        <v>1.0084968435163785E-3</v>
      </c>
      <c r="K4" s="184">
        <f>M4*10000</f>
        <v>0.21269146322344407</v>
      </c>
      <c r="L4" s="281">
        <f>_xll.qlDayCounterYearFraction("actual/365 (fixed)",SettlementDate,E4,,,Trigger)</f>
        <v>0</v>
      </c>
      <c r="M4" s="275">
        <f t="shared" ref="M4:M28" si="1">I4-J4</f>
        <v>2.1269146322344407E-5</v>
      </c>
      <c r="N4" s="278">
        <f>_xll.qlYieldTSDiscount(Discounting,E4,,AllTriggers)</f>
        <v>1.0000063889195219</v>
      </c>
      <c r="O4" s="233" t="b">
        <v>0</v>
      </c>
      <c r="X4" s="57"/>
    </row>
    <row r="5" spans="1:24" ht="11.25" customHeight="1" x14ac:dyDescent="0.2">
      <c r="A5" s="241">
        <v>1</v>
      </c>
      <c r="B5" s="56" t="s">
        <v>34</v>
      </c>
      <c r="C5" s="248">
        <f t="shared" ref="C5:C10" si="2">A5+SUBSTITUTE($F$1,"M","")</f>
        <v>4</v>
      </c>
      <c r="D5" s="245" t="str">
        <f t="shared" ref="D5:D10" si="3">Currency&amp;A5&amp;B5&amp;C5&amp;"F"&amp;QuoteSuffix</f>
        <v>EUR1x4F_Quote</v>
      </c>
      <c r="E5" s="292">
        <f>_xll.qlCalendarAdvance("target",SettlementDate,A5&amp;"M","mf",,Trigger)</f>
        <v>42310</v>
      </c>
      <c r="F5" s="292">
        <f>_xll.qlInterestRateIndexMaturity(ON_6M_index,E5)</f>
        <v>42492</v>
      </c>
      <c r="G5" s="67">
        <f>_xll.qlQuoteValue(D5,AllTriggers)</f>
        <v>-4.6000000000000001E-4</v>
      </c>
      <c r="H5" s="67">
        <f>_xll.qlIndexFixing(ON_3M_index,_xll.qlInterestRateIndexFixingDate(ON_3M_index,E5),,AllTriggers)</f>
        <v>-1.5186614339271127E-3</v>
      </c>
      <c r="I5" s="277">
        <f t="shared" si="0"/>
        <v>1.0586614339271128E-3</v>
      </c>
      <c r="J5" s="67">
        <f>_xll.qlTenorBasisValue($R$19,E5,Trigger)</f>
        <v>1.058319505105145E-3</v>
      </c>
      <c r="K5" s="237">
        <f t="shared" ref="K5:K28" si="4">M5*10000</f>
        <v>3.4192882196774563E-3</v>
      </c>
      <c r="L5" s="282">
        <f>_xll.qlDayCounterYearFraction("actual/365 (fixed)",SettlementDate,E5,,,Trigger)</f>
        <v>8.4931506849315067E-2</v>
      </c>
      <c r="M5" s="276">
        <f t="shared" si="1"/>
        <v>3.4192882196774563E-7</v>
      </c>
      <c r="N5" s="180">
        <f>_xll.qlYieldTSDiscount(Discounting,E5,,AllTriggers)</f>
        <v>1.0001269597807645</v>
      </c>
      <c r="O5" s="238" t="b">
        <v>1</v>
      </c>
      <c r="Q5" s="258" t="s">
        <v>125</v>
      </c>
      <c r="R5" s="259"/>
      <c r="T5" s="55"/>
      <c r="X5" s="57"/>
    </row>
    <row r="6" spans="1:24" ht="11.25" customHeight="1" x14ac:dyDescent="0.2">
      <c r="A6" s="241">
        <v>2</v>
      </c>
      <c r="B6" s="56" t="s">
        <v>34</v>
      </c>
      <c r="C6" s="248">
        <f t="shared" si="2"/>
        <v>5</v>
      </c>
      <c r="D6" s="246" t="str">
        <f t="shared" si="3"/>
        <v>EUR2x5F_Quote</v>
      </c>
      <c r="E6" s="293">
        <f>_xll.qlCalendarAdvance("target",SettlementDate,A6&amp;"M","mf",,Trigger)</f>
        <v>42340</v>
      </c>
      <c r="F6" s="293">
        <f>_xll.qlInterestRateIndexMaturity(ON_6M_index,E6)</f>
        <v>42523</v>
      </c>
      <c r="G6" s="62">
        <f>_xll.qlQuoteValue(D6,AllTriggers)</f>
        <v>-4.8999999999999998E-4</v>
      </c>
      <c r="H6" s="62">
        <f>_xll.qlIndexFixing(ON_3M_index,_xll.qlInterestRateIndexFixingDate(ON_3M_index,E6),,AllTriggers)</f>
        <v>-1.5741704349917715E-3</v>
      </c>
      <c r="I6" s="262">
        <f t="shared" si="0"/>
        <v>1.0841704349917715E-3</v>
      </c>
      <c r="J6" s="62">
        <f>_xll.qlTenorBasisValue($R$19,E6,Trigger)</f>
        <v>1.1018726334625563E-3</v>
      </c>
      <c r="K6" s="185">
        <f t="shared" si="4"/>
        <v>-0.17702198470784811</v>
      </c>
      <c r="L6" s="203">
        <f>_xll.qlDayCounterYearFraction("actual/365 (fixed)",SettlementDate,E6,,,Trigger)</f>
        <v>0.16712328767123288</v>
      </c>
      <c r="M6" s="231">
        <f t="shared" si="1"/>
        <v>-1.7702198470784811E-5</v>
      </c>
      <c r="N6" s="181">
        <f>_xll.qlYieldTSDiscount(Discounting,E6,,AllTriggers)</f>
        <v>1.0002521453146693</v>
      </c>
      <c r="O6" s="234" t="b">
        <v>1</v>
      </c>
      <c r="Q6" s="274" t="s">
        <v>126</v>
      </c>
      <c r="R6" s="279" t="str">
        <f>_xll.qlPolynomialCalibration(,_xll.ohFilter($L$4:$L$28,$O$4:$O$28),_xll.ohFilter($I$4:$I$28,$O$4:$O$28),_xll.ohFilter($N$4:$N$28,$O$4:$O$28),_xll.ohFilter(T14:T18,S14:S18),,,,,Trigger)</f>
        <v>obj_0059f#0014</v>
      </c>
      <c r="T6" s="55"/>
      <c r="X6" s="57"/>
    </row>
    <row r="7" spans="1:24" ht="11.25" customHeight="1" x14ac:dyDescent="0.2">
      <c r="A7" s="241">
        <f>A6+1</f>
        <v>3</v>
      </c>
      <c r="B7" s="56" t="s">
        <v>34</v>
      </c>
      <c r="C7" s="248">
        <f t="shared" si="2"/>
        <v>6</v>
      </c>
      <c r="D7" s="246" t="str">
        <f t="shared" si="3"/>
        <v>EUR3x6F_Quote</v>
      </c>
      <c r="E7" s="293">
        <f>_xll.qlCalendarAdvance("target",SettlementDate,A7&amp;"M","mf",,Trigger)</f>
        <v>42373</v>
      </c>
      <c r="F7" s="293">
        <f>_xll.qlInterestRateIndexMaturity(ON_6M_index,E7)</f>
        <v>42555</v>
      </c>
      <c r="G7" s="62">
        <f>_xll.qlQuoteValue(D7,AllTriggers)</f>
        <v>-5.2999999999999998E-4</v>
      </c>
      <c r="H7" s="62">
        <f>_xll.qlIndexFixing(ON_3M_index,_xll.qlInterestRateIndexFixingDate(ON_3M_index,E7),,AllTriggers)</f>
        <v>-1.6889836863753173E-3</v>
      </c>
      <c r="I7" s="262">
        <f t="shared" si="0"/>
        <v>1.1589836863753174E-3</v>
      </c>
      <c r="J7" s="62">
        <f>_xll.qlTenorBasisValue($R$19,E7,Trigger)</f>
        <v>1.1448276293711834E-3</v>
      </c>
      <c r="K7" s="185">
        <f t="shared" si="4"/>
        <v>0.14156057004134029</v>
      </c>
      <c r="L7" s="203">
        <f>_xll.qlDayCounterYearFraction("actual/365 (fixed)",SettlementDate,E7,,,Trigger)</f>
        <v>0.25753424657534246</v>
      </c>
      <c r="M7" s="231">
        <f t="shared" si="1"/>
        <v>1.415605700413403E-5</v>
      </c>
      <c r="N7" s="181">
        <f>_xll.qlYieldTSDiscount(Discounting,E7,,AllTriggers)</f>
        <v>1.000379858517497</v>
      </c>
      <c r="O7" s="234" t="b">
        <v>1</v>
      </c>
      <c r="Q7" s="274" t="s">
        <v>127</v>
      </c>
      <c r="R7" s="279" t="b">
        <f>_xll.qlPolynomialCalibrationCompute($R$6,AllTriggers)</f>
        <v>1</v>
      </c>
      <c r="T7" s="55"/>
      <c r="X7" s="57"/>
    </row>
    <row r="8" spans="1:24" ht="11.25" customHeight="1" x14ac:dyDescent="0.2">
      <c r="A8" s="241">
        <f t="shared" ref="A8:A16" si="5">A7+1</f>
        <v>4</v>
      </c>
      <c r="B8" s="56" t="s">
        <v>34</v>
      </c>
      <c r="C8" s="248">
        <f t="shared" si="2"/>
        <v>7</v>
      </c>
      <c r="D8" s="246" t="str">
        <f t="shared" si="3"/>
        <v>EUR4x7F_Quote</v>
      </c>
      <c r="E8" s="293">
        <f>_xll.qlCalendarAdvance("target",SettlementDate,A8&amp;"M","mf",,Trigger)</f>
        <v>42402</v>
      </c>
      <c r="F8" s="293">
        <f>_xll.qlInterestRateIndexMaturity(ON_6M_index,E8)</f>
        <v>42584</v>
      </c>
      <c r="G8" s="62">
        <f>_xll.qlQuoteValue(D8,AllTriggers)</f>
        <v>-5.5000000000000003E-4</v>
      </c>
      <c r="H8" s="62">
        <f>_xll.qlIndexFixing(ON_3M_index,_xll.qlInterestRateIndexFixingDate(ON_3M_index,E8),,AllTriggers)</f>
        <v>-1.7231792205825158E-3</v>
      </c>
      <c r="I8" s="262">
        <f t="shared" si="0"/>
        <v>1.1731792205825157E-3</v>
      </c>
      <c r="J8" s="62">
        <f>_xll.qlTenorBasisValue($R$19,E8,Trigger)</f>
        <v>1.1785826014393305E-3</v>
      </c>
      <c r="K8" s="185">
        <f t="shared" si="4"/>
        <v>-5.4033808568147976E-2</v>
      </c>
      <c r="L8" s="203">
        <f>_xll.qlDayCounterYearFraction("actual/365 (fixed)",SettlementDate,E8,,,Trigger)</f>
        <v>0.33698630136986302</v>
      </c>
      <c r="M8" s="231">
        <f t="shared" si="1"/>
        <v>-5.4033808568147972E-6</v>
      </c>
      <c r="N8" s="181">
        <f>_xll.qlYieldTSDiscount(Discounting,E8,,AllTriggers)</f>
        <v>1.0005152621216613</v>
      </c>
      <c r="O8" s="234" t="b">
        <v>1</v>
      </c>
      <c r="Q8" s="274" t="s">
        <v>128</v>
      </c>
      <c r="R8" s="279" t="str">
        <f>_xll.qlPolynomialCalibrationEndCriteria(R6,)</f>
        <v>StationaryFunctionValue</v>
      </c>
      <c r="T8" s="55"/>
      <c r="X8" s="57"/>
    </row>
    <row r="9" spans="1:24" ht="11.25" customHeight="1" x14ac:dyDescent="0.2">
      <c r="A9" s="241">
        <f t="shared" si="5"/>
        <v>5</v>
      </c>
      <c r="B9" s="56" t="s">
        <v>34</v>
      </c>
      <c r="C9" s="248">
        <f t="shared" si="2"/>
        <v>8</v>
      </c>
      <c r="D9" s="246" t="str">
        <f t="shared" si="3"/>
        <v>EUR5x8F_Quote</v>
      </c>
      <c r="E9" s="293">
        <f>_xll.qlCalendarAdvance("target",SettlementDate,A9&amp;"M","mf",,Trigger)</f>
        <v>42431</v>
      </c>
      <c r="F9" s="293">
        <f>_xll.qlInterestRateIndexMaturity(ON_6M_index,E9)</f>
        <v>42615</v>
      </c>
      <c r="G9" s="62">
        <f>_xll.qlQuoteValue(D9,AllTriggers)</f>
        <v>-5.6999999999999998E-4</v>
      </c>
      <c r="H9" s="62">
        <f>_xll.qlIndexFixing(ON_3M_index,_xll.qlInterestRateIndexFixingDate(ON_3M_index,E9),,AllTriggers)</f>
        <v>-1.7770579331012194E-3</v>
      </c>
      <c r="I9" s="262">
        <f t="shared" si="0"/>
        <v>1.2070579331012194E-3</v>
      </c>
      <c r="J9" s="62">
        <f>_xll.qlTenorBasisValue($R$19,E9,Trigger)</f>
        <v>1.2088707247650339E-3</v>
      </c>
      <c r="K9" s="185">
        <f t="shared" si="4"/>
        <v>-1.8127916638144888E-2</v>
      </c>
      <c r="L9" s="203">
        <f>_xll.qlDayCounterYearFraction("actual/365 (fixed)",SettlementDate,E9,,,Trigger)</f>
        <v>0.41643835616438357</v>
      </c>
      <c r="M9" s="231">
        <f t="shared" si="1"/>
        <v>-1.8127916638144888E-6</v>
      </c>
      <c r="N9" s="181">
        <f>_xll.qlYieldTSDiscount(Discounting,E9,,AllTriggers)</f>
        <v>1.0006503193911085</v>
      </c>
      <c r="O9" s="234" t="b">
        <v>1</v>
      </c>
      <c r="Q9" s="274" t="s">
        <v>89</v>
      </c>
      <c r="R9" s="187">
        <f>_xll.qlPolynomialCalibrationError(R6,)</f>
        <v>9.1655900618315892E-6</v>
      </c>
      <c r="T9" s="55"/>
      <c r="X9" s="57"/>
    </row>
    <row r="10" spans="1:24" ht="11.25" customHeight="1" x14ac:dyDescent="0.2">
      <c r="A10" s="241">
        <f t="shared" si="5"/>
        <v>6</v>
      </c>
      <c r="B10" s="56" t="s">
        <v>34</v>
      </c>
      <c r="C10" s="248">
        <f t="shared" si="2"/>
        <v>9</v>
      </c>
      <c r="D10" s="246" t="str">
        <f t="shared" si="3"/>
        <v>EUR6x9F_Quote</v>
      </c>
      <c r="E10" s="293">
        <f>_xll.qlCalendarAdvance("target",SettlementDate,A10&amp;"M","mf",,Trigger)</f>
        <v>42464</v>
      </c>
      <c r="F10" s="293">
        <f>_xll.qlInterestRateIndexMaturity(ON_6M_index,E10)</f>
        <v>42647</v>
      </c>
      <c r="G10" s="62">
        <f>_xll.qlQuoteValue(D10,AllTriggers)</f>
        <v>-5.9999999999999995E-4</v>
      </c>
      <c r="H10" s="62">
        <f>_xll.qlIndexFixing(ON_3M_index,_xll.qlInterestRateIndexFixingDate(ON_3M_index,E10),,AllTriggers)</f>
        <v>-1.8442645914370174E-3</v>
      </c>
      <c r="I10" s="262">
        <f t="shared" si="0"/>
        <v>1.2442645914370176E-3</v>
      </c>
      <c r="J10" s="62">
        <f>_xll.qlTenorBasisValue($R$19,E10,Trigger)</f>
        <v>1.239446473618301E-3</v>
      </c>
      <c r="K10" s="185">
        <f t="shared" si="4"/>
        <v>4.8181178187165552E-2</v>
      </c>
      <c r="L10" s="203">
        <f>_xll.qlDayCounterYearFraction("actual/365 (fixed)",SettlementDate,E10,,,Trigger)</f>
        <v>0.50684931506849318</v>
      </c>
      <c r="M10" s="231">
        <f t="shared" si="1"/>
        <v>4.8181178187165549E-6</v>
      </c>
      <c r="N10" s="181">
        <f>_xll.qlYieldTSDiscount(Discounting,E10,,AllTriggers)</f>
        <v>1.0008071406590917</v>
      </c>
      <c r="O10" s="234" t="b">
        <v>1</v>
      </c>
      <c r="Q10" s="274" t="s">
        <v>124</v>
      </c>
      <c r="R10" s="187">
        <f>_xll.qlPolynomialCalibrationMaxError(R6,)</f>
        <v>2.4259521209725118E-5</v>
      </c>
      <c r="T10" s="55"/>
      <c r="X10" s="57"/>
    </row>
    <row r="11" spans="1:24" ht="11.25" customHeight="1" x14ac:dyDescent="0.2">
      <c r="A11" s="241">
        <f t="shared" si="5"/>
        <v>7</v>
      </c>
      <c r="B11" s="56" t="s">
        <v>34</v>
      </c>
      <c r="C11" s="248">
        <f t="shared" ref="C11:C16" si="6">A11+SUBSTITUTE($F$1,"M","")</f>
        <v>10</v>
      </c>
      <c r="D11" s="246" t="str">
        <f t="shared" ref="D11:D16" si="7">Currency&amp;A11&amp;B11&amp;C11&amp;"F"&amp;QuoteSuffix</f>
        <v>EUR7x10F_Quote</v>
      </c>
      <c r="E11" s="293">
        <f>_xll.qlCalendarAdvance("target",SettlementDate,A11&amp;"M","mf",,Trigger)</f>
        <v>42492</v>
      </c>
      <c r="F11" s="293">
        <f>_xll.qlInterestRateIndexMaturity(ON_6M_index,E11)</f>
        <v>42676</v>
      </c>
      <c r="G11" s="62">
        <f>_xll.qlQuoteValue(D11,AllTriggers)</f>
        <v>-6.2E-4</v>
      </c>
      <c r="H11" s="62">
        <f>_xll.qlIndexFixing(ON_3M_index,_xll.qlInterestRateIndexFixingDate(ON_3M_index,E11),,AllTriggers)</f>
        <v>-1.8909719771031954E-3</v>
      </c>
      <c r="I11" s="262">
        <f t="shared" ref="I11:I16" si="8">G11-H11</f>
        <v>1.2709719771031953E-3</v>
      </c>
      <c r="J11" s="62">
        <f>_xll.qlTenorBasisValue($R$19,E11,Trigger)</f>
        <v>1.2624121526341988E-3</v>
      </c>
      <c r="K11" s="185">
        <f t="shared" ref="K11:K16" si="9">M11*10000</f>
        <v>8.5598244689965436E-2</v>
      </c>
      <c r="L11" s="203">
        <f>_xll.qlDayCounterYearFraction("actual/365 (fixed)",SettlementDate,E11,,,Trigger)</f>
        <v>0.58356164383561648</v>
      </c>
      <c r="M11" s="231">
        <f t="shared" ref="M11:M16" si="10">I11-J11</f>
        <v>8.5598244689965436E-6</v>
      </c>
      <c r="N11" s="181">
        <f>_xll.qlYieldTSDiscount(Discounting,E11,,AllTriggers)</f>
        <v>1.0009464646588653</v>
      </c>
      <c r="O11" s="234" t="b">
        <v>1</v>
      </c>
      <c r="T11" s="55"/>
      <c r="X11" s="57"/>
    </row>
    <row r="12" spans="1:24" ht="11.25" customHeight="1" x14ac:dyDescent="0.2">
      <c r="A12" s="241">
        <f t="shared" si="5"/>
        <v>8</v>
      </c>
      <c r="B12" s="56" t="s">
        <v>34</v>
      </c>
      <c r="C12" s="248">
        <f t="shared" si="6"/>
        <v>11</v>
      </c>
      <c r="D12" s="246" t="str">
        <f t="shared" si="7"/>
        <v>EUR8x11F_Quote</v>
      </c>
      <c r="E12" s="293">
        <f>_xll.qlCalendarAdvance("target",SettlementDate,A12&amp;"M","mf",,Trigger)</f>
        <v>42523</v>
      </c>
      <c r="F12" s="293">
        <f>_xll.qlInterestRateIndexMaturity(ON_6M_index,E12)</f>
        <v>42706</v>
      </c>
      <c r="G12" s="62">
        <f>_xll.qlQuoteValue(D12,AllTriggers)</f>
        <v>-6.4999999999999997E-4</v>
      </c>
      <c r="H12" s="62">
        <f>_xll.qlIndexFixing(ON_3M_index,_xll.qlInterestRateIndexFixingDate(ON_3M_index,E12),,AllTriggers)</f>
        <v>-1.9308440846384043E-3</v>
      </c>
      <c r="I12" s="262">
        <f t="shared" si="8"/>
        <v>1.2808440846384043E-3</v>
      </c>
      <c r="J12" s="62">
        <f>_xll.qlTenorBasisValue($R$19,E12,Trigger)</f>
        <v>1.2849457168812727E-3</v>
      </c>
      <c r="K12" s="185">
        <f t="shared" si="9"/>
        <v>-4.1016322428683638E-2</v>
      </c>
      <c r="L12" s="203">
        <f>_xll.qlDayCounterYearFraction("actual/365 (fixed)",SettlementDate,E12,,,Trigger)</f>
        <v>0.66849315068493154</v>
      </c>
      <c r="M12" s="231">
        <f t="shared" si="10"/>
        <v>-4.1016322428683635E-6</v>
      </c>
      <c r="N12" s="181">
        <f>_xll.qlYieldTSDiscount(Discounting,E12,,AllTriggers)</f>
        <v>1.0011049582208984</v>
      </c>
      <c r="O12" s="234" t="b">
        <v>1</v>
      </c>
      <c r="T12" s="55"/>
      <c r="X12" s="57"/>
    </row>
    <row r="13" spans="1:24" ht="11.25" customHeight="1" x14ac:dyDescent="0.2">
      <c r="A13" s="241">
        <f t="shared" si="5"/>
        <v>9</v>
      </c>
      <c r="B13" s="56" t="s">
        <v>34</v>
      </c>
      <c r="C13" s="248">
        <f t="shared" si="6"/>
        <v>12</v>
      </c>
      <c r="D13" s="246" t="str">
        <f t="shared" si="7"/>
        <v>EUR9x12F_Quote</v>
      </c>
      <c r="E13" s="293">
        <f>_xll.qlCalendarAdvance("target",SettlementDate,A13&amp;"M","mf",,Trigger)</f>
        <v>42555</v>
      </c>
      <c r="F13" s="293">
        <f>_xll.qlInterestRateIndexMaturity(ON_6M_index,E13)</f>
        <v>42739</v>
      </c>
      <c r="G13" s="62">
        <f>_xll.qlQuoteValue(D13,AllTriggers)</f>
        <v>-6.4999999999999997E-4</v>
      </c>
      <c r="H13" s="62">
        <f>_xll.qlIndexFixing(ON_3M_index,_xll.qlInterestRateIndexFixingDate(ON_3M_index,E13),,AllTriggers)</f>
        <v>-1.9608274772662539E-3</v>
      </c>
      <c r="I13" s="262">
        <f t="shared" si="8"/>
        <v>1.3108274772662539E-3</v>
      </c>
      <c r="J13" s="62">
        <f>_xll.qlTenorBasisValue($R$19,E13,Trigger)</f>
        <v>1.3053399541220734E-3</v>
      </c>
      <c r="K13" s="185">
        <f t="shared" si="9"/>
        <v>5.4875231441805193E-2</v>
      </c>
      <c r="L13" s="203">
        <f>_xll.qlDayCounterYearFraction("actual/365 (fixed)",SettlementDate,E13,,,Trigger)</f>
        <v>0.75616438356164384</v>
      </c>
      <c r="M13" s="231">
        <f t="shared" si="10"/>
        <v>5.4875231441805193E-6</v>
      </c>
      <c r="N13" s="181">
        <f>_xll.qlYieldTSDiscount(Discounting,E13,,AllTriggers)</f>
        <v>1.0012739236534773</v>
      </c>
      <c r="O13" s="234" t="b">
        <v>1</v>
      </c>
      <c r="Q13" s="258" t="s">
        <v>111</v>
      </c>
      <c r="R13" s="259"/>
      <c r="S13" s="260" t="s">
        <v>122</v>
      </c>
      <c r="T13" s="259" t="s">
        <v>133</v>
      </c>
      <c r="X13" s="57"/>
    </row>
    <row r="14" spans="1:24" ht="11.25" customHeight="1" x14ac:dyDescent="0.2">
      <c r="A14" s="241">
        <f t="shared" si="5"/>
        <v>10</v>
      </c>
      <c r="B14" s="56" t="s">
        <v>34</v>
      </c>
      <c r="C14" s="248">
        <f t="shared" si="6"/>
        <v>13</v>
      </c>
      <c r="D14" s="246" t="str">
        <f t="shared" si="7"/>
        <v>EUR10x13F_Quote</v>
      </c>
      <c r="E14" s="293">
        <f>_xll.qlCalendarAdvance("target",SettlementDate,A14&amp;"M","mf",,Trigger)</f>
        <v>42584</v>
      </c>
      <c r="F14" s="293">
        <f>_xll.qlInterestRateIndexMaturity(ON_6M_index,E14)</f>
        <v>42768</v>
      </c>
      <c r="G14" s="62">
        <f>_xll.qlQuoteValue(D14,AllTriggers)</f>
        <v>-6.4999999999999997E-4</v>
      </c>
      <c r="H14" s="62">
        <f>_xll.qlIndexFixing(ON_3M_index,_xll.qlInterestRateIndexFixingDate(ON_3M_index,E14),,AllTriggers)</f>
        <v>-1.9752694976449756E-3</v>
      </c>
      <c r="I14" s="262">
        <f t="shared" si="8"/>
        <v>1.3252694976449756E-3</v>
      </c>
      <c r="J14" s="62">
        <f>_xll.qlTenorBasisValue($R$19,E14,Trigger)</f>
        <v>1.3215930714413641E-3</v>
      </c>
      <c r="K14" s="185">
        <f t="shared" si="9"/>
        <v>3.6764262036114492E-2</v>
      </c>
      <c r="L14" s="203">
        <f>_xll.qlDayCounterYearFraction("actual/365 (fixed)",SettlementDate,E14,,,Trigger)</f>
        <v>0.83561643835616439</v>
      </c>
      <c r="M14" s="231">
        <f t="shared" si="10"/>
        <v>3.6764262036114489E-6</v>
      </c>
      <c r="N14" s="181">
        <f>_xll.qlYieldTSDiscount(Discounting,E14,,AllTriggers)</f>
        <v>1.0014304042935918</v>
      </c>
      <c r="O14" s="234" t="b">
        <v>1</v>
      </c>
      <c r="Q14" s="274" t="s">
        <v>113</v>
      </c>
      <c r="R14" s="187">
        <f t="array" ref="R14:R18">_xll.qlPolynomialCalibrationCoefficients($R$6,R7)</f>
        <v>1.0084968435163785E-3</v>
      </c>
      <c r="S14" s="187" t="b">
        <v>1</v>
      </c>
      <c r="T14" s="187">
        <v>1.2482629747766444E-3</v>
      </c>
      <c r="X14" s="57"/>
    </row>
    <row r="15" spans="1:24" ht="11.25" customHeight="1" x14ac:dyDescent="0.2">
      <c r="A15" s="241">
        <f t="shared" si="5"/>
        <v>11</v>
      </c>
      <c r="B15" s="56" t="s">
        <v>34</v>
      </c>
      <c r="C15" s="248">
        <f t="shared" si="6"/>
        <v>14</v>
      </c>
      <c r="D15" s="246" t="str">
        <f t="shared" si="7"/>
        <v>EUR11x14F_Quote</v>
      </c>
      <c r="E15" s="293">
        <f>_xll.qlCalendarAdvance("target",SettlementDate,A15&amp;"M","mf",,Trigger)</f>
        <v>42615</v>
      </c>
      <c r="F15" s="293">
        <f>_xll.qlInterestRateIndexMaturity(ON_6M_index,E15)</f>
        <v>42796</v>
      </c>
      <c r="G15" s="62">
        <f>_xll.qlQuoteValue(D15,AllTriggers)</f>
        <v>-6.4000000000000005E-4</v>
      </c>
      <c r="H15" s="62">
        <f>_xll.qlIndexFixing(ON_3M_index,_xll.qlInterestRateIndexFixingDate(ON_3M_index,E15),,AllTriggers)</f>
        <v>-1.9755242991646152E-3</v>
      </c>
      <c r="I15" s="262">
        <f t="shared" si="8"/>
        <v>1.3355242991646152E-3</v>
      </c>
      <c r="J15" s="62">
        <f>_xll.qlTenorBasisValue($R$19,E15,Trigger)</f>
        <v>1.3369238560283403E-3</v>
      </c>
      <c r="K15" s="185">
        <f t="shared" si="9"/>
        <v>-1.3995568637250721E-2</v>
      </c>
      <c r="L15" s="203">
        <f>_xll.qlDayCounterYearFraction("actual/365 (fixed)",SettlementDate,E15,,,Trigger)</f>
        <v>0.92054794520547945</v>
      </c>
      <c r="M15" s="231">
        <f t="shared" si="10"/>
        <v>-1.3995568637250721E-6</v>
      </c>
      <c r="N15" s="181">
        <f>_xll.qlYieldTSDiscount(Discounting,E15,,AllTriggers)</f>
        <v>1.0015991852523043</v>
      </c>
      <c r="O15" s="234" t="b">
        <v>1</v>
      </c>
      <c r="Q15" s="274" t="s">
        <v>114</v>
      </c>
      <c r="R15" s="187">
        <v>6.1666170543504557E-4</v>
      </c>
      <c r="S15" s="187" t="b">
        <v>1</v>
      </c>
      <c r="T15" s="187">
        <v>-5.8046388975472739E-4</v>
      </c>
      <c r="X15" s="57"/>
    </row>
    <row r="16" spans="1:24" ht="11.25" customHeight="1" x14ac:dyDescent="0.2">
      <c r="A16" s="241">
        <f t="shared" si="5"/>
        <v>12</v>
      </c>
      <c r="B16" s="56" t="s">
        <v>34</v>
      </c>
      <c r="C16" s="248">
        <f t="shared" si="6"/>
        <v>15</v>
      </c>
      <c r="D16" s="246" t="str">
        <f t="shared" si="7"/>
        <v>EUR12x15F_Quote</v>
      </c>
      <c r="E16" s="293">
        <f>_xll.qlCalendarAdvance("target",SettlementDate,A16&amp;"M","mf",,Trigger)</f>
        <v>42646</v>
      </c>
      <c r="F16" s="293">
        <f>_xll.qlInterestRateIndexMaturity(ON_6M_index,E16)</f>
        <v>42828</v>
      </c>
      <c r="G16" s="62">
        <f>_xll.qlQuoteValue(D16,AllTriggers)</f>
        <v>-5.8999999999999992E-4</v>
      </c>
      <c r="H16" s="62">
        <f>_xll.qlIndexFixing(ON_3M_index,_xll.qlInterestRateIndexFixingDate(ON_3M_index,E16),,AllTriggers)</f>
        <v>-1.9424117584394167E-3</v>
      </c>
      <c r="I16" s="262">
        <f t="shared" si="8"/>
        <v>1.3524117584394167E-3</v>
      </c>
      <c r="J16" s="62">
        <f>_xll.qlTenorBasisValue($R$19,E16,Trigger)</f>
        <v>1.3504505330253014E-3</v>
      </c>
      <c r="K16" s="185">
        <f t="shared" si="9"/>
        <v>1.9612254141153015E-2</v>
      </c>
      <c r="L16" s="203">
        <f>_xll.qlDayCounterYearFraction("actual/365 (fixed)",SettlementDate,E16,,,Trigger)</f>
        <v>1.0054794520547945</v>
      </c>
      <c r="M16" s="231">
        <f t="shared" si="10"/>
        <v>1.9612254141153015E-6</v>
      </c>
      <c r="N16" s="181">
        <f>_xll.qlYieldTSDiscount(Discounting,E16,,AllTriggers)</f>
        <v>1.0017703617001901</v>
      </c>
      <c r="O16" s="234" t="b">
        <v>1</v>
      </c>
      <c r="Q16" s="274" t="s">
        <v>115</v>
      </c>
      <c r="R16" s="187">
        <v>-3.6095213007046188E-4</v>
      </c>
      <c r="S16" s="187" t="b">
        <v>1</v>
      </c>
      <c r="T16" s="187">
        <v>6.6230807226711451E-4</v>
      </c>
      <c r="X16" s="57"/>
    </row>
    <row r="17" spans="1:24" ht="11.25" customHeight="1" x14ac:dyDescent="0.2">
      <c r="A17" s="290" t="b">
        <v>0</v>
      </c>
      <c r="B17" s="289"/>
      <c r="C17" s="249" t="str">
        <f>_xll.qlIMMNextCode(SettlementDate,A18)</f>
        <v>V5</v>
      </c>
      <c r="D17" s="245" t="str">
        <f t="shared" ref="D17:D28" si="11">Currency&amp;"FUT"&amp;"3M"&amp;C17&amp;QuoteSuffix</f>
        <v>EURFUT3MV5_Quote</v>
      </c>
      <c r="E17" s="292">
        <f>_xll.qlIMMdate(C17,SettlementDate,Trigger)</f>
        <v>42298</v>
      </c>
      <c r="F17" s="292">
        <f>_xll.qlInterestRateIndexMaturity(ON_6M_index,E17)</f>
        <v>42481</v>
      </c>
      <c r="G17" s="67">
        <f>1-_xll.qlQuoteValue(D17,AllTriggers)/100-_xll.qlQuoteValue(Currency&amp;"FUT"&amp;"3M"&amp;C17&amp;"ConvAdj_Quote")</f>
        <v>-4.2500000000011973E-4</v>
      </c>
      <c r="H17" s="67">
        <f>_xll.qlIndexFixing(ON_3M_index,_xll.qlInterestRateIndexFixingDate(ON_3M_index,E17),,AllTriggers)</f>
        <v>-1.4730746465816693E-3</v>
      </c>
      <c r="I17" s="277">
        <f t="shared" si="0"/>
        <v>1.0480746465815496E-3</v>
      </c>
      <c r="J17" s="67">
        <f>_xll.qlTenorBasisValue($R$19,E17,Trigger)</f>
        <v>1.0396310180147323E-3</v>
      </c>
      <c r="K17" s="237">
        <f t="shared" si="4"/>
        <v>8.4436285668172073E-2</v>
      </c>
      <c r="L17" s="282">
        <f>_xll.qlDayCounterYearFraction("actual/365 (fixed)",SettlementDate,E17,,,Trigger)</f>
        <v>5.2054794520547946E-2</v>
      </c>
      <c r="M17" s="276">
        <f t="shared" si="1"/>
        <v>8.4436285668172077E-6</v>
      </c>
      <c r="N17" s="180">
        <f>_xll.qlYieldTSDiscount(Discounting,E17,,AllTriggers)</f>
        <v>1.0000818852243938</v>
      </c>
      <c r="O17" s="238" t="b">
        <v>1</v>
      </c>
      <c r="Q17" s="274" t="s">
        <v>116</v>
      </c>
      <c r="R17" s="187">
        <v>8.5419754614082691E-5</v>
      </c>
      <c r="S17" s="187" t="b">
        <v>1</v>
      </c>
      <c r="T17" s="187">
        <v>-1.5418896936616623E-4</v>
      </c>
      <c r="X17" s="57"/>
    </row>
    <row r="18" spans="1:24" ht="11.25" customHeight="1" x14ac:dyDescent="0.2">
      <c r="A18" s="241" t="b">
        <v>0</v>
      </c>
      <c r="B18" s="56"/>
      <c r="C18" s="248" t="str">
        <f>_xll.qlIMMNextCode(C17,A18)</f>
        <v>X5</v>
      </c>
      <c r="D18" s="246" t="str">
        <f t="shared" si="11"/>
        <v>EURFUT3MX5_Quote</v>
      </c>
      <c r="E18" s="293">
        <f>_xll.qlIMMdate(C18,SettlementDate,Trigger)</f>
        <v>42326</v>
      </c>
      <c r="F18" s="293">
        <f>_xll.qlInterestRateIndexMaturity(ON_6M_index,E18)</f>
        <v>42508</v>
      </c>
      <c r="G18" s="62">
        <f>1-_xll.qlQuoteValue(D18,AllTriggers)/100-_xll.qlQuoteValue(Currency&amp;"FUT"&amp;"3M"&amp;C18&amp;"ConvAdj_Quote")</f>
        <v>-4.750000000000032E-4</v>
      </c>
      <c r="H18" s="62">
        <f>_xll.qlIndexFixing(ON_3M_index,_xll.qlInterestRateIndexFixingDate(ON_3M_index,E18),,AllTriggers)</f>
        <v>-1.5510412744285831E-3</v>
      </c>
      <c r="I18" s="262">
        <f t="shared" si="0"/>
        <v>1.0760412744285799E-3</v>
      </c>
      <c r="J18" s="62">
        <f>_xll.qlTenorBasisValue($R$19,E18,Trigger)</f>
        <v>1.0821000385479351E-3</v>
      </c>
      <c r="K18" s="185">
        <f t="shared" si="4"/>
        <v>-6.0587641193552214E-2</v>
      </c>
      <c r="L18" s="203">
        <f>_xll.qlDayCounterYearFraction("actual/365 (fixed)",SettlementDate,E18,,,Trigger)</f>
        <v>0.12876712328767123</v>
      </c>
      <c r="M18" s="231">
        <f t="shared" si="1"/>
        <v>-6.0587641193552214E-6</v>
      </c>
      <c r="N18" s="181">
        <f>_xll.qlYieldTSDiscount(Discounting,E18,,AllTriggers)</f>
        <v>1.0001933936690752</v>
      </c>
      <c r="O18" s="234" t="b">
        <v>1</v>
      </c>
      <c r="Q18" s="274" t="s">
        <v>117</v>
      </c>
      <c r="R18" s="187" t="e">
        <v>#N/A</v>
      </c>
      <c r="S18" s="187" t="b">
        <v>0</v>
      </c>
      <c r="T18" s="187">
        <v>0</v>
      </c>
      <c r="X18" s="57"/>
    </row>
    <row r="19" spans="1:24" ht="11.25" customHeight="1" x14ac:dyDescent="0.2">
      <c r="A19" s="241" t="b">
        <v>1</v>
      </c>
      <c r="B19" s="56"/>
      <c r="C19" s="248" t="str">
        <f>_xll.qlIMMNextCode(C18,A19)</f>
        <v>Z5</v>
      </c>
      <c r="D19" s="246" t="str">
        <f t="shared" si="11"/>
        <v>EURFUT3MZ5_Quote</v>
      </c>
      <c r="E19" s="293">
        <f>_xll.qlIMMdate(C19,SettlementDate,Trigger)</f>
        <v>42354</v>
      </c>
      <c r="F19" s="293">
        <f>_xll.qlInterestRateIndexMaturity(ON_6M_index,E19)</f>
        <v>42537</v>
      </c>
      <c r="G19" s="62">
        <f>1-_xll.qlQuoteValue(D19,AllTriggers)/100-_xll.qlQuoteValue(Currency&amp;"FUT"&amp;"3M"&amp;C19&amp;"ConvAdj_Quote")</f>
        <v>-5.0000000000016698E-4</v>
      </c>
      <c r="H19" s="62">
        <f>_xll.qlIndexFixing(ON_3M_index,_xll.qlInterestRateIndexFixingDate(ON_3M_index,E19),,AllTriggers)</f>
        <v>-1.6219754461787529E-3</v>
      </c>
      <c r="I19" s="262">
        <f t="shared" si="0"/>
        <v>1.1219754461785859E-3</v>
      </c>
      <c r="J19" s="62">
        <f>_xll.qlTenorBasisValue($R$19,E19,Trigger)</f>
        <v>1.1207091796337349E-3</v>
      </c>
      <c r="K19" s="185">
        <f t="shared" si="4"/>
        <v>1.2662665448510621E-2</v>
      </c>
      <c r="L19" s="203">
        <f>_xll.qlDayCounterYearFraction("actual/365 (fixed)",SettlementDate,E19,,,Trigger)</f>
        <v>0.20547945205479451</v>
      </c>
      <c r="M19" s="231">
        <f t="shared" si="1"/>
        <v>1.2662665448510621E-6</v>
      </c>
      <c r="N19" s="181">
        <f>_xll.qlYieldTSDiscount(Discounting,E19,,AllTriggers)</f>
        <v>1.0003054818747072</v>
      </c>
      <c r="O19" s="234" t="b">
        <v>1</v>
      </c>
      <c r="Q19" s="274" t="s">
        <v>118</v>
      </c>
      <c r="R19" s="187" t="str">
        <f>_xll.qlPolynomialTenorBasis(,PROPER(Currency)&amp;IborType&amp;$F$1,Discounting,SettlementDate,TRUE,_xll.ohFilter(R14:R18,S14:S18),,Trigger)</f>
        <v>obj_005a2#0014</v>
      </c>
      <c r="T19" s="55"/>
      <c r="X19" s="57"/>
    </row>
    <row r="20" spans="1:24" ht="11.25" customHeight="1" x14ac:dyDescent="0.2">
      <c r="A20" s="241" t="b">
        <v>1</v>
      </c>
      <c r="B20" s="56"/>
      <c r="C20" s="248" t="str">
        <f>_xll.qlIMMNextCode(C19,A20)</f>
        <v>H6</v>
      </c>
      <c r="D20" s="246" t="str">
        <f t="shared" si="11"/>
        <v>EURFUT3MH6_Quote</v>
      </c>
      <c r="E20" s="293">
        <f>_xll.qlIMMdate(C20,SettlementDate,Trigger)</f>
        <v>42445</v>
      </c>
      <c r="F20" s="293">
        <f>_xll.qlInterestRateIndexMaturity(ON_6M_index,E20)</f>
        <v>42629</v>
      </c>
      <c r="G20" s="62">
        <f>1-_xll.qlQuoteValue(D20,AllTriggers)/100-_xll.qlQuoteValue(Currency&amp;"FUT"&amp;"3M"&amp;C20&amp;"ConvAdj_Quote")</f>
        <v>-5.7499999999999218E-4</v>
      </c>
      <c r="H20" s="62">
        <f>_xll.qlIndexFixing(ON_3M_index,_xll.qlInterestRateIndexFixingDate(ON_3M_index,E20),,AllTriggers)</f>
        <v>-1.8073896993099216E-3</v>
      </c>
      <c r="I20" s="262">
        <f t="shared" si="0"/>
        <v>1.2323896993099294E-3</v>
      </c>
      <c r="J20" s="62">
        <f>_xll.qlTenorBasisValue($R$19,E20,Trigger)</f>
        <v>1.2223279063650295E-3</v>
      </c>
      <c r="K20" s="185">
        <f t="shared" si="4"/>
        <v>0.10061792944899856</v>
      </c>
      <c r="L20" s="203">
        <f>_xll.qlDayCounterYearFraction("actual/365 (fixed)",SettlementDate,E20,,,Trigger)</f>
        <v>0.45479452054794522</v>
      </c>
      <c r="M20" s="231">
        <f t="shared" si="1"/>
        <v>1.0061792944899856E-5</v>
      </c>
      <c r="N20" s="181">
        <f>_xll.qlYieldTSDiscount(Discounting,E20,,AllTriggers)</f>
        <v>1.0007157746907596</v>
      </c>
      <c r="O20" s="234" t="b">
        <v>1</v>
      </c>
    </row>
    <row r="21" spans="1:24" ht="11.25" customHeight="1" x14ac:dyDescent="0.2">
      <c r="A21" s="241" t="b">
        <v>1</v>
      </c>
      <c r="B21" s="56"/>
      <c r="C21" s="248" t="str">
        <f>_xll.qlIMMNextCode(C20,A21)</f>
        <v>M6</v>
      </c>
      <c r="D21" s="246" t="str">
        <f t="shared" si="11"/>
        <v>EURFUT3MM6_Quote</v>
      </c>
      <c r="E21" s="293">
        <f>_xll.qlIMMdate(C21,SettlementDate,Trigger)</f>
        <v>42536</v>
      </c>
      <c r="F21" s="293">
        <f>_xll.qlInterestRateIndexMaturity(ON_6M_index,E21)</f>
        <v>42719</v>
      </c>
      <c r="G21" s="62">
        <f>1-_xll.qlQuoteValue(D21,AllTriggers)/100-_xll.qlQuoteValue(Currency&amp;"FUT"&amp;"3M"&amp;C21&amp;"ConvAdj_Quote")</f>
        <v>-6.7499999999998117E-4</v>
      </c>
      <c r="H21" s="62">
        <f>_xll.qlIndexFixing(ON_3M_index,_xll.qlInterestRateIndexFixingDate(ON_3M_index,E21),,AllTriggers)</f>
        <v>-1.9443034318716616E-3</v>
      </c>
      <c r="I21" s="262">
        <f t="shared" si="0"/>
        <v>1.2693034318716804E-3</v>
      </c>
      <c r="J21" s="62">
        <f>_xll.qlTenorBasisValue($R$19,E21,Trigger)</f>
        <v>1.2935629530814055E-3</v>
      </c>
      <c r="K21" s="185">
        <f t="shared" si="4"/>
        <v>-0.24259521209725118</v>
      </c>
      <c r="L21" s="203">
        <f>_xll.qlDayCounterYearFraction("actual/365 (fixed)",SettlementDate,E21,,,Trigger)</f>
        <v>0.70410958904109588</v>
      </c>
      <c r="M21" s="231">
        <f t="shared" si="1"/>
        <v>-2.4259521209725118E-5</v>
      </c>
      <c r="N21" s="181">
        <f>_xll.qlYieldTSDiscount(Discounting,E21,,AllTriggers)</f>
        <v>1.001172937288769</v>
      </c>
      <c r="O21" s="234" t="b">
        <v>1</v>
      </c>
    </row>
    <row r="22" spans="1:24" ht="11.25" customHeight="1" x14ac:dyDescent="0.2">
      <c r="A22" s="241" t="b">
        <v>1</v>
      </c>
      <c r="B22" s="56"/>
      <c r="C22" s="248" t="str">
        <f>_xll.qlIMMNextCode(C21,A22)</f>
        <v>U6</v>
      </c>
      <c r="D22" s="246" t="str">
        <f t="shared" si="11"/>
        <v>EURFUT3MU6_Quote</v>
      </c>
      <c r="E22" s="293">
        <f>_xll.qlIMMdate(C22,SettlementDate,Trigger)</f>
        <v>42634</v>
      </c>
      <c r="F22" s="293">
        <f>_xll.qlInterestRateIndexMaturity(ON_6M_index,E22)</f>
        <v>42815</v>
      </c>
      <c r="G22" s="62">
        <f>1-_xll.qlQuoteValue(D22,AllTriggers)/100-_xll.qlQuoteValue(Currency&amp;"FUT"&amp;"3M"&amp;C22&amp;"ConvAdj_Quote")</f>
        <v>-6.250000000000977E-4</v>
      </c>
      <c r="H22" s="62">
        <f>_xll.qlIndexFixing(ON_3M_index,_xll.qlInterestRateIndexFixingDate(ON_3M_index,E22),,AllTriggers)</f>
        <v>-1.9724181850110391E-3</v>
      </c>
      <c r="I22" s="262">
        <f t="shared" si="0"/>
        <v>1.3474181850109414E-3</v>
      </c>
      <c r="J22" s="62">
        <f>_xll.qlTenorBasisValue($R$19,E22,Trigger)</f>
        <v>1.3454083892826556E-3</v>
      </c>
      <c r="K22" s="185">
        <f t="shared" si="4"/>
        <v>2.0097957282858622E-2</v>
      </c>
      <c r="L22" s="203">
        <f>_xll.qlDayCounterYearFraction("actual/365 (fixed)",SettlementDate,E22,,,Trigger)</f>
        <v>0.9726027397260274</v>
      </c>
      <c r="M22" s="231">
        <f t="shared" si="1"/>
        <v>2.0097957282858622E-6</v>
      </c>
      <c r="N22" s="181">
        <f>_xll.qlYieldTSDiscount(Discounting,E22,,AllTriggers)</f>
        <v>1.0017038095513664</v>
      </c>
      <c r="O22" s="234" t="b">
        <v>1</v>
      </c>
    </row>
    <row r="23" spans="1:24" ht="11.25" customHeight="1" x14ac:dyDescent="0.2">
      <c r="A23" s="241" t="b">
        <v>1</v>
      </c>
      <c r="B23" s="56"/>
      <c r="C23" s="248" t="str">
        <f>_xll.qlIMMNextCode(C22,A23)</f>
        <v>Z6</v>
      </c>
      <c r="D23" s="246" t="str">
        <f t="shared" si="11"/>
        <v>EURFUT3MZ6_Quote</v>
      </c>
      <c r="E23" s="293">
        <f>_xll.qlIMMdate(C23,SettlementDate,Trigger)</f>
        <v>42725</v>
      </c>
      <c r="F23" s="293">
        <f>_xll.qlInterestRateIndexMaturity(ON_6M_index,E23)</f>
        <v>42907</v>
      </c>
      <c r="G23" s="62">
        <f>1-_xll.qlQuoteValue(D23,AllTriggers)/100-_xll.qlQuoteValue(Currency&amp;"FUT"&amp;"3M"&amp;C23&amp;"ConvAdj_Quote")</f>
        <v>-4.750000000000032E-4</v>
      </c>
      <c r="H23" s="62">
        <f>_xll.qlIndexFixing(ON_3M_index,_xll.qlInterestRateIndexFixingDate(ON_3M_index,E23),,AllTriggers)</f>
        <v>-1.8348999336903482E-3</v>
      </c>
      <c r="I23" s="262">
        <f t="shared" si="0"/>
        <v>1.359899933690345E-3</v>
      </c>
      <c r="J23" s="62">
        <f>_xll.qlTenorBasisValue($R$19,E23,Trigger)</f>
        <v>1.3789171512172313E-3</v>
      </c>
      <c r="K23" s="185">
        <f t="shared" si="4"/>
        <v>-0.1901721752688634</v>
      </c>
      <c r="L23" s="203">
        <f>_xll.qlDayCounterYearFraction("actual/365 (fixed)",SettlementDate,E23,,,Trigger)</f>
        <v>1.2219178082191782</v>
      </c>
      <c r="M23" s="231">
        <f t="shared" si="1"/>
        <v>-1.901721752688634E-5</v>
      </c>
      <c r="N23" s="181">
        <f>_xll.qlYieldTSDiscount(Discounting,E23,,AllTriggers)</f>
        <v>1.0022034916615752</v>
      </c>
      <c r="O23" s="234" t="b">
        <v>0</v>
      </c>
    </row>
    <row r="24" spans="1:24" ht="11.25" customHeight="1" x14ac:dyDescent="0.2">
      <c r="A24" s="241" t="b">
        <v>1</v>
      </c>
      <c r="B24" s="56"/>
      <c r="C24" s="248" t="str">
        <f>_xll.qlIMMNextCode(C23,A24)</f>
        <v>H7</v>
      </c>
      <c r="D24" s="246" t="str">
        <f t="shared" si="11"/>
        <v>EURFUT3MH7_Quote</v>
      </c>
      <c r="E24" s="293">
        <f>_xll.qlIMMdate(C24,SettlementDate,Trigger)</f>
        <v>42809</v>
      </c>
      <c r="F24" s="293">
        <f>_xll.qlInterestRateIndexMaturity(ON_6M_index,E24)</f>
        <v>42993</v>
      </c>
      <c r="G24" s="62">
        <f>1-_xll.qlQuoteValue(D24,AllTriggers)/100-_xll.qlQuoteValue(Currency&amp;"FUT"&amp;"3M"&amp;C24&amp;"ConvAdj_Quote")</f>
        <v>-2.2500000000014175E-4</v>
      </c>
      <c r="H24" s="62">
        <f>_xll.qlIndexFixing(ON_3M_index,_xll.qlInterestRateIndexFixingDate(ON_3M_index,E24),,AllTriggers)</f>
        <v>-1.6800928635114607E-3</v>
      </c>
      <c r="I24" s="262">
        <f t="shared" si="0"/>
        <v>1.4550928635113189E-3</v>
      </c>
      <c r="J24" s="62">
        <f>_xll.qlTenorBasisValue($R$19,E24,Trigger)</f>
        <v>1.4043906345690251E-3</v>
      </c>
      <c r="K24" s="185">
        <f t="shared" si="4"/>
        <v>0.50702228942293848</v>
      </c>
      <c r="L24" s="203">
        <f>_xll.qlDayCounterYearFraction("actual/365 (fixed)",SettlementDate,E24,,,Trigger)</f>
        <v>1.452054794520548</v>
      </c>
      <c r="M24" s="231">
        <f t="shared" si="1"/>
        <v>5.0702228942293851E-5</v>
      </c>
      <c r="N24" s="181">
        <f>_xll.qlYieldTSDiscount(Discounting,E24,,AllTriggers)</f>
        <v>1.0026340345514717</v>
      </c>
      <c r="O24" s="234" t="b">
        <v>0</v>
      </c>
    </row>
    <row r="25" spans="1:24" ht="11.25" customHeight="1" x14ac:dyDescent="0.2">
      <c r="A25" s="241" t="b">
        <v>1</v>
      </c>
      <c r="B25" s="56"/>
      <c r="C25" s="248" t="str">
        <f>_xll.qlIMMNextCode(C24,A25)</f>
        <v>M7</v>
      </c>
      <c r="D25" s="246" t="str">
        <f t="shared" si="11"/>
        <v>EURFUT3MM7_Quote</v>
      </c>
      <c r="E25" s="293">
        <f>_xll.qlIMMdate(C25,SettlementDate,Trigger)</f>
        <v>42907</v>
      </c>
      <c r="F25" s="293">
        <f>_xll.qlInterestRateIndexMaturity(ON_6M_index,E25)</f>
        <v>43090</v>
      </c>
      <c r="G25" s="62">
        <f>1-_xll.qlQuoteValue(D25,AllTriggers)/100-_xll.qlQuoteValue(Currency&amp;"FUT"&amp;"3M"&amp;C25&amp;"ConvAdj_Quote")</f>
        <v>1.2500000000004174E-4</v>
      </c>
      <c r="H25" s="62">
        <f>_xll.qlIndexFixing(ON_3M_index,_xll.qlInterestRateIndexFixingDate(ON_3M_index,E25),,AllTriggers)</f>
        <v>-1.4042404588627919E-3</v>
      </c>
      <c r="I25" s="262">
        <f t="shared" si="0"/>
        <v>1.5292404588628337E-3</v>
      </c>
      <c r="J25" s="62">
        <f>_xll.qlTenorBasisValue($R$19,E25,Trigger)</f>
        <v>1.4360411323487399E-3</v>
      </c>
      <c r="K25" s="185">
        <f t="shared" si="4"/>
        <v>0.93199326514093728</v>
      </c>
      <c r="L25" s="203">
        <f>_xll.qlDayCounterYearFraction("actual/365 (fixed)",SettlementDate,E25,,,Trigger)</f>
        <v>1.7205479452054795</v>
      </c>
      <c r="M25" s="231">
        <f t="shared" si="1"/>
        <v>9.319932651409373E-5</v>
      </c>
      <c r="N25" s="181">
        <f>_xll.qlYieldTSDiscount(Discounting,E25,,AllTriggers)</f>
        <v>1.0030909587369332</v>
      </c>
      <c r="O25" s="234" t="b">
        <v>0</v>
      </c>
      <c r="T25" s="55"/>
    </row>
    <row r="26" spans="1:24" ht="11.25" customHeight="1" x14ac:dyDescent="0.2">
      <c r="A26" s="241" t="b">
        <v>1</v>
      </c>
      <c r="B26" s="56"/>
      <c r="C26" s="248" t="str">
        <f>_xll.qlIMMNextCode(C25,A26)</f>
        <v>U7</v>
      </c>
      <c r="D26" s="246" t="str">
        <f t="shared" si="11"/>
        <v>EURFUT3MU7_Quote</v>
      </c>
      <c r="E26" s="293">
        <f>_xll.qlIMMdate(C26,SettlementDate,Trigger)</f>
        <v>42998</v>
      </c>
      <c r="F26" s="293">
        <f>_xll.qlInterestRateIndexMaturity(ON_6M_index,E26)</f>
        <v>43179</v>
      </c>
      <c r="G26" s="62">
        <f>1-_xll.qlQuoteValue(D26,AllTriggers)/100-_xll.qlQuoteValue(Currency&amp;"FUT"&amp;"3M"&amp;C26&amp;"ConvAdj_Quote")</f>
        <v>5.2500000000010871E-4</v>
      </c>
      <c r="H26" s="62">
        <f>_xll.qlIndexFixing(ON_3M_index,_xll.qlInterestRateIndexFixingDate(ON_3M_index,E26),,AllTriggers)</f>
        <v>-1.0033691236714401E-3</v>
      </c>
      <c r="I26" s="262">
        <f t="shared" si="0"/>
        <v>1.5283691236715488E-3</v>
      </c>
      <c r="J26" s="62">
        <f>_xll.qlTenorBasisValue($R$19,E26,Trigger)</f>
        <v>1.4755412758312735E-3</v>
      </c>
      <c r="K26" s="185">
        <f t="shared" si="4"/>
        <v>0.52827847840275277</v>
      </c>
      <c r="L26" s="203">
        <f>_xll.qlDayCounterYearFraction("actual/365 (fixed)",SettlementDate,E26,,,Trigger)</f>
        <v>1.9698630136986301</v>
      </c>
      <c r="M26" s="231">
        <f t="shared" si="1"/>
        <v>5.2827847840275282E-5</v>
      </c>
      <c r="N26" s="181">
        <f>_xll.qlYieldTSDiscount(Discounting,E26,,AllTriggers)</f>
        <v>1.003447645816721</v>
      </c>
      <c r="O26" s="234" t="b">
        <v>0</v>
      </c>
      <c r="T26" s="55"/>
    </row>
    <row r="27" spans="1:24" ht="11.25" customHeight="1" x14ac:dyDescent="0.2">
      <c r="A27" s="241" t="b">
        <v>1</v>
      </c>
      <c r="B27" s="56"/>
      <c r="C27" s="248" t="str">
        <f>_xll.qlIMMNextCode(C26,A27)</f>
        <v>Z7</v>
      </c>
      <c r="D27" s="246" t="str">
        <f t="shared" si="11"/>
        <v>EURFUT3MZ7_Quote</v>
      </c>
      <c r="E27" s="293">
        <f>_xll.qlIMMdate(C27,SettlementDate,Trigger)</f>
        <v>43089</v>
      </c>
      <c r="F27" s="293">
        <f>_xll.qlInterestRateIndexMaturity(ON_6M_index,E27)</f>
        <v>43271</v>
      </c>
      <c r="G27" s="62">
        <f>1-_xll.qlQuoteValue(D27,AllTriggers)/100-_xll.qlQuoteValue(Currency&amp;"FUT"&amp;"3M"&amp;C27&amp;"ConvAdj_Quote")</f>
        <v>1.0750000000000481E-3</v>
      </c>
      <c r="H27" s="62">
        <f>_xll.qlIndexFixing(ON_3M_index,_xll.qlInterestRateIndexFixingDate(ON_3M_index,E27),,AllTriggers)</f>
        <v>-5.0913265329066704E-4</v>
      </c>
      <c r="I27" s="262">
        <f t="shared" si="0"/>
        <v>1.5841326532907152E-3</v>
      </c>
      <c r="J27" s="62">
        <f>_xll.qlTenorBasisValue($R$19,E27,Trigger)</f>
        <v>1.532923470782061E-3</v>
      </c>
      <c r="K27" s="185">
        <f t="shared" si="4"/>
        <v>0.51209182508654216</v>
      </c>
      <c r="L27" s="203">
        <f>_xll.qlDayCounterYearFraction("actual/365 (fixed)",SettlementDate,E27,,,Trigger)</f>
        <v>2.2191780821917808</v>
      </c>
      <c r="M27" s="231">
        <f t="shared" si="1"/>
        <v>5.1209182508654217E-5</v>
      </c>
      <c r="N27" s="181">
        <f>_xll.qlYieldTSDiscount(Discounting,E27,,AllTriggers)</f>
        <v>1.0037022142245302</v>
      </c>
      <c r="O27" s="234" t="b">
        <v>0</v>
      </c>
      <c r="T27" s="55"/>
    </row>
    <row r="28" spans="1:24" ht="11.25" customHeight="1" x14ac:dyDescent="0.2">
      <c r="A28" s="242" t="b">
        <v>1</v>
      </c>
      <c r="B28" s="243"/>
      <c r="C28" s="250" t="str">
        <f>_xll.qlIMMNextCode(C27,A28)</f>
        <v>H8</v>
      </c>
      <c r="D28" s="247" t="str">
        <f t="shared" si="11"/>
        <v>EURFUT3MH8_Quote</v>
      </c>
      <c r="E28" s="294">
        <f>_xll.qlIMMdate(C28,SettlementDate,Trigger)</f>
        <v>43180</v>
      </c>
      <c r="F28" s="294">
        <f>_xll.qlInterestRateIndexMaturity(ON_6M_index,E28)</f>
        <v>43364</v>
      </c>
      <c r="G28" s="65">
        <f>1-_xll.qlQuoteValue(D28,AllTriggers)/100-_xll.qlQuoteValue(Currency&amp;"FUT"&amp;"3M"&amp;C28&amp;"ConvAdj_Quote")</f>
        <v>1.6750000000000931E-3</v>
      </c>
      <c r="H28" s="65">
        <f>_xll.qlIndexFixing(ON_3M_index,_xll.qlInterestRateIndexFixingDate(ON_3M_index,E28),,AllTriggers)</f>
        <v>5.8914404855484172E-5</v>
      </c>
      <c r="I28" s="257">
        <f t="shared" si="0"/>
        <v>1.6160855951446089E-3</v>
      </c>
      <c r="J28" s="65">
        <f>_xll.qlTenorBasisValue($R$19,E28,Trigger)</f>
        <v>1.6161301793439029E-3</v>
      </c>
      <c r="K28" s="186">
        <f t="shared" si="4"/>
        <v>-4.4584199294017343E-4</v>
      </c>
      <c r="L28" s="204">
        <f>_xll.qlDayCounterYearFraction("actual/365 (fixed)",SettlementDate,E28,,,Trigger)</f>
        <v>2.4684931506849317</v>
      </c>
      <c r="M28" s="232">
        <f t="shared" si="1"/>
        <v>-4.4584199294017343E-8</v>
      </c>
      <c r="N28" s="182">
        <f>_xll.qlYieldTSDiscount(Discounting,E28,,AllTriggers)</f>
        <v>1.0038306484911559</v>
      </c>
      <c r="O28" s="235" t="b">
        <v>1</v>
      </c>
      <c r="T28" s="55"/>
    </row>
    <row r="29" spans="1:24" ht="11.25" customHeight="1" x14ac:dyDescent="0.2">
      <c r="E29" s="179"/>
      <c r="F29" s="179"/>
      <c r="G29" s="57"/>
      <c r="H29" s="57"/>
      <c r="I29" s="57"/>
      <c r="J29" s="56"/>
      <c r="K29" s="56"/>
      <c r="L29" s="56"/>
      <c r="M29" s="56"/>
      <c r="N29" s="56"/>
      <c r="O29" s="56"/>
      <c r="T29" s="55"/>
    </row>
    <row r="30" spans="1:24" ht="21.95" customHeight="1" thickBot="1" x14ac:dyDescent="0.25">
      <c r="E30" s="179"/>
      <c r="F30" s="58" t="s">
        <v>91</v>
      </c>
      <c r="G30" s="58" t="s">
        <v>80</v>
      </c>
      <c r="H30" s="58" t="s">
        <v>81</v>
      </c>
      <c r="I30" s="283" t="s">
        <v>129</v>
      </c>
      <c r="T30" s="55"/>
    </row>
    <row r="31" spans="1:24" ht="11.25" customHeight="1" x14ac:dyDescent="0.2">
      <c r="E31" s="179"/>
      <c r="F31" s="61" t="s">
        <v>38</v>
      </c>
      <c r="G31" s="265">
        <f>_xll.qlCalendarAdvance(Calendar,SettlementDate,0&amp;"M","mf",TRUE,Trigger)</f>
        <v>42279</v>
      </c>
      <c r="H31" s="266">
        <f>_xll.qlCalendarAdvance(Calendar,SettlementDate,F31,"Following",,Trigger)</f>
        <v>42282</v>
      </c>
      <c r="I31" s="284">
        <f>_xll.qlTenorBasisForwardRate2(TenorBasis3M,G31,H31,AllTriggers)</f>
        <v>-4.6216392257214522E-4</v>
      </c>
    </row>
    <row r="32" spans="1:24" ht="11.25" customHeight="1" x14ac:dyDescent="0.2">
      <c r="E32" s="179"/>
      <c r="F32" s="63" t="s">
        <v>39</v>
      </c>
      <c r="G32" s="267">
        <f>_xll.qlCalendarAdvance(Calendar,SettlementDate,0&amp;"M","mf",TRUE,Trigger)</f>
        <v>42279</v>
      </c>
      <c r="H32" s="268">
        <f>_xll.qlCalendarAdvance(Calendar,SettlementDate,F32,"Following",,Trigger)</f>
        <v>42286</v>
      </c>
      <c r="I32" s="285">
        <f>_xll.qlTenorBasisForwardRate2(TenorBasis3M,G32,H32,AllTriggers)</f>
        <v>-5.1208307960872086E-4</v>
      </c>
    </row>
    <row r="33" spans="5:9" ht="11.25" customHeight="1" x14ac:dyDescent="0.2">
      <c r="E33" s="179"/>
      <c r="F33" s="63" t="s">
        <v>40</v>
      </c>
      <c r="G33" s="267">
        <f>_xll.qlCalendarAdvance(Calendar,SettlementDate,0&amp;"M","mf",TRUE,Trigger)</f>
        <v>42279</v>
      </c>
      <c r="H33" s="268">
        <f>_xll.qlCalendarAdvance(Calendar,SettlementDate,F33,"Following",,Trigger)</f>
        <v>42293</v>
      </c>
      <c r="I33" s="285">
        <f>_xll.qlTenorBasisForwardRate2(TenorBasis3M,G33,H33,AllTriggers)</f>
        <v>-5.0549147297105994E-4</v>
      </c>
    </row>
    <row r="34" spans="5:9" ht="11.25" customHeight="1" x14ac:dyDescent="0.2">
      <c r="E34" s="179"/>
      <c r="F34" s="63" t="s">
        <v>41</v>
      </c>
      <c r="G34" s="267">
        <f>_xll.qlCalendarAdvance(Calendar,SettlementDate,0&amp;"M","mf",TRUE,Trigger)</f>
        <v>42279</v>
      </c>
      <c r="H34" s="268">
        <f>_xll.qlCalendarAdvance(Calendar,SettlementDate,F34,"Following",,Trigger)</f>
        <v>42300</v>
      </c>
      <c r="I34" s="285">
        <f>_xll.qlTenorBasisForwardRate2(TenorBasis3M,G34,H34,AllTriggers)</f>
        <v>-4.9899359318634443E-4</v>
      </c>
    </row>
    <row r="35" spans="5:9" ht="11.25" customHeight="1" x14ac:dyDescent="0.2">
      <c r="E35" s="179"/>
      <c r="F35" s="263" t="s">
        <v>35</v>
      </c>
      <c r="G35" s="269">
        <f>_xll.qlCalendarAdvance(Calendar,SettlementDate,0&amp;"M","mf",TRUE,Trigger)</f>
        <v>42279</v>
      </c>
      <c r="H35" s="270">
        <f>_xll.qlCalendarAdvance(Calendar,SettlementDate,F35,"mf",TRUE,Trigger)</f>
        <v>42310</v>
      </c>
      <c r="I35" s="286">
        <f>_xll.qlTenorBasisForwardRate2(TenorBasis3M,G35,H35,AllTriggers)</f>
        <v>-4.5986928879109484E-4</v>
      </c>
    </row>
    <row r="36" spans="5:9" ht="11.25" customHeight="1" x14ac:dyDescent="0.2">
      <c r="E36" s="179"/>
      <c r="F36" s="63" t="s">
        <v>42</v>
      </c>
      <c r="G36" s="267">
        <f>_xll.qlCalendarAdvance(Calendar,SettlementDate,0&amp;"M","mf",TRUE,Trigger)</f>
        <v>42279</v>
      </c>
      <c r="H36" s="268">
        <f>_xll.qlCalendarAdvance(Calendar,SettlementDate,F36,"mf",TRUE,Trigger)</f>
        <v>42340</v>
      </c>
      <c r="I36" s="285">
        <f>_xll.qlTenorBasisForwardRate2(TenorBasis3M,G36,H36,AllTriggers)</f>
        <v>-4.8361993965124637E-4</v>
      </c>
    </row>
    <row r="37" spans="5:9" ht="11.25" customHeight="1" thickBot="1" x14ac:dyDescent="0.25">
      <c r="E37" s="179"/>
      <c r="F37" s="261" t="s">
        <v>36</v>
      </c>
      <c r="G37" s="271">
        <f>_xll.qlCalendarAdvance(Calendar,SettlementDate,0&amp;"M","mf",TRUE,Trigger)</f>
        <v>42279</v>
      </c>
      <c r="H37" s="272">
        <f>_xll.qlCalendarAdvance(Calendar,SettlementDate,F37,"mf",TRUE,Trigger)</f>
        <v>42373</v>
      </c>
      <c r="I37" s="288">
        <f>_xll.qlTenorBasisForwardRate2(TenorBasis3M,G37,H37,AllTriggers)</f>
        <v>-4.3636004553916906E-4</v>
      </c>
    </row>
    <row r="38" spans="5:9" ht="11.25" customHeight="1" x14ac:dyDescent="0.2">
      <c r="E38" s="179"/>
      <c r="F38" s="179"/>
      <c r="G38" s="57"/>
      <c r="H38" s="57"/>
      <c r="I38" s="57"/>
    </row>
    <row r="39" spans="5:9" ht="11.25" customHeight="1" x14ac:dyDescent="0.2">
      <c r="E39" s="179"/>
      <c r="F39" s="179"/>
      <c r="G39" s="57"/>
      <c r="H39" s="57"/>
      <c r="I39" s="57"/>
    </row>
    <row r="40" spans="5:9" ht="11.25" customHeight="1" x14ac:dyDescent="0.2">
      <c r="E40" s="179"/>
      <c r="F40" s="179"/>
      <c r="G40" s="57"/>
      <c r="H40" s="57"/>
      <c r="I40" s="57"/>
    </row>
    <row r="41" spans="5:9" ht="11.25" customHeight="1" x14ac:dyDescent="0.2">
      <c r="E41" s="179"/>
      <c r="F41" s="179"/>
      <c r="G41" s="57"/>
      <c r="H41" s="57"/>
      <c r="I41" s="57"/>
    </row>
    <row r="42" spans="5:9" ht="11.25" customHeight="1" x14ac:dyDescent="0.2">
      <c r="E42" s="179"/>
      <c r="F42" s="179"/>
      <c r="G42" s="57"/>
      <c r="H42" s="57"/>
      <c r="I42" s="57"/>
    </row>
    <row r="43" spans="5:9" ht="11.25" customHeight="1" x14ac:dyDescent="0.2">
      <c r="E43" s="179"/>
      <c r="F43" s="179"/>
      <c r="G43" s="57"/>
      <c r="H43" s="57"/>
      <c r="I43" s="57"/>
    </row>
    <row r="44" spans="5:9" ht="11.25" customHeight="1" x14ac:dyDescent="0.2">
      <c r="E44" s="179"/>
      <c r="F44" s="179"/>
      <c r="G44" s="57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  <row r="50" spans="5:9" ht="11.25" customHeight="1" x14ac:dyDescent="0.2">
      <c r="E50" s="179"/>
      <c r="F50" s="179"/>
      <c r="G50" s="57"/>
      <c r="H50" s="57"/>
      <c r="I50" s="57"/>
    </row>
    <row r="51" spans="5:9" ht="11.25" customHeight="1" x14ac:dyDescent="0.2">
      <c r="E51" s="179"/>
      <c r="F51" s="179"/>
      <c r="G51" s="57"/>
      <c r="H51" s="57"/>
      <c r="I51" s="57"/>
    </row>
    <row r="52" spans="5:9" ht="11.25" customHeight="1" x14ac:dyDescent="0.2">
      <c r="E52" s="179"/>
      <c r="F52" s="179"/>
      <c r="G52" s="57"/>
      <c r="H52" s="57"/>
      <c r="I52" s="57"/>
    </row>
    <row r="53" spans="5:9" ht="11.25" customHeight="1" x14ac:dyDescent="0.2">
      <c r="E53" s="179"/>
      <c r="F53" s="179"/>
      <c r="G53" s="57"/>
      <c r="H53" s="57"/>
      <c r="I53" s="57"/>
    </row>
    <row r="54" spans="5:9" ht="11.25" customHeight="1" x14ac:dyDescent="0.2">
      <c r="E54" s="179"/>
      <c r="F54" s="179"/>
      <c r="G54" s="57"/>
      <c r="H54" s="57"/>
      <c r="I54" s="57"/>
    </row>
    <row r="55" spans="5:9" ht="11.25" customHeight="1" x14ac:dyDescent="0.2">
      <c r="E55" s="179"/>
      <c r="F55" s="179"/>
      <c r="G55" s="57"/>
      <c r="H55" s="57"/>
      <c r="I55" s="57"/>
    </row>
    <row r="56" spans="5:9" ht="11.25" customHeight="1" x14ac:dyDescent="0.2">
      <c r="E56" s="179"/>
      <c r="F56" s="179"/>
      <c r="G56" s="57"/>
      <c r="H56" s="57"/>
      <c r="I56" s="57"/>
    </row>
    <row r="57" spans="5:9" ht="11.25" customHeight="1" x14ac:dyDescent="0.2">
      <c r="E57" s="179"/>
      <c r="F57" s="179"/>
      <c r="G57" s="57"/>
      <c r="H57" s="57"/>
      <c r="I57" s="57"/>
    </row>
    <row r="58" spans="5:9" ht="11.25" customHeight="1" x14ac:dyDescent="0.2">
      <c r="E58" s="179"/>
      <c r="F58" s="179"/>
      <c r="G58" s="57"/>
      <c r="H58" s="57"/>
      <c r="I58" s="57"/>
    </row>
    <row r="59" spans="5:9" ht="11.25" customHeight="1" x14ac:dyDescent="0.2">
      <c r="E59" s="179"/>
      <c r="F59" s="179"/>
      <c r="G59" s="57"/>
      <c r="H59" s="57"/>
      <c r="I59" s="57"/>
    </row>
  </sheetData>
  <dataValidations count="1">
    <dataValidation type="list" allowBlank="1" showInputMessage="1" showErrorMessage="1" sqref="S14:S18 O4:O28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0" t="s">
        <v>91</v>
      </c>
      <c r="F1" s="261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1">
        <v>0</v>
      </c>
      <c r="B3" s="252" t="s">
        <v>34</v>
      </c>
      <c r="C3" s="253" t="str">
        <f>SUBSTITUTE($F$1,"M","")</f>
        <v>6</v>
      </c>
      <c r="D3" s="256" t="str">
        <f>Currency&amp;A3&amp;B3&amp;C3&amp;"F"&amp;"_Estimated"</f>
        <v>EUR0x6F_Estimated</v>
      </c>
      <c r="E3" s="291">
        <f>SettlementDate</f>
        <v>42279</v>
      </c>
      <c r="F3" s="291">
        <f>_xll.qlInterestRateIndexMaturity(PROPER(Currency)&amp;"ibor"&amp;$F$1,E3)</f>
        <v>42464</v>
      </c>
      <c r="G3" s="255">
        <f>J3+$H$4</f>
        <v>2.7039529257642716E-4</v>
      </c>
      <c r="H3" s="236"/>
      <c r="I3" s="236"/>
      <c r="J3" s="187">
        <f>_xll.qlTenorBasisValue($R$18,E3,Trigger)</f>
        <v>1.8273582058294271E-3</v>
      </c>
      <c r="K3" s="236"/>
      <c r="L3" s="280">
        <f>_xll.qlDayCounterYearFraction("actual/365 (fixed)",SettlementDate,E3,,,Trigger)</f>
        <v>0</v>
      </c>
      <c r="M3" s="236"/>
      <c r="N3" s="236"/>
      <c r="O3" s="254"/>
      <c r="Q3" s="274" t="s">
        <v>131</v>
      </c>
      <c r="R3" s="187" t="str">
        <f>_xll.qlIborIndex(,,F1,2,Currency,Calendar,"mf",TRUE,DayCounter,Discounting,,Trigger)</f>
        <v>obj_0044e#0002</v>
      </c>
    </row>
    <row r="4" spans="1:20" ht="11.25" customHeight="1" x14ac:dyDescent="0.2">
      <c r="A4" s="251">
        <v>0</v>
      </c>
      <c r="B4" s="252" t="s">
        <v>34</v>
      </c>
      <c r="C4" s="253">
        <v>6</v>
      </c>
      <c r="D4" s="244" t="str">
        <f>PROPER(Currency&amp;IborType)&amp;F1&amp;"LastFixing"&amp;QuoteSuffix</f>
        <v>Euribor6MLastFixing_Quote</v>
      </c>
      <c r="E4" s="291">
        <f>SettlementDate</f>
        <v>42279</v>
      </c>
      <c r="F4" s="291">
        <f>_xll.qlInterestRateIndexMaturity(ON_6M_index,E4)</f>
        <v>42464</v>
      </c>
      <c r="G4" s="187">
        <f>_xll.qlQuoteValue(D4,LastFixingsTrigger)</f>
        <v>2.9E-4</v>
      </c>
      <c r="H4" s="187">
        <f>_xll.qlIndexFixing(ON_6M_index,_xll.qlInterestRateIndexFixingDate(ON_6M_index,E4),,AllTriggers)</f>
        <v>-1.556962913253E-3</v>
      </c>
      <c r="I4" s="255">
        <f t="shared" ref="I4:I22" si="0">G4-H4</f>
        <v>1.8469629132529999E-3</v>
      </c>
      <c r="J4" s="183">
        <f>_xll.qlTenorBasisValue($R$18,E4,Trigger)</f>
        <v>1.8273582058294271E-3</v>
      </c>
      <c r="K4" s="184">
        <f>M4*10000</f>
        <v>0.19604707423572734</v>
      </c>
      <c r="L4" s="281">
        <f>_xll.qlDayCounterYearFraction("actual/365 (fixed)",SettlementDate,E4,,,Trigger)</f>
        <v>0</v>
      </c>
      <c r="M4" s="275">
        <f t="shared" ref="M4:M22" si="1">I4-J4</f>
        <v>1.9604707423572735E-5</v>
      </c>
      <c r="N4" s="278">
        <f>_xll.qlYieldTSDiscount(Discounting,E4,,AllTriggers)</f>
        <v>1.0000063889195219</v>
      </c>
      <c r="O4" s="233" t="b">
        <v>1</v>
      </c>
    </row>
    <row r="5" spans="1:20" ht="11.25" customHeight="1" x14ac:dyDescent="0.2">
      <c r="A5" s="241">
        <v>1</v>
      </c>
      <c r="B5" s="56" t="s">
        <v>34</v>
      </c>
      <c r="C5" s="248">
        <f t="shared" ref="C5:C22" si="2">A5+SUBSTITUTE($F$1,"M","")</f>
        <v>7</v>
      </c>
      <c r="D5" s="245" t="str">
        <f t="shared" ref="D5:D22" si="3">Currency&amp;A5&amp;B5&amp;C5&amp;"F"&amp;QuoteSuffix</f>
        <v>EUR1x7F_Quote</v>
      </c>
      <c r="E5" s="292">
        <f>_xll.qlCalendarAdvance("target",SettlementDate,A5&amp;"M","mf",,Trigger)</f>
        <v>42310</v>
      </c>
      <c r="F5" s="292">
        <f>_xll.qlInterestRateIndexMaturity(ON_6M_index,E5)</f>
        <v>42492</v>
      </c>
      <c r="G5" s="67">
        <f>_xll.qlQuoteValue(D5,AllTriggers)</f>
        <v>2.5000000000000001E-4</v>
      </c>
      <c r="H5" s="67">
        <f>_xll.qlIndexFixing(ON_6M_index,_xll.qlInterestRateIndexFixingDate(ON_6M_index,E5),,AllTriggers)</f>
        <v>-1.6194658927457797E-3</v>
      </c>
      <c r="I5" s="277">
        <f t="shared" si="0"/>
        <v>1.8694658927457797E-3</v>
      </c>
      <c r="J5" s="67">
        <f>_xll.qlTenorBasisValue($R$18,E5,Trigger)</f>
        <v>1.8813249670941057E-3</v>
      </c>
      <c r="K5" s="237">
        <f t="shared" ref="K5:K22" si="4">M5*10000</f>
        <v>-0.11859074348326021</v>
      </c>
      <c r="L5" s="282">
        <f>_xll.qlDayCounterYearFraction("actual/365 (fixed)",SettlementDate,E5,,,Trigger)</f>
        <v>8.4931506849315067E-2</v>
      </c>
      <c r="M5" s="276">
        <f t="shared" si="1"/>
        <v>-1.1859074348326022E-5</v>
      </c>
      <c r="N5" s="180">
        <f>_xll.qlYieldTSDiscount(Discounting,E5,,AllTriggers)</f>
        <v>1.0001269597807645</v>
      </c>
      <c r="O5" s="238" t="b">
        <v>1</v>
      </c>
      <c r="Q5" s="258" t="s">
        <v>125</v>
      </c>
      <c r="R5" s="259"/>
    </row>
    <row r="6" spans="1:20" ht="11.25" customHeight="1" x14ac:dyDescent="0.2">
      <c r="A6" s="241">
        <v>2</v>
      </c>
      <c r="B6" s="56" t="s">
        <v>34</v>
      </c>
      <c r="C6" s="248">
        <f t="shared" si="2"/>
        <v>8</v>
      </c>
      <c r="D6" s="246" t="str">
        <f t="shared" si="3"/>
        <v>EUR2x8F_Quote</v>
      </c>
      <c r="E6" s="293">
        <f>_xll.qlCalendarAdvance("target",SettlementDate,A6&amp;"M","mf",,Trigger)</f>
        <v>42340</v>
      </c>
      <c r="F6" s="293">
        <f>_xll.qlInterestRateIndexMaturity(ON_6M_index,E6)</f>
        <v>42523</v>
      </c>
      <c r="G6" s="62">
        <f>_xll.qlQuoteValue(D6,AllTriggers)</f>
        <v>2.3000000000000001E-4</v>
      </c>
      <c r="H6" s="62">
        <f>_xll.qlIndexFixing(ON_6M_index,_xll.qlInterestRateIndexFixingDate(ON_6M_index,E6),,AllTriggers)</f>
        <v>-1.6758130301811013E-3</v>
      </c>
      <c r="I6" s="262">
        <f t="shared" si="0"/>
        <v>1.9058130301811012E-3</v>
      </c>
      <c r="J6" s="62">
        <f>_xll.qlTenorBasisValue($R$18,E6,Trigger)</f>
        <v>1.9296662926708329E-3</v>
      </c>
      <c r="K6" s="185">
        <f t="shared" si="4"/>
        <v>-0.23853262489731669</v>
      </c>
      <c r="L6" s="203">
        <f>_xll.qlDayCounterYearFraction("actual/365 (fixed)",SettlementDate,E6,,,Trigger)</f>
        <v>0.16712328767123288</v>
      </c>
      <c r="M6" s="231">
        <f t="shared" si="1"/>
        <v>-2.3853262489731668E-5</v>
      </c>
      <c r="N6" s="181">
        <f>_xll.qlYieldTSDiscount(Discounting,E6,,AllTriggers)</f>
        <v>1.0002521453146693</v>
      </c>
      <c r="O6" s="234" t="b">
        <v>1</v>
      </c>
      <c r="Q6" s="274" t="s">
        <v>126</v>
      </c>
      <c r="R6" s="279" t="str">
        <f>_xll.qlPolynomialCalibration(,_xll.ohFilter($L$4:$L$22,$O$4:$O$22),_xll.ohFilter($I$4:$I$22,$O$4:$O$22),_xll.ohFilter($N$4:$N$22,$O$4:$O$22),_xll.ohFilter(T13:T17,S13:S17),,,,,Trigger)</f>
        <v>obj_005a0#0002</v>
      </c>
    </row>
    <row r="7" spans="1:20" ht="11.25" customHeight="1" x14ac:dyDescent="0.2">
      <c r="A7" s="241">
        <f>A6+1</f>
        <v>3</v>
      </c>
      <c r="B7" s="56" t="s">
        <v>34</v>
      </c>
      <c r="C7" s="248">
        <f t="shared" si="2"/>
        <v>9</v>
      </c>
      <c r="D7" s="246" t="str">
        <f t="shared" si="3"/>
        <v>EUR3x9F_Quote</v>
      </c>
      <c r="E7" s="293">
        <f>_xll.qlCalendarAdvance("target",SettlementDate,A7&amp;"M","mf",,Trigger)</f>
        <v>42373</v>
      </c>
      <c r="F7" s="293">
        <f>_xll.qlInterestRateIndexMaturity(ON_6M_index,E7)</f>
        <v>42555</v>
      </c>
      <c r="G7" s="62">
        <f>_xll.qlQuoteValue(D7,AllTriggers)</f>
        <v>2.1999999999999998E-4</v>
      </c>
      <c r="H7" s="62">
        <f>_xll.qlIndexFixing(ON_6M_index,_xll.qlInterestRateIndexFixingDate(ON_6M_index,E7),,AllTriggers)</f>
        <v>-1.7662304460096426E-3</v>
      </c>
      <c r="I7" s="262">
        <f t="shared" si="0"/>
        <v>1.9862304460096427E-3</v>
      </c>
      <c r="J7" s="62">
        <f>_xll.qlTenorBasisValue($R$18,E7,Trigger)</f>
        <v>1.9788745412316982E-3</v>
      </c>
      <c r="K7" s="185">
        <f t="shared" si="4"/>
        <v>7.3559047779445275E-2</v>
      </c>
      <c r="L7" s="203">
        <f>_xll.qlDayCounterYearFraction("actual/365 (fixed)",SettlementDate,E7,,,Trigger)</f>
        <v>0.25753424657534246</v>
      </c>
      <c r="M7" s="231">
        <f t="shared" si="1"/>
        <v>7.3559047779445282E-6</v>
      </c>
      <c r="N7" s="181">
        <f>_xll.qlYieldTSDiscount(Discounting,E7,,AllTriggers)</f>
        <v>1.000379858517497</v>
      </c>
      <c r="O7" s="234" t="b">
        <v>1</v>
      </c>
      <c r="Q7" s="274" t="s">
        <v>127</v>
      </c>
      <c r="R7" s="279" t="b">
        <f>_xll.qlPolynomialCalibrationCompute($R$6,AllTriggers)</f>
        <v>1</v>
      </c>
    </row>
    <row r="8" spans="1:20" ht="11.25" customHeight="1" x14ac:dyDescent="0.2">
      <c r="A8" s="241">
        <f t="shared" ref="A8:A22" si="5">A7+1</f>
        <v>4</v>
      </c>
      <c r="B8" s="56" t="s">
        <v>34</v>
      </c>
      <c r="C8" s="248">
        <f t="shared" si="2"/>
        <v>10</v>
      </c>
      <c r="D8" s="246" t="str">
        <f t="shared" si="3"/>
        <v>EUR4x10F_Quote</v>
      </c>
      <c r="E8" s="293">
        <f>_xll.qlCalendarAdvance("target",SettlementDate,A8&amp;"M","mf",,Trigger)</f>
        <v>42402</v>
      </c>
      <c r="F8" s="293">
        <f>_xll.qlInterestRateIndexMaturity(ON_6M_index,E8)</f>
        <v>42584</v>
      </c>
      <c r="G8" s="62">
        <f>_xll.qlQuoteValue(D8,AllTriggers)</f>
        <v>2.0999999999999998E-4</v>
      </c>
      <c r="H8" s="62">
        <f>_xll.qlIndexFixing(ON_6M_index,_xll.qlInterestRateIndexFixingDate(ON_6M_index,E8),,AllTriggers)</f>
        <v>-1.8075857506743571E-3</v>
      </c>
      <c r="I8" s="262">
        <f t="shared" si="0"/>
        <v>2.017585750674357E-3</v>
      </c>
      <c r="J8" s="62">
        <f>_xll.qlTenorBasisValue($R$18,E8,Trigger)</f>
        <v>2.0190645997408426E-3</v>
      </c>
      <c r="K8" s="185">
        <f t="shared" si="4"/>
        <v>-1.4788490664855922E-2</v>
      </c>
      <c r="L8" s="203">
        <f>_xll.qlDayCounterYearFraction("actual/365 (fixed)",SettlementDate,E8,,,Trigger)</f>
        <v>0.33698630136986302</v>
      </c>
      <c r="M8" s="231">
        <f t="shared" si="1"/>
        <v>-1.4788490664855922E-6</v>
      </c>
      <c r="N8" s="181">
        <f>_xll.qlYieldTSDiscount(Discounting,E8,,AllTriggers)</f>
        <v>1.0005152621216613</v>
      </c>
      <c r="O8" s="234" t="b">
        <v>1</v>
      </c>
      <c r="Q8" s="274" t="s">
        <v>128</v>
      </c>
      <c r="R8" s="279" t="str">
        <f>_xll.qlPolynomialCalibrationEndCriteria(R6,)</f>
        <v>StationaryFunctionValue</v>
      </c>
    </row>
    <row r="9" spans="1:20" ht="11.25" customHeight="1" x14ac:dyDescent="0.2">
      <c r="A9" s="241">
        <f t="shared" si="5"/>
        <v>5</v>
      </c>
      <c r="B9" s="56" t="s">
        <v>34</v>
      </c>
      <c r="C9" s="248">
        <f t="shared" si="2"/>
        <v>11</v>
      </c>
      <c r="D9" s="246" t="str">
        <f t="shared" si="3"/>
        <v>EUR5x11F_Quote</v>
      </c>
      <c r="E9" s="293">
        <f>_xll.qlCalendarAdvance("target",SettlementDate,A9&amp;"M","mf",,Trigger)</f>
        <v>42431</v>
      </c>
      <c r="F9" s="293">
        <f>_xll.qlInterestRateIndexMaturity(ON_6M_index,E9)</f>
        <v>42615</v>
      </c>
      <c r="G9" s="62">
        <f>_xll.qlQuoteValue(D9,AllTriggers)</f>
        <v>2.0000000000000001E-4</v>
      </c>
      <c r="H9" s="62">
        <f>_xll.qlIndexFixing(ON_6M_index,_xll.qlInterestRateIndexFixingDate(ON_6M_index,E9),,AllTriggers)</f>
        <v>-1.8535125749734498E-3</v>
      </c>
      <c r="I9" s="262">
        <f t="shared" si="0"/>
        <v>2.0535125749734499E-3</v>
      </c>
      <c r="J9" s="62">
        <f>_xll.qlTenorBasisValue($R$18,E9,Trigger)</f>
        <v>2.0567473618959622E-3</v>
      </c>
      <c r="K9" s="185">
        <f t="shared" si="4"/>
        <v>-3.2347869225123581E-2</v>
      </c>
      <c r="L9" s="203">
        <f>_xll.qlDayCounterYearFraction("actual/365 (fixed)",SettlementDate,E9,,,Trigger)</f>
        <v>0.41643835616438357</v>
      </c>
      <c r="M9" s="231">
        <f t="shared" si="1"/>
        <v>-3.2347869225123581E-6</v>
      </c>
      <c r="N9" s="181">
        <f>_xll.qlYieldTSDiscount(Discounting,E9,,AllTriggers)</f>
        <v>1.0006503193911085</v>
      </c>
      <c r="O9" s="234" t="b">
        <v>1</v>
      </c>
      <c r="Q9" s="274" t="s">
        <v>89</v>
      </c>
      <c r="R9" s="187">
        <f>_xll.qlPolynomialCalibrationError(R6,)</f>
        <v>1.1339044162289581E-5</v>
      </c>
    </row>
    <row r="10" spans="1:20" ht="11.25" customHeight="1" x14ac:dyDescent="0.2">
      <c r="A10" s="241">
        <f t="shared" si="5"/>
        <v>6</v>
      </c>
      <c r="B10" s="56" t="s">
        <v>34</v>
      </c>
      <c r="C10" s="248">
        <f t="shared" si="2"/>
        <v>12</v>
      </c>
      <c r="D10" s="246" t="str">
        <f t="shared" si="3"/>
        <v>EUR6x12F_Quote</v>
      </c>
      <c r="E10" s="293">
        <f>_xll.qlCalendarAdvance("target",SettlementDate,A10&amp;"M","mf",,Trigger)</f>
        <v>42464</v>
      </c>
      <c r="F10" s="293">
        <f>_xll.qlInterestRateIndexMaturity(ON_6M_index,E10)</f>
        <v>42647</v>
      </c>
      <c r="G10" s="62">
        <f>_xll.qlQuoteValue(D10,AllTriggers)</f>
        <v>2.0000000000000001E-4</v>
      </c>
      <c r="H10" s="62">
        <f>_xll.qlIndexFixing(ON_6M_index,_xll.qlInterestRateIndexFixingDate(ON_6M_index,E10),,AllTriggers)</f>
        <v>-1.9024049563927188E-3</v>
      </c>
      <c r="I10" s="262">
        <f t="shared" si="0"/>
        <v>2.1024049563927189E-3</v>
      </c>
      <c r="J10" s="62">
        <f>_xll.qlTenorBasisValue($R$18,E10,Trigger)</f>
        <v>2.0970026842366887E-3</v>
      </c>
      <c r="K10" s="185">
        <f t="shared" si="4"/>
        <v>5.4022721560301884E-2</v>
      </c>
      <c r="L10" s="203">
        <f>_xll.qlDayCounterYearFraction("actual/365 (fixed)",SettlementDate,E10,,,Trigger)</f>
        <v>0.50684931506849318</v>
      </c>
      <c r="M10" s="231">
        <f t="shared" si="1"/>
        <v>5.4022721560301884E-6</v>
      </c>
      <c r="N10" s="181">
        <f>_xll.qlYieldTSDiscount(Discounting,E10,,AllTriggers)</f>
        <v>1.0008071406590917</v>
      </c>
      <c r="O10" s="234" t="b">
        <v>1</v>
      </c>
      <c r="Q10" s="274" t="s">
        <v>124</v>
      </c>
      <c r="R10" s="187">
        <f>_xll.qlPolynomialCalibrationMaxError(R6,)</f>
        <v>2.3853262489731668E-5</v>
      </c>
    </row>
    <row r="11" spans="1:20" ht="11.25" customHeight="1" x14ac:dyDescent="0.2">
      <c r="A11" s="239">
        <f t="shared" si="5"/>
        <v>7</v>
      </c>
      <c r="B11" s="240" t="s">
        <v>34</v>
      </c>
      <c r="C11" s="249">
        <f t="shared" si="2"/>
        <v>13</v>
      </c>
      <c r="D11" s="245" t="str">
        <f t="shared" si="3"/>
        <v>EUR7x13F_Quote</v>
      </c>
      <c r="E11" s="292">
        <f>_xll.qlCalendarAdvance("target",SettlementDate,A11&amp;"M","mf",,Trigger)</f>
        <v>42492</v>
      </c>
      <c r="F11" s="292">
        <f>_xll.qlInterestRateIndexMaturity(ON_6M_index,E11)</f>
        <v>42676</v>
      </c>
      <c r="G11" s="67">
        <f>_xll.qlQuoteValue(D11,AllTriggers)</f>
        <v>2.0999999999999998E-4</v>
      </c>
      <c r="H11" s="67">
        <f>_xll.qlIndexFixing(ON_6M_index,_xll.qlInterestRateIndexFixingDate(ON_6M_index,E11),,AllTriggers)</f>
        <v>-1.9326434644676717E-3</v>
      </c>
      <c r="I11" s="277">
        <f t="shared" si="0"/>
        <v>2.1426434644676719E-3</v>
      </c>
      <c r="J11" s="67">
        <f>_xll.qlTenorBasisValue($R$18,E11,Trigger)</f>
        <v>2.1293180698774058E-3</v>
      </c>
      <c r="K11" s="237">
        <f t="shared" si="4"/>
        <v>0.13325394590266074</v>
      </c>
      <c r="L11" s="282">
        <f>_xll.qlDayCounterYearFraction("actual/365 (fixed)",SettlementDate,E11,,,Trigger)</f>
        <v>0.58356164383561648</v>
      </c>
      <c r="M11" s="276">
        <f t="shared" si="1"/>
        <v>1.3325394590266073E-5</v>
      </c>
      <c r="N11" s="180">
        <f>_xll.qlYieldTSDiscount(Discounting,E11,,AllTriggers)</f>
        <v>1.0009464646588653</v>
      </c>
      <c r="O11" s="238" t="b">
        <v>1</v>
      </c>
    </row>
    <row r="12" spans="1:20" ht="11.25" customHeight="1" x14ac:dyDescent="0.2">
      <c r="A12" s="241">
        <f t="shared" si="5"/>
        <v>8</v>
      </c>
      <c r="B12" s="56" t="s">
        <v>34</v>
      </c>
      <c r="C12" s="248">
        <f t="shared" si="2"/>
        <v>14</v>
      </c>
      <c r="D12" s="246" t="str">
        <f t="shared" si="3"/>
        <v>EUR8x14F_Quote</v>
      </c>
      <c r="E12" s="293">
        <f>_xll.qlCalendarAdvance("target",SettlementDate,A12&amp;"M","mf",,Trigger)</f>
        <v>42523</v>
      </c>
      <c r="F12" s="293">
        <f>_xll.qlInterestRateIndexMaturity(ON_6M_index,E12)</f>
        <v>42706</v>
      </c>
      <c r="G12" s="62">
        <f>_xll.qlQuoteValue(D12,AllTriggers)</f>
        <v>2.0999999999999998E-4</v>
      </c>
      <c r="H12" s="62">
        <f>_xll.qlIndexFixing(ON_6M_index,_xll.qlInterestRateIndexFixingDate(ON_6M_index,E12),,AllTriggers)</f>
        <v>-1.9525773788836487E-3</v>
      </c>
      <c r="I12" s="262">
        <f t="shared" si="0"/>
        <v>2.1625773788836486E-3</v>
      </c>
      <c r="J12" s="62">
        <f>_xll.qlTenorBasisValue($R$18,E12,Trigger)</f>
        <v>2.1635087266186686E-3</v>
      </c>
      <c r="K12" s="185">
        <f t="shared" si="4"/>
        <v>-9.3134773502005427E-3</v>
      </c>
      <c r="L12" s="203">
        <f>_xll.qlDayCounterYearFraction("actual/365 (fixed)",SettlementDate,E12,,,Trigger)</f>
        <v>0.66849315068493154</v>
      </c>
      <c r="M12" s="231">
        <f t="shared" si="1"/>
        <v>-9.3134773502005427E-7</v>
      </c>
      <c r="N12" s="181">
        <f>_xll.qlYieldTSDiscount(Discounting,E12,,AllTriggers)</f>
        <v>1.0011049582208984</v>
      </c>
      <c r="O12" s="234" t="b">
        <v>1</v>
      </c>
      <c r="Q12" s="258" t="s">
        <v>111</v>
      </c>
      <c r="R12" s="259"/>
      <c r="S12" s="260" t="s">
        <v>122</v>
      </c>
      <c r="T12" s="259" t="s">
        <v>133</v>
      </c>
    </row>
    <row r="13" spans="1:20" ht="11.25" customHeight="1" x14ac:dyDescent="0.2">
      <c r="A13" s="241">
        <f t="shared" si="5"/>
        <v>9</v>
      </c>
      <c r="B13" s="56" t="s">
        <v>34</v>
      </c>
      <c r="C13" s="248">
        <f t="shared" si="2"/>
        <v>15</v>
      </c>
      <c r="D13" s="246" t="str">
        <f t="shared" si="3"/>
        <v>EUR9x15F_Quote</v>
      </c>
      <c r="E13" s="293">
        <f>_xll.qlCalendarAdvance("target",SettlementDate,A13&amp;"M","mf",,Trigger)</f>
        <v>42555</v>
      </c>
      <c r="F13" s="293">
        <f>_xll.qlInterestRateIndexMaturity(ON_6M_index,E13)</f>
        <v>42739</v>
      </c>
      <c r="G13" s="62">
        <f>_xll.qlQuoteValue(D13,AllTriggers)</f>
        <v>2.5000000000000001E-4</v>
      </c>
      <c r="H13" s="62">
        <f>_xll.qlIndexFixing(ON_6M_index,_xll.qlInterestRateIndexFixingDate(ON_6M_index,E13),,AllTriggers)</f>
        <v>-1.9508822083120143E-3</v>
      </c>
      <c r="I13" s="262">
        <f t="shared" si="0"/>
        <v>2.2008822083120143E-3</v>
      </c>
      <c r="J13" s="62">
        <f>_xll.qlTenorBasisValue($R$18,E13,Trigger)</f>
        <v>2.197471555735517E-3</v>
      </c>
      <c r="K13" s="185">
        <f t="shared" si="4"/>
        <v>3.4106525764973118E-2</v>
      </c>
      <c r="L13" s="203">
        <f>_xll.qlDayCounterYearFraction("actual/365 (fixed)",SettlementDate,E13,,,Trigger)</f>
        <v>0.75616438356164384</v>
      </c>
      <c r="M13" s="231">
        <f t="shared" si="1"/>
        <v>3.4106525764973118E-6</v>
      </c>
      <c r="N13" s="181">
        <f>_xll.qlYieldTSDiscount(Discounting,E13,,AllTriggers)</f>
        <v>1.0012739236534773</v>
      </c>
      <c r="O13" s="234" t="b">
        <v>1</v>
      </c>
      <c r="Q13" s="274" t="s">
        <v>113</v>
      </c>
      <c r="R13" s="187">
        <f t="array" ref="R13:R17">_xll.qlPolynomialCalibrationCoefficients($R$6,R7)</f>
        <v>1.8273582058294271E-3</v>
      </c>
      <c r="S13" s="187" t="b">
        <v>1</v>
      </c>
      <c r="T13" s="187">
        <v>2.1700266802342303E-3</v>
      </c>
    </row>
    <row r="14" spans="1:20" ht="11.25" customHeight="1" x14ac:dyDescent="0.2">
      <c r="A14" s="241">
        <f t="shared" si="5"/>
        <v>10</v>
      </c>
      <c r="B14" s="56" t="s">
        <v>34</v>
      </c>
      <c r="C14" s="248">
        <f t="shared" si="2"/>
        <v>16</v>
      </c>
      <c r="D14" s="246" t="str">
        <f t="shared" si="3"/>
        <v>EUR10x16F_Quote</v>
      </c>
      <c r="E14" s="293">
        <f>_xll.qlCalendarAdvance("target",SettlementDate,A14&amp;"M","mf",,Trigger)</f>
        <v>42584</v>
      </c>
      <c r="F14" s="293">
        <f>_xll.qlInterestRateIndexMaturity(ON_6M_index,E14)</f>
        <v>42768</v>
      </c>
      <c r="G14" s="62">
        <f>_xll.qlQuoteValue(D14,AllTriggers)</f>
        <v>2.9000000000000006E-4</v>
      </c>
      <c r="H14" s="62">
        <f>_xll.qlIndexFixing(ON_6M_index,_xll.qlInterestRateIndexFixingDate(ON_6M_index,E14),,AllTriggers)</f>
        <v>-1.945400900621018E-3</v>
      </c>
      <c r="I14" s="262">
        <f t="shared" si="0"/>
        <v>2.2354009006210181E-3</v>
      </c>
      <c r="J14" s="62">
        <f>_xll.qlTenorBasisValue($R$18,E14,Trigger)</f>
        <v>2.227454016484086E-3</v>
      </c>
      <c r="K14" s="185">
        <f t="shared" si="4"/>
        <v>7.9468841369320642E-2</v>
      </c>
      <c r="L14" s="203">
        <f>_xll.qlDayCounterYearFraction("actual/365 (fixed)",SettlementDate,E14,,,Trigger)</f>
        <v>0.83561643835616439</v>
      </c>
      <c r="M14" s="231">
        <f t="shared" si="1"/>
        <v>7.9468841369320642E-6</v>
      </c>
      <c r="N14" s="181">
        <f>_xll.qlYieldTSDiscount(Discounting,E14,,AllTriggers)</f>
        <v>1.0014304042935918</v>
      </c>
      <c r="O14" s="234" t="b">
        <v>1</v>
      </c>
      <c r="Q14" s="274" t="s">
        <v>114</v>
      </c>
      <c r="R14" s="187">
        <v>6.6100855687893146E-4</v>
      </c>
      <c r="S14" s="187" t="b">
        <v>1</v>
      </c>
      <c r="T14" s="187">
        <v>-4.6978664492735201E-4</v>
      </c>
    </row>
    <row r="15" spans="1:20" ht="11.25" customHeight="1" x14ac:dyDescent="0.2">
      <c r="A15" s="241">
        <f t="shared" si="5"/>
        <v>11</v>
      </c>
      <c r="B15" s="56" t="s">
        <v>34</v>
      </c>
      <c r="C15" s="248">
        <f t="shared" si="2"/>
        <v>17</v>
      </c>
      <c r="D15" s="246" t="str">
        <f t="shared" si="3"/>
        <v>EUR11x17F_Quote</v>
      </c>
      <c r="E15" s="293">
        <f>_xll.qlCalendarAdvance("target",SettlementDate,A15&amp;"M","mf",,Trigger)</f>
        <v>42615</v>
      </c>
      <c r="F15" s="293">
        <f>_xll.qlInterestRateIndexMaturity(ON_6M_index,E15)</f>
        <v>42796</v>
      </c>
      <c r="G15" s="62">
        <f>_xll.qlQuoteValue(D15,AllTriggers)</f>
        <v>3.3E-4</v>
      </c>
      <c r="H15" s="62">
        <f>_xll.qlIndexFixing(ON_6M_index,_xll.qlInterestRateIndexFixingDate(ON_6M_index,E15),,AllTriggers)</f>
        <v>-1.9252099783542314E-3</v>
      </c>
      <c r="I15" s="262">
        <f t="shared" si="0"/>
        <v>2.2552099783542312E-3</v>
      </c>
      <c r="J15" s="62">
        <f>_xll.qlTenorBasisValue($R$18,E15,Trigger)</f>
        <v>2.259057372856939E-3</v>
      </c>
      <c r="K15" s="185">
        <f t="shared" si="4"/>
        <v>-3.8473945027078099E-2</v>
      </c>
      <c r="L15" s="203">
        <f>_xll.qlDayCounterYearFraction("actual/365 (fixed)",SettlementDate,E15,,,Trigger)</f>
        <v>0.92054794520547945</v>
      </c>
      <c r="M15" s="231">
        <f t="shared" si="1"/>
        <v>-3.8473945027078099E-6</v>
      </c>
      <c r="N15" s="181">
        <f>_xll.qlYieldTSDiscount(Discounting,E15,,AllTriggers)</f>
        <v>1.0015991852523043</v>
      </c>
      <c r="O15" s="234" t="b">
        <v>1</v>
      </c>
      <c r="Q15" s="274" t="s">
        <v>115</v>
      </c>
      <c r="R15" s="187">
        <v>-3.1076610578557038E-4</v>
      </c>
      <c r="S15" s="187" t="b">
        <v>1</v>
      </c>
      <c r="T15" s="187">
        <v>6.0794438957398702E-4</v>
      </c>
    </row>
    <row r="16" spans="1:20" ht="11.25" customHeight="1" x14ac:dyDescent="0.2">
      <c r="A16" s="241">
        <f t="shared" si="5"/>
        <v>12</v>
      </c>
      <c r="B16" s="56" t="s">
        <v>34</v>
      </c>
      <c r="C16" s="248">
        <f t="shared" si="2"/>
        <v>18</v>
      </c>
      <c r="D16" s="246" t="str">
        <f t="shared" si="3"/>
        <v>EUR12x18F_Quote</v>
      </c>
      <c r="E16" s="293">
        <f>_xll.qlCalendarAdvance("target",SettlementDate,A16&amp;"M","mf",,Trigger)</f>
        <v>42646</v>
      </c>
      <c r="F16" s="293">
        <f>_xll.qlInterestRateIndexMaturity(ON_6M_index,E16)</f>
        <v>42828</v>
      </c>
      <c r="G16" s="62">
        <f>_xll.qlQuoteValue(D16,AllTriggers)</f>
        <v>3.8999999999999999E-4</v>
      </c>
      <c r="H16" s="62">
        <f>_xll.qlIndexFixing(ON_6M_index,_xll.qlInterestRateIndexFixingDate(ON_6M_index,E16),,AllTriggers)</f>
        <v>-1.8861878294122222E-3</v>
      </c>
      <c r="I16" s="262">
        <f t="shared" si="0"/>
        <v>2.2761878294122223E-3</v>
      </c>
      <c r="J16" s="62">
        <f>_xll.qlTenorBasisValue($R$18,E16,Trigger)</f>
        <v>2.2905980617379381E-3</v>
      </c>
      <c r="K16" s="185">
        <f t="shared" si="4"/>
        <v>-0.14410232325715813</v>
      </c>
      <c r="L16" s="203">
        <f>_xll.qlDayCounterYearFraction("actual/365 (fixed)",SettlementDate,E16,,,Trigger)</f>
        <v>1.0054794520547945</v>
      </c>
      <c r="M16" s="231">
        <f t="shared" si="1"/>
        <v>-1.4410232325715814E-5</v>
      </c>
      <c r="N16" s="181">
        <f>_xll.qlYieldTSDiscount(Discounting,E16,,AllTriggers)</f>
        <v>1.0017703617001901</v>
      </c>
      <c r="O16" s="234" t="b">
        <v>1</v>
      </c>
      <c r="Q16" s="274" t="s">
        <v>116</v>
      </c>
      <c r="R16" s="187">
        <v>1.1095647217264012E-4</v>
      </c>
      <c r="S16" s="187" t="b">
        <v>1</v>
      </c>
      <c r="T16" s="187">
        <v>-1.5079176868569404E-4</v>
      </c>
    </row>
    <row r="17" spans="1:20" ht="11.25" customHeight="1" x14ac:dyDescent="0.2">
      <c r="A17" s="241">
        <f t="shared" si="5"/>
        <v>13</v>
      </c>
      <c r="B17" s="56" t="s">
        <v>34</v>
      </c>
      <c r="C17" s="248">
        <f t="shared" si="2"/>
        <v>19</v>
      </c>
      <c r="D17" s="246" t="str">
        <f t="shared" si="3"/>
        <v>EUR13x19F_Quote</v>
      </c>
      <c r="E17" s="293">
        <f>_xll.qlCalendarAdvance("target",SettlementDate,A17&amp;"M","mf",,Trigger)</f>
        <v>42676</v>
      </c>
      <c r="F17" s="293">
        <f>_xll.qlInterestRateIndexMaturity(ON_6M_index,E17)</f>
        <v>42857</v>
      </c>
      <c r="G17" s="62">
        <f>_xll.qlQuoteValue(D17,AllTriggers)</f>
        <v>4.8000000000000001E-4</v>
      </c>
      <c r="H17" s="62">
        <f>_xll.qlIndexFixing(ON_6M_index,_xll.qlInterestRateIndexFixingDate(ON_6M_index,E17),,AllTriggers)</f>
        <v>-1.8411467937071541E-3</v>
      </c>
      <c r="I17" s="262">
        <f t="shared" si="0"/>
        <v>2.3211467937071543E-3</v>
      </c>
      <c r="J17" s="62">
        <f>_xll.qlTenorBasisValue($R$18,E17,Trigger)</f>
        <v>2.3214458019691557E-3</v>
      </c>
      <c r="K17" s="185">
        <f t="shared" si="4"/>
        <v>-2.990082620013719E-3</v>
      </c>
      <c r="L17" s="203">
        <f>_xll.qlDayCounterYearFraction("actual/365 (fixed)",SettlementDate,E17,,,Trigger)</f>
        <v>1.0876712328767124</v>
      </c>
      <c r="M17" s="231">
        <f t="shared" si="1"/>
        <v>-2.990082620013719E-7</v>
      </c>
      <c r="N17" s="181">
        <f>_xll.qlYieldTSDiscount(Discounting,E17,,AllTriggers)</f>
        <v>1.0019361727501948</v>
      </c>
      <c r="O17" s="234" t="b">
        <v>0</v>
      </c>
      <c r="Q17" s="274" t="s">
        <v>117</v>
      </c>
      <c r="R17" s="187" t="e">
        <v>#N/A</v>
      </c>
      <c r="S17" s="187" t="b">
        <v>0</v>
      </c>
      <c r="T17" s="187">
        <v>0</v>
      </c>
    </row>
    <row r="18" spans="1:20" ht="11.25" customHeight="1" x14ac:dyDescent="0.2">
      <c r="A18" s="241">
        <f t="shared" si="5"/>
        <v>14</v>
      </c>
      <c r="B18" s="56" t="s">
        <v>34</v>
      </c>
      <c r="C18" s="248">
        <f t="shared" si="2"/>
        <v>20</v>
      </c>
      <c r="D18" s="246" t="str">
        <f t="shared" si="3"/>
        <v>EUR14x20F_Quote</v>
      </c>
      <c r="E18" s="293">
        <f>_xll.qlCalendarAdvance("target",SettlementDate,A18&amp;"M","mf",,Trigger)</f>
        <v>42706</v>
      </c>
      <c r="F18" s="293">
        <f>_xll.qlInterestRateIndexMaturity(ON_6M_index,E18)</f>
        <v>42888</v>
      </c>
      <c r="G18" s="62">
        <f>_xll.qlQuoteValue(D18,AllTriggers)</f>
        <v>5.5999999999999995E-4</v>
      </c>
      <c r="H18" s="62">
        <f>_xll.qlIndexFixing(ON_6M_index,_xll.qlInterestRateIndexFixingDate(ON_6M_index,E18),,AllTriggers)</f>
        <v>-1.7892768647274585E-3</v>
      </c>
      <c r="I18" s="262">
        <f t="shared" si="0"/>
        <v>2.3492768647274584E-3</v>
      </c>
      <c r="J18" s="62">
        <f>_xll.qlTenorBasisValue($R$18,E18,Trigger)</f>
        <v>2.3529864713740098E-3</v>
      </c>
      <c r="K18" s="185">
        <f t="shared" si="4"/>
        <v>-3.7096066465513132E-2</v>
      </c>
      <c r="L18" s="203">
        <f>_xll.qlDayCounterYearFraction("actual/365 (fixed)",SettlementDate,E18,,,Trigger)</f>
        <v>1.1698630136986301</v>
      </c>
      <c r="M18" s="231">
        <f t="shared" si="1"/>
        <v>-3.7096066465513132E-6</v>
      </c>
      <c r="N18" s="181">
        <f>_xll.qlYieldTSDiscount(Discounting,E18,,AllTriggers)</f>
        <v>1.002099602370178</v>
      </c>
      <c r="O18" s="234" t="b">
        <v>0</v>
      </c>
      <c r="Q18" s="274" t="s">
        <v>118</v>
      </c>
      <c r="R18" s="187" t="str">
        <f>_xll.qlPolynomialTenorBasis(,PROPER(Currency)&amp;IborType&amp;$F$1,Discounting,SettlementDate,TRUE,_xll.ohFilter(R13:R17,S13:S17),,Trigger)</f>
        <v>obj_005a4#0002</v>
      </c>
      <c r="T18" s="55"/>
    </row>
    <row r="19" spans="1:20" ht="11.25" customHeight="1" x14ac:dyDescent="0.2">
      <c r="A19" s="241">
        <f t="shared" si="5"/>
        <v>15</v>
      </c>
      <c r="B19" s="56" t="s">
        <v>34</v>
      </c>
      <c r="C19" s="248">
        <f t="shared" si="2"/>
        <v>21</v>
      </c>
      <c r="D19" s="246" t="str">
        <f t="shared" si="3"/>
        <v>EUR15x21F_Quote</v>
      </c>
      <c r="E19" s="293">
        <f>_xll.qlCalendarAdvance("target",SettlementDate,A19&amp;"M","mf",,Trigger)</f>
        <v>42737</v>
      </c>
      <c r="F19" s="293">
        <f>_xll.qlInterestRateIndexMaturity(ON_6M_index,E19)</f>
        <v>42919</v>
      </c>
      <c r="G19" s="62">
        <f>_xll.qlQuoteValue(D19,AllTriggers)</f>
        <v>6.6E-4</v>
      </c>
      <c r="H19" s="62">
        <f>_xll.qlIndexFixing(ON_6M_index,_xll.qlInterestRateIndexFixingDate(ON_6M_index,E19),,AllTriggers)</f>
        <v>-1.7354869528748711E-3</v>
      </c>
      <c r="I19" s="262">
        <f t="shared" si="0"/>
        <v>2.3954869528748711E-3</v>
      </c>
      <c r="J19" s="62">
        <f>_xll.qlTenorBasisValue($R$18,E19,Trigger)</f>
        <v>2.3866991082537085E-3</v>
      </c>
      <c r="K19" s="185">
        <f t="shared" si="4"/>
        <v>8.7878446211626243E-2</v>
      </c>
      <c r="L19" s="203">
        <f>_xll.qlDayCounterYearFraction("actual/365 (fixed)",SettlementDate,E19,,,Trigger)</f>
        <v>1.2547945205479452</v>
      </c>
      <c r="M19" s="231">
        <f t="shared" si="1"/>
        <v>8.7878446211626243E-6</v>
      </c>
      <c r="N19" s="181">
        <f>_xll.qlYieldTSDiscount(Discounting,E19,,AllTriggers)</f>
        <v>1.0022624468364867</v>
      </c>
      <c r="O19" s="234" t="b">
        <v>0</v>
      </c>
      <c r="T19" s="55"/>
    </row>
    <row r="20" spans="1:20" ht="11.25" customHeight="1" x14ac:dyDescent="0.2">
      <c r="A20" s="241">
        <f t="shared" si="5"/>
        <v>16</v>
      </c>
      <c r="B20" s="56" t="s">
        <v>34</v>
      </c>
      <c r="C20" s="248">
        <f t="shared" si="2"/>
        <v>22</v>
      </c>
      <c r="D20" s="246" t="str">
        <f t="shared" si="3"/>
        <v>EUR16x22F_Quote</v>
      </c>
      <c r="E20" s="293">
        <f>_xll.qlCalendarAdvance("target",SettlementDate,A20&amp;"M","mf",,Trigger)</f>
        <v>42768</v>
      </c>
      <c r="F20" s="293">
        <f>_xll.qlInterestRateIndexMaturity(ON_6M_index,E20)</f>
        <v>42949</v>
      </c>
      <c r="G20" s="62">
        <f>_xll.qlQuoteValue(D20,AllTriggers)</f>
        <v>7.7000000000000018E-4</v>
      </c>
      <c r="H20" s="62">
        <f>_xll.qlIndexFixing(ON_6M_index,_xll.qlInterestRateIndexFixingDate(ON_6M_index,E20),,AllTriggers)</f>
        <v>-1.6631490120679992E-3</v>
      </c>
      <c r="I20" s="262">
        <f t="shared" si="0"/>
        <v>2.4331490120679993E-3</v>
      </c>
      <c r="J20" s="62">
        <f>_xll.qlTenorBasisValue($R$18,E20,Trigger)</f>
        <v>2.4219542013716277E-3</v>
      </c>
      <c r="K20" s="185">
        <f t="shared" si="4"/>
        <v>0.1119481069637154</v>
      </c>
      <c r="L20" s="203">
        <f>_xll.qlDayCounterYearFraction("actual/365 (fixed)",SettlementDate,E20,,,Trigger)</f>
        <v>1.3397260273972602</v>
      </c>
      <c r="M20" s="231">
        <f t="shared" si="1"/>
        <v>1.119481069637154E-5</v>
      </c>
      <c r="N20" s="181">
        <f>_xll.qlYieldTSDiscount(Discounting,E20,,AllTriggers)</f>
        <v>1.0024271336473229</v>
      </c>
      <c r="O20" s="234" t="b">
        <v>0</v>
      </c>
      <c r="T20" s="55"/>
    </row>
    <row r="21" spans="1:20" ht="11.25" customHeight="1" x14ac:dyDescent="0.2">
      <c r="A21" s="241">
        <f t="shared" si="5"/>
        <v>17</v>
      </c>
      <c r="B21" s="56" t="s">
        <v>34</v>
      </c>
      <c r="C21" s="248">
        <f t="shared" si="2"/>
        <v>23</v>
      </c>
      <c r="D21" s="246" t="str">
        <f t="shared" si="3"/>
        <v>EUR17x23F_Quote</v>
      </c>
      <c r="E21" s="293">
        <f>_xll.qlCalendarAdvance("target",SettlementDate,A21&amp;"M","mf",,Trigger)</f>
        <v>42796</v>
      </c>
      <c r="F21" s="293">
        <f>_xll.qlInterestRateIndexMaturity(ON_6M_index,E21)</f>
        <v>42982</v>
      </c>
      <c r="G21" s="62">
        <f>_xll.qlQuoteValue(D21,AllTriggers)</f>
        <v>8.7999999999999992E-4</v>
      </c>
      <c r="H21" s="62">
        <f>_xll.qlIndexFixing(ON_6M_index,_xll.qlInterestRateIndexFixingDate(ON_6M_index,E21),,AllTriggers)</f>
        <v>-1.5850956108551517E-3</v>
      </c>
      <c r="I21" s="262">
        <f t="shared" si="0"/>
        <v>2.4650956108551517E-3</v>
      </c>
      <c r="J21" s="62">
        <f>_xll.qlTenorBasisValue($R$18,E21,Trigger)</f>
        <v>2.4554625405920805E-3</v>
      </c>
      <c r="K21" s="185">
        <f t="shared" si="4"/>
        <v>9.6330702630711806E-2</v>
      </c>
      <c r="L21" s="203">
        <f>_xll.qlDayCounterYearFraction("actual/365 (fixed)",SettlementDate,E21,,,Trigger)</f>
        <v>1.4164383561643836</v>
      </c>
      <c r="M21" s="231">
        <f t="shared" si="1"/>
        <v>9.6330702630711799E-6</v>
      </c>
      <c r="N21" s="181">
        <f>_xll.qlYieldTSDiscount(Discounting,E21,,AllTriggers)</f>
        <v>1.0025696253229894</v>
      </c>
      <c r="O21" s="234" t="b">
        <v>0</v>
      </c>
      <c r="T21" s="55"/>
    </row>
    <row r="22" spans="1:20" ht="11.25" customHeight="1" x14ac:dyDescent="0.2">
      <c r="A22" s="242">
        <f t="shared" si="5"/>
        <v>18</v>
      </c>
      <c r="B22" s="243" t="s">
        <v>34</v>
      </c>
      <c r="C22" s="250">
        <f t="shared" si="2"/>
        <v>24</v>
      </c>
      <c r="D22" s="247" t="str">
        <f t="shared" si="3"/>
        <v>EUR18x24F_Quote</v>
      </c>
      <c r="E22" s="294">
        <f>_xll.qlCalendarAdvance("target",SettlementDate,A22&amp;"M","mf",,Trigger)</f>
        <v>42828</v>
      </c>
      <c r="F22" s="294">
        <f>_xll.qlInterestRateIndexMaturity(ON_6M_index,E22)</f>
        <v>43011</v>
      </c>
      <c r="G22" s="65">
        <f>_xll.qlQuoteValue(D22,AllTriggers)</f>
        <v>1E-3</v>
      </c>
      <c r="H22" s="65">
        <f>_xll.qlIndexFixing(ON_6M_index,_xll.qlInterestRateIndexFixingDate(ON_6M_index,E22),,AllTriggers)</f>
        <v>-1.4986612017675049E-3</v>
      </c>
      <c r="I22" s="257">
        <f t="shared" si="0"/>
        <v>2.4986612017675047E-3</v>
      </c>
      <c r="J22" s="65">
        <f>_xll.qlTenorBasisValue($R$18,E22,Trigger)</f>
        <v>2.4960916012925836E-3</v>
      </c>
      <c r="K22" s="186">
        <f t="shared" si="4"/>
        <v>2.5696004749210972E-2</v>
      </c>
      <c r="L22" s="204">
        <f>_xll.qlDayCounterYearFraction("actual/365 (fixed)",SettlementDate,E22,,,Trigger)</f>
        <v>1.5041095890410958</v>
      </c>
      <c r="M22" s="232">
        <f t="shared" si="1"/>
        <v>2.5696004749210972E-6</v>
      </c>
      <c r="N22" s="182">
        <f>_xll.qlYieldTSDiscount(Discounting,E22,,AllTriggers)</f>
        <v>1.002726534385024</v>
      </c>
      <c r="O22" s="235" t="b">
        <v>1</v>
      </c>
      <c r="T22" s="55"/>
    </row>
    <row r="23" spans="1:20" ht="11.25" customHeight="1" x14ac:dyDescent="0.2">
      <c r="E23" s="179"/>
      <c r="F23" s="179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3" t="s">
        <v>129</v>
      </c>
      <c r="T24" s="55"/>
    </row>
    <row r="25" spans="1:20" ht="11.25" customHeight="1" x14ac:dyDescent="0.2">
      <c r="F25" s="61" t="s">
        <v>38</v>
      </c>
      <c r="G25" s="295">
        <f>_xll.qlCalendarAdvance(Calendar,SettlementDate,"0D","mf",TRUE,Trigger)</f>
        <v>42279</v>
      </c>
      <c r="H25" s="292">
        <f>_xll.qlCalendarAdvance(Calendar,SettlementDate,F25,"Following",,Trigger)</f>
        <v>42282</v>
      </c>
      <c r="I25" s="284">
        <f>_xll.qlTenorBasisForwardRate2(TenorBasis6M,G25,H25,AllTriggers)</f>
        <v>2.4841679715947862E-4</v>
      </c>
    </row>
    <row r="26" spans="1:20" ht="11.25" customHeight="1" x14ac:dyDescent="0.2">
      <c r="F26" s="63" t="s">
        <v>39</v>
      </c>
      <c r="G26" s="296">
        <f>_xll.qlCalendarAdvance(Calendar,SettlementDate,"0D","mf",TRUE,Trigger)</f>
        <v>42279</v>
      </c>
      <c r="H26" s="293">
        <f>_xll.qlCalendarAdvance(Calendar,SettlementDate,F26,"Following",,Trigger)</f>
        <v>42286</v>
      </c>
      <c r="I26" s="285">
        <f>_xll.qlTenorBasisForwardRate2(TenorBasis6M,G26,H26,AllTriggers)</f>
        <v>1.9915279379897503E-4</v>
      </c>
    </row>
    <row r="27" spans="1:20" ht="11.25" customHeight="1" x14ac:dyDescent="0.2">
      <c r="F27" s="63" t="s">
        <v>40</v>
      </c>
      <c r="G27" s="296">
        <f>_xll.qlCalendarAdvance(Calendar,SettlementDate,"0D","mf",TRUE,Trigger)</f>
        <v>42279</v>
      </c>
      <c r="H27" s="293">
        <f>_xll.qlCalendarAdvance(Calendar,SettlementDate,F27,"Following",,Trigger)</f>
        <v>42293</v>
      </c>
      <c r="I27" s="285">
        <f>_xll.qlTenorBasisForwardRate2(TenorBasis6M,G27,H27,AllTriggers)</f>
        <v>2.0689150706346533E-4</v>
      </c>
    </row>
    <row r="28" spans="1:20" ht="11.25" customHeight="1" x14ac:dyDescent="0.2">
      <c r="F28" s="63" t="s">
        <v>41</v>
      </c>
      <c r="G28" s="296">
        <f>_xll.qlCalendarAdvance(Calendar,SettlementDate,"0D","mf",TRUE,Trigger)</f>
        <v>42279</v>
      </c>
      <c r="H28" s="293">
        <f>_xll.qlCalendarAdvance(Calendar,SettlementDate,F28,"Following",,Trigger)</f>
        <v>42300</v>
      </c>
      <c r="I28" s="285">
        <f>_xll.qlTenorBasisForwardRate2(TenorBasis6M,G28,H28,AllTriggers)</f>
        <v>2.1453675867430126E-4</v>
      </c>
    </row>
    <row r="29" spans="1:20" ht="11.25" customHeight="1" x14ac:dyDescent="0.2">
      <c r="F29" s="263" t="s">
        <v>35</v>
      </c>
      <c r="G29" s="297">
        <f>_xll.qlCalendarAdvance(Calendar,SettlementDate,"0D","mf",TRUE,Trigger)</f>
        <v>42279</v>
      </c>
      <c r="H29" s="298">
        <f>_xll.qlCalendarAdvance(Calendar,SettlementDate,F29,"mf",TRUE,Trigger)</f>
        <v>42310</v>
      </c>
      <c r="I29" s="286">
        <f>_xll.qlTenorBasisForwardRate2(TenorBasis6M,G29,H29,AllTriggers)</f>
        <v>2.5530299606777872E-4</v>
      </c>
    </row>
    <row r="30" spans="1:20" ht="11.25" customHeight="1" x14ac:dyDescent="0.2">
      <c r="F30" s="63" t="s">
        <v>42</v>
      </c>
      <c r="G30" s="296">
        <f>_xll.qlCalendarAdvance(Calendar,SettlementDate,"0D","mf",TRUE,Trigger)</f>
        <v>42279</v>
      </c>
      <c r="H30" s="293">
        <f>_xll.qlCalendarAdvance(Calendar,SettlementDate,F30,"mf",TRUE,Trigger)</f>
        <v>42340</v>
      </c>
      <c r="I30" s="285">
        <f>_xll.qlTenorBasisForwardRate2(TenorBasis6M,G30,H30,AllTriggers)</f>
        <v>2.3648247379867021E-4</v>
      </c>
    </row>
    <row r="31" spans="1:20" ht="11.25" customHeight="1" x14ac:dyDescent="0.2">
      <c r="F31" s="63" t="s">
        <v>36</v>
      </c>
      <c r="G31" s="296">
        <f>_xll.qlCalendarAdvance(Calendar,SettlementDate,"0D","mf",TRUE,Trigger)</f>
        <v>42279</v>
      </c>
      <c r="H31" s="293">
        <f>_xll.qlCalendarAdvance(Calendar,SettlementDate,F31,"mf",TRUE,Trigger)</f>
        <v>42373</v>
      </c>
      <c r="I31" s="285">
        <f>_xll.qlTenorBasisForwardRate2(TenorBasis6M,G31,H31,AllTriggers)</f>
        <v>2.8921669697613866E-4</v>
      </c>
    </row>
    <row r="32" spans="1:20" ht="11.25" customHeight="1" x14ac:dyDescent="0.2">
      <c r="F32" s="63" t="s">
        <v>43</v>
      </c>
      <c r="G32" s="296">
        <f>_xll.qlCalendarAdvance(Calendar,SettlementDate,"0D","mf",TRUE,Trigger)</f>
        <v>42279</v>
      </c>
      <c r="H32" s="293">
        <f>_xll.qlCalendarAdvance(Calendar,SettlementDate,F32,"mf",TRUE,Trigger)</f>
        <v>42402</v>
      </c>
      <c r="I32" s="285">
        <f>_xll.qlTenorBasisForwardRate2(TenorBasis6M,G32,H32,AllTriggers)</f>
        <v>2.5740963889514659E-4</v>
      </c>
    </row>
    <row r="33" spans="5:9" ht="11.25" customHeight="1" x14ac:dyDescent="0.2">
      <c r="F33" s="64" t="s">
        <v>44</v>
      </c>
      <c r="G33" s="299">
        <f>_xll.qlCalendarAdvance(Calendar,SettlementDate,"0D","mf",TRUE,Trigger)</f>
        <v>42279</v>
      </c>
      <c r="H33" s="294">
        <f>_xll.qlCalendarAdvance(Calendar,SettlementDate,F33,"mf",TRUE,Trigger)</f>
        <v>42431</v>
      </c>
      <c r="I33" s="287">
        <f>_xll.qlTenorBasisForwardRate2(TenorBasis6M,G33,H33,AllTriggers)</f>
        <v>2.4767050351172165E-4</v>
      </c>
    </row>
    <row r="34" spans="5:9" ht="11.25" customHeight="1" thickBot="1" x14ac:dyDescent="0.25">
      <c r="F34" s="261" t="s">
        <v>37</v>
      </c>
      <c r="G34" s="300">
        <f>_xll.qlCalendarAdvance(Calendar,SettlementDate,"0D","mf",TRUE,Trigger)</f>
        <v>42279</v>
      </c>
      <c r="H34" s="291">
        <f>_xll.qlCalendarAdvance(Calendar,SettlementDate,F34,"mf",TRUE,Trigger)</f>
        <v>42464</v>
      </c>
      <c r="I34" s="288">
        <f>_xll.qlTenorBasisForwardRate2(TenorBasis6M,G34,H34,AllTriggers)</f>
        <v>2.4264060312497609E-4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79"/>
      <c r="H43" s="57"/>
      <c r="I43" s="57"/>
    </row>
    <row r="44" spans="5:9" ht="11.25" customHeight="1" x14ac:dyDescent="0.2">
      <c r="E44" s="179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  <row r="50" spans="5:9" ht="11.25" customHeight="1" x14ac:dyDescent="0.2">
      <c r="E50" s="179"/>
      <c r="F50" s="179"/>
      <c r="G50" s="57"/>
      <c r="H50" s="57"/>
      <c r="I50" s="57"/>
    </row>
    <row r="51" spans="5:9" ht="11.25" customHeight="1" x14ac:dyDescent="0.2">
      <c r="E51" s="179"/>
      <c r="F51" s="179"/>
      <c r="G51" s="57"/>
      <c r="H51" s="57"/>
      <c r="I51" s="57"/>
    </row>
    <row r="52" spans="5:9" ht="11.25" customHeight="1" x14ac:dyDescent="0.2">
      <c r="E52" s="179"/>
      <c r="F52" s="179"/>
      <c r="G52" s="57"/>
      <c r="H52" s="57"/>
      <c r="I52" s="57"/>
    </row>
    <row r="53" spans="5:9" ht="11.25" customHeight="1" x14ac:dyDescent="0.2">
      <c r="E53" s="179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0" t="s">
        <v>91</v>
      </c>
      <c r="F1" s="261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1">
        <v>0</v>
      </c>
      <c r="B3" s="252" t="s">
        <v>34</v>
      </c>
      <c r="C3" s="253" t="str">
        <f>SUBSTITUTE($F$1,"M","")</f>
        <v>1Y</v>
      </c>
      <c r="D3" s="256" t="str">
        <f>Currency&amp;A3&amp;B3&amp;C3&amp;"F"&amp;"_Estimated"</f>
        <v>EUR0x1YF_Estimated</v>
      </c>
      <c r="E3" s="291">
        <f>SettlementDate</f>
        <v>42279</v>
      </c>
      <c r="F3" s="291">
        <f>_xll.qlInterestRateIndexMaturity(PROPER(Currency)&amp;"ibor"&amp;$F$1,E3)</f>
        <v>42646</v>
      </c>
      <c r="G3" s="255">
        <f>J3+$H$4</f>
        <v>1.4030768007941069E-3</v>
      </c>
      <c r="H3" s="236"/>
      <c r="I3" s="236"/>
      <c r="J3" s="187">
        <f>_xll.qlTenorBasisValue($R$18,E3,Trigger)</f>
        <v>3.1303464320642811E-3</v>
      </c>
      <c r="K3" s="236"/>
      <c r="L3" s="236"/>
      <c r="M3" s="280">
        <f>_xll.qlDayCounterYearFraction("actual/365 (fixed)",SettlementDate,E3,,,Trigger)</f>
        <v>0</v>
      </c>
      <c r="N3" s="236"/>
      <c r="O3" s="254"/>
      <c r="Q3" s="274" t="s">
        <v>134</v>
      </c>
      <c r="R3" s="187" t="str">
        <f>_xll.qlIborIndex(,,F1,2,Currency,Calendar,"mf",TRUE,DayCounter,Discounting,,Trigger)</f>
        <v>obj_0044d#0002</v>
      </c>
    </row>
    <row r="4" spans="1:20" ht="11.25" customHeight="1" x14ac:dyDescent="0.2">
      <c r="A4" s="251">
        <v>0</v>
      </c>
      <c r="B4" s="252" t="s">
        <v>34</v>
      </c>
      <c r="C4" s="253" t="str">
        <f>SUBSTITUTE($F$1,"M","")</f>
        <v>1Y</v>
      </c>
      <c r="D4" s="244" t="str">
        <f>PROPER(Currency&amp;IborType)&amp;F1&amp;"LastFixing"&amp;QuoteSuffix</f>
        <v>Euribor1YLastFixing_Quote</v>
      </c>
      <c r="E4" s="291">
        <f>SettlementDate</f>
        <v>42279</v>
      </c>
      <c r="F4" s="291">
        <f>_xll.qlInterestRateIndexMaturity(ON_12M_index,E4)</f>
        <v>42646</v>
      </c>
      <c r="G4" s="187">
        <f>_xll.qlQuoteValue(D4,LastFixingsTrigger)</f>
        <v>1.4199999999999998E-3</v>
      </c>
      <c r="H4" s="187">
        <f>_xll.qlIndexFixing(ON_12M_index,_xll.qlInterestRateIndexFixingDate(ON_12M_index,E4),,AllTriggers)</f>
        <v>-1.7272696312701742E-3</v>
      </c>
      <c r="I4" s="255">
        <f t="shared" ref="I4:I14" si="0">G4-H4</f>
        <v>3.147269631270174E-3</v>
      </c>
      <c r="J4" s="183">
        <f>_xll.qlTenorBasisValue($R$18,E4,Trigger)</f>
        <v>3.1303464320642811E-3</v>
      </c>
      <c r="K4" s="184">
        <f>L4*10000</f>
        <v>0.16923199205892953</v>
      </c>
      <c r="L4" s="275">
        <f t="shared" ref="L4:L16" si="1">I4-J4</f>
        <v>1.6923199205892952E-5</v>
      </c>
      <c r="M4" s="281">
        <f>_xll.qlDayCounterYearFraction("actual/365 (fixed)",SettlementDate,E4,,,Trigger)</f>
        <v>0</v>
      </c>
      <c r="N4" s="278">
        <f>_xll.qlYieldTSDiscount(Discounting,E4,,AllTriggers)</f>
        <v>1.0000063889195219</v>
      </c>
      <c r="O4" s="233" t="b">
        <v>1</v>
      </c>
    </row>
    <row r="5" spans="1:20" ht="11.25" customHeight="1" x14ac:dyDescent="0.2">
      <c r="A5" s="241">
        <v>1</v>
      </c>
      <c r="B5" s="56" t="s">
        <v>34</v>
      </c>
      <c r="C5" s="248">
        <f>A5+12</f>
        <v>13</v>
      </c>
      <c r="D5" s="245" t="str">
        <f t="shared" ref="D5:D17" si="2">Currency&amp;A5&amp;B5&amp;C5&amp;"F"&amp;QuoteSuffix</f>
        <v>EUR1x13F_Quote</v>
      </c>
      <c r="E5" s="292">
        <f>_xll.qlCalendarAdvance("target",SettlementDate,A5&amp;"M","mf",,Trigger)</f>
        <v>42310</v>
      </c>
      <c r="F5" s="292">
        <f>_xll.qlInterestRateIndexMaturity(ON_12M_index,E5)</f>
        <v>42676</v>
      </c>
      <c r="G5" s="67">
        <f>_xll.qlQuoteValue(D5,AllTriggers)</f>
        <v>1.3999999999999998E-3</v>
      </c>
      <c r="H5" s="67">
        <f>_xll.qlIndexFixing(ON_12M_index,_xll.qlInterestRateIndexFixingDate(ON_12M_index,E5),,AllTriggers)</f>
        <v>-1.7761148752006815E-3</v>
      </c>
      <c r="I5" s="277">
        <f t="shared" ref="I5:I13" si="3">G5-H5</f>
        <v>3.1761148752006813E-3</v>
      </c>
      <c r="J5" s="67">
        <f>_xll.qlTenorBasisValue($R$18,E5,Trigger)</f>
        <v>3.1814406688396987E-3</v>
      </c>
      <c r="K5" s="237">
        <f t="shared" ref="K5:K16" si="4">L5*10000</f>
        <v>-5.3257936390173864E-2</v>
      </c>
      <c r="L5" s="276">
        <f t="shared" si="1"/>
        <v>-5.3257936390173864E-6</v>
      </c>
      <c r="M5" s="282">
        <f>_xll.qlDayCounterYearFraction("actual/365 (fixed)",SettlementDate,E5,,,Trigger)</f>
        <v>8.4931506849315067E-2</v>
      </c>
      <c r="N5" s="180">
        <f>_xll.qlYieldTSDiscount(Discounting,E5,,AllTriggers)</f>
        <v>1.0001269597807645</v>
      </c>
      <c r="O5" s="238" t="b">
        <v>1</v>
      </c>
      <c r="Q5" s="258" t="s">
        <v>125</v>
      </c>
      <c r="R5" s="259"/>
      <c r="T5" s="55"/>
    </row>
    <row r="6" spans="1:20" ht="11.25" customHeight="1" x14ac:dyDescent="0.2">
      <c r="A6" s="241">
        <v>2</v>
      </c>
      <c r="B6" s="56" t="s">
        <v>34</v>
      </c>
      <c r="C6" s="248">
        <f t="shared" ref="C6:C16" si="5">A6+12</f>
        <v>14</v>
      </c>
      <c r="D6" s="246" t="str">
        <f t="shared" si="2"/>
        <v>EUR2x14F_Quote</v>
      </c>
      <c r="E6" s="293">
        <f>_xll.qlCalendarAdvance("target",SettlementDate,A6&amp;"M","mf",,Trigger)</f>
        <v>42340</v>
      </c>
      <c r="F6" s="293">
        <f>_xll.qlInterestRateIndexMaturity(ON_12M_index,E6)</f>
        <v>42706</v>
      </c>
      <c r="G6" s="62">
        <f>_xll.qlQuoteValue(D6,AllTriggers)</f>
        <v>1.3999999999999998E-3</v>
      </c>
      <c r="H6" s="62">
        <f>_xll.qlIndexFixing(ON_12M_index,_xll.qlInterestRateIndexFixingDate(ON_12M_index,E6),,AllTriggers)</f>
        <v>-1.813363531901284E-3</v>
      </c>
      <c r="I6" s="262">
        <f t="shared" si="3"/>
        <v>3.2133635319012838E-3</v>
      </c>
      <c r="J6" s="62">
        <f>_xll.qlTenorBasisValue($R$18,E6,Trigger)</f>
        <v>3.2311940175810613E-3</v>
      </c>
      <c r="K6" s="185">
        <f t="shared" si="4"/>
        <v>-0.17830485679777575</v>
      </c>
      <c r="L6" s="231">
        <f t="shared" si="1"/>
        <v>-1.7830485679777575E-5</v>
      </c>
      <c r="M6" s="203">
        <f>_xll.qlDayCounterYearFraction("actual/365 (fixed)",SettlementDate,E6,,,Trigger)</f>
        <v>0.16712328767123288</v>
      </c>
      <c r="N6" s="181">
        <f>_xll.qlYieldTSDiscount(Discounting,E6,,AllTriggers)</f>
        <v>1.0002521453146693</v>
      </c>
      <c r="O6" s="234" t="b">
        <v>1</v>
      </c>
      <c r="Q6" s="274" t="s">
        <v>126</v>
      </c>
      <c r="R6" s="279" t="str">
        <f>_xll.qlPolynomialCalibration(,_xll.ohFilter($M$4:$M$17,$O$4:$O$17),_xll.ohFilter($I$4:$I$17,$O$4:$O$17),_xll.ohFilter($N$4:$N$17,$O$4:$O$17),_xll.ohFilter(T13:T17,S13:S17),,,,,Trigger)</f>
        <v>obj_0059d#0002</v>
      </c>
      <c r="T6" s="55"/>
    </row>
    <row r="7" spans="1:20" ht="11.25" customHeight="1" x14ac:dyDescent="0.2">
      <c r="A7" s="241">
        <f>A6+1</f>
        <v>3</v>
      </c>
      <c r="B7" s="56" t="s">
        <v>34</v>
      </c>
      <c r="C7" s="248">
        <f t="shared" si="5"/>
        <v>15</v>
      </c>
      <c r="D7" s="246" t="str">
        <f t="shared" si="2"/>
        <v>EUR3x15F_Quote</v>
      </c>
      <c r="E7" s="293">
        <f>_xll.qlCalendarAdvance("target",SettlementDate,A7&amp;"M","mf",,Trigger)</f>
        <v>42373</v>
      </c>
      <c r="F7" s="293">
        <f>_xll.qlInterestRateIndexMaturity(ON_12M_index,E7)</f>
        <v>42739</v>
      </c>
      <c r="G7" s="62">
        <f>_xll.qlQuoteValue(D7,AllTriggers)</f>
        <v>1.4199999999999998E-3</v>
      </c>
      <c r="H7" s="62">
        <f>_xll.qlIndexFixing(ON_12M_index,_xll.qlInterestRateIndexFixingDate(ON_12M_index,E7),,AllTriggers)</f>
        <v>-1.8581850823209912E-3</v>
      </c>
      <c r="I7" s="262">
        <f t="shared" si="3"/>
        <v>3.278185082320991E-3</v>
      </c>
      <c r="J7" s="62">
        <f>_xll.qlTenorBasisValue($R$18,E7,Trigger)</f>
        <v>3.2861280724972783E-3</v>
      </c>
      <c r="K7" s="185">
        <f t="shared" si="4"/>
        <v>-7.9429901762872485E-2</v>
      </c>
      <c r="L7" s="231">
        <f t="shared" si="1"/>
        <v>-7.9429901762872492E-6</v>
      </c>
      <c r="M7" s="203">
        <f>_xll.qlDayCounterYearFraction("actual/365 (fixed)",SettlementDate,E7,,,Trigger)</f>
        <v>0.25753424657534246</v>
      </c>
      <c r="N7" s="181">
        <f>_xll.qlYieldTSDiscount(Discounting,E7,,AllTriggers)</f>
        <v>1.000379858517497</v>
      </c>
      <c r="O7" s="234" t="b">
        <v>1</v>
      </c>
      <c r="Q7" s="274" t="s">
        <v>127</v>
      </c>
      <c r="R7" s="279" t="b">
        <f>_xll.qlPolynomialCalibrationCompute($R$6,AllTriggers)</f>
        <v>1</v>
      </c>
      <c r="T7" s="55"/>
    </row>
    <row r="8" spans="1:20" ht="11.25" customHeight="1" x14ac:dyDescent="0.2">
      <c r="A8" s="241">
        <f t="shared" ref="A8:A16" si="6">A7+1</f>
        <v>4</v>
      </c>
      <c r="B8" s="56" t="s">
        <v>34</v>
      </c>
      <c r="C8" s="248">
        <f t="shared" si="5"/>
        <v>16</v>
      </c>
      <c r="D8" s="188" t="str">
        <f t="shared" si="2"/>
        <v>EUR4x16F_Quote</v>
      </c>
      <c r="E8" s="293">
        <f>_xll.qlCalendarAdvance("target",SettlementDate,A8&amp;"M","mf",,Trigger)</f>
        <v>42402</v>
      </c>
      <c r="F8" s="293">
        <f>_xll.qlInterestRateIndexMaturity(ON_12M_index,E8)</f>
        <v>42768</v>
      </c>
      <c r="G8" s="62">
        <f>_xll.qlQuoteValue(D8,AllTriggers)</f>
        <v>1.4599999999999999E-3</v>
      </c>
      <c r="H8" s="62">
        <f>_xll.qlIndexFixing(ON_12M_index,_xll.qlInterestRateIndexFixingDate(ON_12M_index,E8),,AllTriggers)</f>
        <v>-1.8759761247293504E-3</v>
      </c>
      <c r="I8" s="262">
        <f t="shared" si="3"/>
        <v>3.3359761247293502E-3</v>
      </c>
      <c r="J8" s="62">
        <f>_xll.qlTenorBasisValue($R$18,E8,Trigger)</f>
        <v>3.3344593861252998E-3</v>
      </c>
      <c r="K8" s="185">
        <f t="shared" si="4"/>
        <v>1.5167386040503342E-2</v>
      </c>
      <c r="L8" s="231">
        <f t="shared" si="1"/>
        <v>1.5167386040503342E-6</v>
      </c>
      <c r="M8" s="203">
        <f>_xll.qlDayCounterYearFraction("actual/365 (fixed)",SettlementDate,E8,,,Trigger)</f>
        <v>0.33698630136986302</v>
      </c>
      <c r="N8" s="181">
        <f>_xll.qlYieldTSDiscount(Discounting,E8,,AllTriggers)</f>
        <v>1.0005152621216613</v>
      </c>
      <c r="O8" s="234" t="b">
        <v>1</v>
      </c>
      <c r="Q8" s="274" t="s">
        <v>128</v>
      </c>
      <c r="R8" s="279" t="str">
        <f>_xll.qlPolynomialCalibrationEndCriteria(R6,)</f>
        <v>StationaryFunctionValue</v>
      </c>
      <c r="T8" s="55"/>
    </row>
    <row r="9" spans="1:20" ht="11.25" customHeight="1" x14ac:dyDescent="0.2">
      <c r="A9" s="241">
        <f t="shared" si="6"/>
        <v>5</v>
      </c>
      <c r="B9" s="56" t="s">
        <v>34</v>
      </c>
      <c r="C9" s="248">
        <f t="shared" si="5"/>
        <v>17</v>
      </c>
      <c r="D9" s="188" t="str">
        <f t="shared" si="2"/>
        <v>EUR5x17F_Quote</v>
      </c>
      <c r="E9" s="293">
        <f>_xll.qlCalendarAdvance("target",SettlementDate,A9&amp;"M","mf",,Trigger)</f>
        <v>42431</v>
      </c>
      <c r="F9" s="293">
        <f>_xll.qlInterestRateIndexMaturity(ON_12M_index,E9)</f>
        <v>42796</v>
      </c>
      <c r="G9" s="62">
        <f>_xll.qlQuoteValue(D9,AllTriggers)</f>
        <v>1.49E-3</v>
      </c>
      <c r="H9" s="62">
        <f>_xll.qlIndexFixing(ON_12M_index,_xll.qlInterestRateIndexFixingDate(ON_12M_index,E9),,AllTriggers)</f>
        <v>-1.888162200396386E-3</v>
      </c>
      <c r="I9" s="262">
        <f t="shared" si="3"/>
        <v>3.3781622003963858E-3</v>
      </c>
      <c r="J9" s="62">
        <f>_xll.qlTenorBasisValue($R$18,E9,Trigger)</f>
        <v>3.3827304299022375E-3</v>
      </c>
      <c r="K9" s="185">
        <f t="shared" si="4"/>
        <v>-4.5682295058517564E-2</v>
      </c>
      <c r="L9" s="231">
        <f t="shared" si="1"/>
        <v>-4.5682295058517564E-6</v>
      </c>
      <c r="M9" s="203">
        <f>_xll.qlDayCounterYearFraction("actual/365 (fixed)",SettlementDate,E9,,,Trigger)</f>
        <v>0.41643835616438357</v>
      </c>
      <c r="N9" s="181">
        <f>_xll.qlYieldTSDiscount(Discounting,E9,,AllTriggers)</f>
        <v>1.0006503193911085</v>
      </c>
      <c r="O9" s="234" t="b">
        <v>1</v>
      </c>
      <c r="Q9" s="274" t="s">
        <v>89</v>
      </c>
      <c r="R9" s="187">
        <f>_xll.qlPolynomialCalibrationError(R6,)</f>
        <v>3.2344813679542947E-4</v>
      </c>
      <c r="T9" s="55"/>
    </row>
    <row r="10" spans="1:20" ht="11.25" customHeight="1" x14ac:dyDescent="0.2">
      <c r="A10" s="241">
        <f t="shared" si="6"/>
        <v>6</v>
      </c>
      <c r="B10" s="56" t="s">
        <v>34</v>
      </c>
      <c r="C10" s="248">
        <f t="shared" si="5"/>
        <v>18</v>
      </c>
      <c r="D10" s="188" t="str">
        <f t="shared" si="2"/>
        <v>EUR6x18F_Quote</v>
      </c>
      <c r="E10" s="293">
        <f>_xll.qlCalendarAdvance("target",SettlementDate,A10&amp;"M","mf",,Trigger)</f>
        <v>42464</v>
      </c>
      <c r="F10" s="293">
        <f>_xll.qlInterestRateIndexMaturity(ON_12M_index,E10)</f>
        <v>42829</v>
      </c>
      <c r="G10" s="62">
        <f>_xll.qlQuoteValue(D10,AllTriggers)</f>
        <v>1.5499999999999999E-3</v>
      </c>
      <c r="H10" s="62">
        <f>_xll.qlIndexFixing(ON_12M_index,_xll.qlInterestRateIndexFixingDate(ON_12M_index,E10),,AllTriggers)</f>
        <v>-1.8926872068370569E-3</v>
      </c>
      <c r="I10" s="262">
        <f t="shared" si="3"/>
        <v>3.4426872068370569E-3</v>
      </c>
      <c r="J10" s="62">
        <f>_xll.qlTenorBasisValue($R$18,E10,Trigger)</f>
        <v>3.437449276301447E-3</v>
      </c>
      <c r="K10" s="185">
        <f t="shared" si="4"/>
        <v>5.2379305356098881E-2</v>
      </c>
      <c r="L10" s="231">
        <f t="shared" si="1"/>
        <v>5.2379305356098881E-6</v>
      </c>
      <c r="M10" s="203">
        <f>_xll.qlDayCounterYearFraction("actual/365 (fixed)",SettlementDate,E10,,,Trigger)</f>
        <v>0.50684931506849318</v>
      </c>
      <c r="N10" s="181">
        <f>_xll.qlYieldTSDiscount(Discounting,E10,,AllTriggers)</f>
        <v>1.0008071406590917</v>
      </c>
      <c r="O10" s="234" t="b">
        <v>1</v>
      </c>
      <c r="Q10" s="274" t="s">
        <v>124</v>
      </c>
      <c r="R10" s="187">
        <f>_xll.qlPolynomialCalibrationMaxError(R6,)</f>
        <v>5.4884881937923916E-4</v>
      </c>
      <c r="T10" s="55"/>
    </row>
    <row r="11" spans="1:20" ht="11.25" customHeight="1" x14ac:dyDescent="0.2">
      <c r="A11" s="241">
        <f t="shared" si="6"/>
        <v>7</v>
      </c>
      <c r="B11" s="56" t="s">
        <v>34</v>
      </c>
      <c r="C11" s="248">
        <f t="shared" si="5"/>
        <v>19</v>
      </c>
      <c r="D11" s="188" t="str">
        <f t="shared" si="2"/>
        <v>EUR7x19F_Quote</v>
      </c>
      <c r="E11" s="293">
        <f>_xll.qlCalendarAdvance("target",SettlementDate,A11&amp;"M","mf",,Trigger)</f>
        <v>42492</v>
      </c>
      <c r="F11" s="293">
        <f>_xll.qlInterestRateIndexMaturity(ON_12M_index,E11)</f>
        <v>42857</v>
      </c>
      <c r="G11" s="62">
        <f>_xll.qlQuoteValue(D11,AllTriggers)</f>
        <v>1.6099999999999997E-3</v>
      </c>
      <c r="H11" s="62">
        <f>_xll.qlIndexFixing(ON_12M_index,_xll.qlInterestRateIndexFixingDate(ON_12M_index,E11),,AllTriggers)</f>
        <v>-1.8863692785127696E-3</v>
      </c>
      <c r="I11" s="262">
        <f t="shared" si="3"/>
        <v>3.4963692785127693E-3</v>
      </c>
      <c r="J11" s="62">
        <f>_xll.qlTenorBasisValue($R$18,E11,Trigger)</f>
        <v>3.4835887756993257E-3</v>
      </c>
      <c r="K11" s="185">
        <f t="shared" si="4"/>
        <v>0.12780502813443656</v>
      </c>
      <c r="L11" s="231">
        <f t="shared" si="1"/>
        <v>1.2780502813443655E-5</v>
      </c>
      <c r="M11" s="203">
        <f>_xll.qlDayCounterYearFraction("actual/365 (fixed)",SettlementDate,E11,,,Trigger)</f>
        <v>0.58356164383561648</v>
      </c>
      <c r="N11" s="181">
        <f>_xll.qlYieldTSDiscount(Discounting,E11,,AllTriggers)</f>
        <v>1.0009464646588653</v>
      </c>
      <c r="O11" s="234" t="b">
        <v>1</v>
      </c>
      <c r="T11" s="55"/>
    </row>
    <row r="12" spans="1:20" ht="11.25" customHeight="1" x14ac:dyDescent="0.2">
      <c r="A12" s="241">
        <f t="shared" si="6"/>
        <v>8</v>
      </c>
      <c r="B12" s="56" t="s">
        <v>34</v>
      </c>
      <c r="C12" s="248">
        <f t="shared" si="5"/>
        <v>20</v>
      </c>
      <c r="D12" s="188" t="str">
        <f t="shared" si="2"/>
        <v>EUR8x20F_Quote</v>
      </c>
      <c r="E12" s="293">
        <f>_xll.qlCalendarAdvance("target",SettlementDate,A12&amp;"M","mf",,Trigger)</f>
        <v>42523</v>
      </c>
      <c r="F12" s="293">
        <f>_xll.qlInterestRateIndexMaturity(ON_12M_index,E12)</f>
        <v>42888</v>
      </c>
      <c r="G12" s="62">
        <f>_xll.qlQuoteValue(D12,AllTriggers)</f>
        <v>1.6699999999999998E-3</v>
      </c>
      <c r="H12" s="62">
        <f>_xll.qlIndexFixing(ON_12M_index,_xll.qlInterestRateIndexFixingDate(ON_12M_index,E12),,AllTriggers)</f>
        <v>-1.870265271496427E-3</v>
      </c>
      <c r="I12" s="262">
        <f t="shared" si="3"/>
        <v>3.5402652714964268E-3</v>
      </c>
      <c r="J12" s="62">
        <f>_xll.qlTenorBasisValue($R$18,E12,Trigger)</f>
        <v>3.5342389549789617E-3</v>
      </c>
      <c r="K12" s="185">
        <f t="shared" si="4"/>
        <v>6.026316517465137E-2</v>
      </c>
      <c r="L12" s="231">
        <f t="shared" si="1"/>
        <v>6.026316517465137E-6</v>
      </c>
      <c r="M12" s="203">
        <f>_xll.qlDayCounterYearFraction("actual/365 (fixed)",SettlementDate,E12,,,Trigger)</f>
        <v>0.66849315068493154</v>
      </c>
      <c r="N12" s="181">
        <f>_xll.qlYieldTSDiscount(Discounting,E12,,AllTriggers)</f>
        <v>1.0011049582208984</v>
      </c>
      <c r="O12" s="234" t="b">
        <v>1</v>
      </c>
      <c r="Q12" s="258" t="s">
        <v>111</v>
      </c>
      <c r="R12" s="259"/>
      <c r="S12" s="260" t="s">
        <v>122</v>
      </c>
      <c r="T12" s="259" t="s">
        <v>133</v>
      </c>
    </row>
    <row r="13" spans="1:20" ht="11.25" customHeight="1" x14ac:dyDescent="0.2">
      <c r="A13" s="241">
        <f t="shared" si="6"/>
        <v>9</v>
      </c>
      <c r="B13" s="56" t="s">
        <v>34</v>
      </c>
      <c r="C13" s="248">
        <f t="shared" si="5"/>
        <v>21</v>
      </c>
      <c r="D13" s="188" t="str">
        <f t="shared" si="2"/>
        <v>EUR9x21F_Quote</v>
      </c>
      <c r="E13" s="293">
        <f>_xll.qlCalendarAdvance("target",SettlementDate,A13&amp;"M","mf",,Trigger)</f>
        <v>42555</v>
      </c>
      <c r="F13" s="293">
        <f>_xll.qlInterestRateIndexMaturity(ON_12M_index,E13)</f>
        <v>42920</v>
      </c>
      <c r="G13" s="62">
        <f>_xll.qlQuoteValue(D13,AllTriggers)</f>
        <v>1.7499999999999998E-3</v>
      </c>
      <c r="H13" s="62">
        <f>_xll.qlIndexFixing(ON_12M_index,_xll.qlInterestRateIndexFixingDate(ON_12M_index,E13),,AllTriggers)</f>
        <v>-1.841462166369908E-3</v>
      </c>
      <c r="I13" s="262">
        <f t="shared" si="3"/>
        <v>3.5914621663699076E-3</v>
      </c>
      <c r="J13" s="62">
        <f>_xll.qlTenorBasisValue($R$18,E13,Trigger)</f>
        <v>3.5859109676464438E-3</v>
      </c>
      <c r="K13" s="185">
        <f t="shared" si="4"/>
        <v>5.5511987234638065E-2</v>
      </c>
      <c r="L13" s="231">
        <f t="shared" si="1"/>
        <v>5.5511987234638065E-6</v>
      </c>
      <c r="M13" s="203">
        <f>_xll.qlDayCounterYearFraction("actual/365 (fixed)",SettlementDate,E13,,,Trigger)</f>
        <v>0.75616438356164384</v>
      </c>
      <c r="N13" s="181">
        <f>_xll.qlYieldTSDiscount(Discounting,E13,,AllTriggers)</f>
        <v>1.0012739236534773</v>
      </c>
      <c r="O13" s="234" t="b">
        <v>1</v>
      </c>
      <c r="Q13" s="274" t="s">
        <v>113</v>
      </c>
      <c r="R13" s="187">
        <f t="array" ref="R13:R17">_xll.qlPolynomialCalibrationCoefficients($R$6,R7)</f>
        <v>3.1303464320642811E-3</v>
      </c>
      <c r="S13" s="187" t="b">
        <v>1</v>
      </c>
      <c r="T13" s="187">
        <v>2.9266639631714856E-3</v>
      </c>
    </row>
    <row r="14" spans="1:20" ht="11.25" customHeight="1" x14ac:dyDescent="0.2">
      <c r="A14" s="241">
        <f t="shared" si="6"/>
        <v>10</v>
      </c>
      <c r="B14" s="56" t="s">
        <v>34</v>
      </c>
      <c r="C14" s="248">
        <f t="shared" si="5"/>
        <v>22</v>
      </c>
      <c r="D14" s="188" t="str">
        <f t="shared" si="2"/>
        <v>EUR10x22F_Quote</v>
      </c>
      <c r="E14" s="293">
        <f>_xll.qlCalendarAdvance("target",SettlementDate,A14&amp;"M","mf",,Trigger)</f>
        <v>42584</v>
      </c>
      <c r="F14" s="293">
        <f>_xll.qlInterestRateIndexMaturity(ON_12M_index,E14)</f>
        <v>42949</v>
      </c>
      <c r="G14" s="62">
        <f>_xll.qlQuoteValue(D14,AllTriggers)</f>
        <v>1.83E-3</v>
      </c>
      <c r="H14" s="62">
        <f>_xll.qlIndexFixing(ON_12M_index,_xll.qlInterestRateIndexFixingDate(ON_12M_index,E14),,AllTriggers)</f>
        <v>-1.8046148437726216E-3</v>
      </c>
      <c r="I14" s="262">
        <f t="shared" si="0"/>
        <v>3.6346148437726216E-3</v>
      </c>
      <c r="J14" s="62">
        <f>_xll.qlTenorBasisValue($R$18,E14,Trigger)</f>
        <v>3.6320819547688782E-3</v>
      </c>
      <c r="K14" s="185">
        <f t="shared" si="4"/>
        <v>2.5328890037434187E-2</v>
      </c>
      <c r="L14" s="231">
        <f t="shared" si="1"/>
        <v>2.5328890037434187E-6</v>
      </c>
      <c r="M14" s="203">
        <f>_xll.qlDayCounterYearFraction("actual/365 (fixed)",SettlementDate,E14,,,Trigger)</f>
        <v>0.83561643835616439</v>
      </c>
      <c r="N14" s="181">
        <f>_xll.qlYieldTSDiscount(Discounting,E14,,AllTriggers)</f>
        <v>1.0014304042935918</v>
      </c>
      <c r="O14" s="234" t="b">
        <v>1</v>
      </c>
      <c r="Q14" s="274" t="s">
        <v>114</v>
      </c>
      <c r="R14" s="187">
        <v>5.9918557082299392E-4</v>
      </c>
      <c r="S14" s="187" t="b">
        <v>1</v>
      </c>
      <c r="T14" s="187">
        <v>6.4219614391665956E-4</v>
      </c>
    </row>
    <row r="15" spans="1:20" ht="11.25" customHeight="1" x14ac:dyDescent="0.2">
      <c r="A15" s="241">
        <f t="shared" si="6"/>
        <v>11</v>
      </c>
      <c r="B15" s="56" t="s">
        <v>34</v>
      </c>
      <c r="C15" s="248">
        <f t="shared" si="5"/>
        <v>23</v>
      </c>
      <c r="D15" s="188" t="str">
        <f t="shared" si="2"/>
        <v>EUR11x23F_Quote</v>
      </c>
      <c r="E15" s="293">
        <f>_xll.qlCalendarAdvance("target",SettlementDate,A15&amp;"M","mf",,Trigger)</f>
        <v>42615</v>
      </c>
      <c r="F15" s="293">
        <f>_xll.qlInterestRateIndexMaturity(ON_12M_index,E15)</f>
        <v>42982</v>
      </c>
      <c r="G15" s="62">
        <f>_xll.qlQuoteValue(D15,AllTriggers)</f>
        <v>1.92E-3</v>
      </c>
      <c r="H15" s="62">
        <f>_xll.qlIndexFixing(ON_12M_index,_xll.qlInterestRateIndexFixingDate(ON_12M_index,E15),,AllTriggers)</f>
        <v>-1.7520583387576148E-3</v>
      </c>
      <c r="I15" s="262">
        <f>G15-H15</f>
        <v>3.6720583387576146E-3</v>
      </c>
      <c r="J15" s="62">
        <f>_xll.qlTenorBasisValue($R$18,E15,Trigger)</f>
        <v>3.6806207111433923E-3</v>
      </c>
      <c r="K15" s="185">
        <f t="shared" si="4"/>
        <v>-8.5623723857777487E-2</v>
      </c>
      <c r="L15" s="231">
        <f t="shared" si="1"/>
        <v>-8.5623723857777487E-6</v>
      </c>
      <c r="M15" s="203">
        <f>_xll.qlDayCounterYearFraction("actual/365 (fixed)",SettlementDate,E15,,,Trigger)</f>
        <v>0.92054794520547945</v>
      </c>
      <c r="N15" s="181">
        <f>_xll.qlYieldTSDiscount(Discounting,E15,,AllTriggers)</f>
        <v>1.0015991852523043</v>
      </c>
      <c r="O15" s="234" t="b">
        <v>1</v>
      </c>
      <c r="Q15" s="274" t="s">
        <v>115</v>
      </c>
      <c r="R15" s="187">
        <v>3.1388670846379781E-5</v>
      </c>
      <c r="S15" s="187" t="b">
        <v>1</v>
      </c>
      <c r="T15" s="187">
        <v>-3.4478140344458048E-4</v>
      </c>
    </row>
    <row r="16" spans="1:20" ht="11.25" customHeight="1" x14ac:dyDescent="0.2">
      <c r="A16" s="241">
        <f t="shared" si="6"/>
        <v>12</v>
      </c>
      <c r="B16" s="56" t="s">
        <v>34</v>
      </c>
      <c r="C16" s="248">
        <f t="shared" si="5"/>
        <v>24</v>
      </c>
      <c r="D16" s="188" t="str">
        <f t="shared" si="2"/>
        <v>EUR12x24F_Quote</v>
      </c>
      <c r="E16" s="293">
        <f>_xll.qlCalendarAdvance("target",SettlementDate,A16&amp;"M","mf",,Trigger)</f>
        <v>42646</v>
      </c>
      <c r="F16" s="293">
        <f>_xll.qlInterestRateIndexMaturity(ON_12M_index,E16)</f>
        <v>43011</v>
      </c>
      <c r="G16" s="62">
        <f>_xll.qlQuoteValue(D16,AllTriggers)</f>
        <v>2.0299999999999997E-3</v>
      </c>
      <c r="H16" s="62">
        <f>_xll.qlIndexFixing(ON_12M_index,_xll.qlInterestRateIndexFixingDate(ON_12M_index,E16),,AllTriggers)</f>
        <v>-1.6911771583174098E-3</v>
      </c>
      <c r="I16" s="262">
        <f>G16-H16</f>
        <v>3.7211771583174095E-3</v>
      </c>
      <c r="J16" s="62">
        <f>_xll.qlTenorBasisValue($R$18,E16,Trigger)</f>
        <v>3.7281871571942689E-3</v>
      </c>
      <c r="K16" s="185">
        <f t="shared" si="4"/>
        <v>-7.0099988768593594E-2</v>
      </c>
      <c r="L16" s="231">
        <f t="shared" si="1"/>
        <v>-7.0099988768593594E-6</v>
      </c>
      <c r="M16" s="203">
        <f>_xll.qlDayCounterYearFraction("actual/365 (fixed)",SettlementDate,E16,,,Trigger)</f>
        <v>1.0054794520547945</v>
      </c>
      <c r="N16" s="181">
        <f>_xll.qlYieldTSDiscount(Discounting,E16,,AllTriggers)</f>
        <v>1.0017703617001901</v>
      </c>
      <c r="O16" s="234" t="b">
        <v>1</v>
      </c>
      <c r="Q16" s="274" t="s">
        <v>116</v>
      </c>
      <c r="R16" s="187">
        <v>-3.5770418290078184E-5</v>
      </c>
      <c r="S16" s="187" t="b">
        <v>1</v>
      </c>
      <c r="T16" s="187">
        <v>9.8448696292782983E-5</v>
      </c>
    </row>
    <row r="17" spans="1:20" ht="11.25" customHeight="1" x14ac:dyDescent="0.2">
      <c r="A17" s="241">
        <v>24</v>
      </c>
      <c r="B17" s="56" t="s">
        <v>34</v>
      </c>
      <c r="C17" s="248">
        <v>36</v>
      </c>
      <c r="D17" s="189" t="str">
        <f t="shared" si="2"/>
        <v>EUR24x36F_Quote</v>
      </c>
      <c r="E17" s="294">
        <f>_xll.qlCalendarAdvance("target",SettlementDate,A17&amp;"M","mf",,Trigger)</f>
        <v>43010</v>
      </c>
      <c r="F17" s="294">
        <f>_xll.qlInterestRateIndexMaturity(ON_12M_index,E17)</f>
        <v>43375</v>
      </c>
      <c r="G17" s="65">
        <f>_xll.qlQuoteValue(D17,AllTriggers)</f>
        <v>4.0500000000000006E-3</v>
      </c>
      <c r="H17" s="65">
        <f>_xll.qlIndexFixing(ON_12M_index,_xll.qlInterestRateIndexFixingDate(ON_12M_index,E17),,AllTriggers)</f>
        <v>-1.1958855942131673E-4</v>
      </c>
      <c r="I17" s="257">
        <f>G17-H17</f>
        <v>4.1695885594213175E-3</v>
      </c>
      <c r="J17" s="65">
        <f>_xll.qlTenorBasisValue($R$18,E17,Trigger)</f>
        <v>4.1689171106538301E-3</v>
      </c>
      <c r="K17" s="186">
        <f t="shared" ref="K17" si="7">L17*10000</f>
        <v>6.71448767487412E-3</v>
      </c>
      <c r="L17" s="232">
        <f t="shared" ref="L17" si="8">I17-J17</f>
        <v>6.71448767487412E-7</v>
      </c>
      <c r="M17" s="204">
        <f>_xll.qlDayCounterYearFraction("actual/365 (fixed)",SettlementDate,E17,,,Trigger)</f>
        <v>2.0027397260273974</v>
      </c>
      <c r="N17" s="182">
        <f>_xll.qlYieldTSDiscount(Discounting,E17,,AllTriggers)</f>
        <v>1.003487755432563</v>
      </c>
      <c r="O17" s="235" t="b">
        <v>1</v>
      </c>
      <c r="Q17" s="274" t="s">
        <v>117</v>
      </c>
      <c r="R17" s="187" t="e">
        <v>#N/A</v>
      </c>
      <c r="S17" s="187" t="b">
        <v>0</v>
      </c>
      <c r="T17" s="187">
        <v>0</v>
      </c>
    </row>
    <row r="18" spans="1:20" ht="11.25" customHeight="1" x14ac:dyDescent="0.2">
      <c r="E18" s="179"/>
      <c r="F18" s="179"/>
      <c r="G18" s="57"/>
      <c r="H18" s="57"/>
      <c r="I18" s="57"/>
      <c r="J18" s="56"/>
      <c r="K18" s="56"/>
      <c r="L18" s="56"/>
      <c r="M18" s="56"/>
      <c r="N18" s="56"/>
      <c r="O18" s="56"/>
      <c r="Q18" s="274" t="s">
        <v>118</v>
      </c>
      <c r="R18" s="187" t="str">
        <f>_xll.qlPolynomialTenorBasis(,PROPER(Currency)&amp;IborType&amp;$F$1,Discounting,SettlementDate,TRUE,_xll.ohFilter(R13:R17,S13:S17),,Trigger)</f>
        <v>obj_005a3#0002</v>
      </c>
      <c r="T18" s="55"/>
    </row>
    <row r="19" spans="1:20" ht="11.25" customHeight="1" thickBot="1" x14ac:dyDescent="0.25">
      <c r="E19" s="179"/>
      <c r="F19" s="58" t="s">
        <v>91</v>
      </c>
      <c r="G19" s="58" t="s">
        <v>80</v>
      </c>
      <c r="H19" s="58" t="s">
        <v>81</v>
      </c>
      <c r="I19" s="283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5">
        <f>_xll.qlCalendarAdvance(Calendar,SettlementDate,0&amp;"M","mf",TRUE,Trigger)</f>
        <v>42279</v>
      </c>
      <c r="H20" s="266">
        <f>_xll.qlCalendarAdvance(Calendar,SettlementDate,F20,"Following",,Trigger)</f>
        <v>42282</v>
      </c>
      <c r="I20" s="284">
        <f>_xll.qlTenorBasisForwardRate2(TenorBasis12M,G20,H20,AllTriggers)</f>
        <v>1.4175468018873261E-3</v>
      </c>
      <c r="T20" s="55"/>
    </row>
    <row r="21" spans="1:20" ht="11.25" customHeight="1" x14ac:dyDescent="0.2">
      <c r="F21" s="63" t="s">
        <v>39</v>
      </c>
      <c r="G21" s="267">
        <f>_xll.qlCalendarAdvance(Calendar,SettlementDate,0&amp;"M","mf",TRUE,Trigger)</f>
        <v>42279</v>
      </c>
      <c r="H21" s="268">
        <f>_xll.qlCalendarAdvance(Calendar,SettlementDate,F21,"Following",,Trigger)</f>
        <v>42286</v>
      </c>
      <c r="I21" s="285">
        <f>_xll.qlTenorBasisForwardRate2(TenorBasis12M,G21,H21,AllTriggers)</f>
        <v>1.3667900797211172E-3</v>
      </c>
    </row>
    <row r="22" spans="1:20" ht="11.25" customHeight="1" x14ac:dyDescent="0.2">
      <c r="F22" s="63" t="s">
        <v>40</v>
      </c>
      <c r="G22" s="267">
        <f>_xll.qlCalendarAdvance(Calendar,SettlementDate,0&amp;"M","mf",TRUE,Trigger)</f>
        <v>42279</v>
      </c>
      <c r="H22" s="268">
        <f>_xll.qlCalendarAdvance(Calendar,SettlementDate,F22,"Following",,Trigger)</f>
        <v>42293</v>
      </c>
      <c r="I22" s="285">
        <f>_xll.qlTenorBasisForwardRate2(TenorBasis12M,G22,H22,AllTriggers)</f>
        <v>1.3720079071712274E-3</v>
      </c>
    </row>
    <row r="23" spans="1:20" ht="11.25" customHeight="1" x14ac:dyDescent="0.2">
      <c r="F23" s="63" t="s">
        <v>41</v>
      </c>
      <c r="G23" s="267">
        <f>_xll.qlCalendarAdvance(Calendar,SettlementDate,0&amp;"M","mf",TRUE,Trigger)</f>
        <v>42279</v>
      </c>
      <c r="H23" s="268">
        <f>_xll.qlCalendarAdvance(Calendar,SettlementDate,F23,"Following",,Trigger)</f>
        <v>42300</v>
      </c>
      <c r="I23" s="285">
        <f>_xll.qlTenorBasisForwardRate2(TenorBasis12M,G23,H23,AllTriggers)</f>
        <v>1.3772460871981046E-3</v>
      </c>
    </row>
    <row r="24" spans="1:20" ht="11.25" customHeight="1" x14ac:dyDescent="0.2">
      <c r="F24" s="263" t="s">
        <v>35</v>
      </c>
      <c r="G24" s="269">
        <f>_xll.qlCalendarAdvance(Calendar,SettlementDate,0&amp;"M","mf",TRUE,Trigger)</f>
        <v>42279</v>
      </c>
      <c r="H24" s="270">
        <f>_xll.qlCalendarAdvance(Calendar,SettlementDate,F24,"mf",TRUE,Trigger)</f>
        <v>42310</v>
      </c>
      <c r="I24" s="286">
        <f>_xll.qlTenorBasisForwardRate2(TenorBasis12M,G24,H24,AllTriggers)</f>
        <v>1.4147710458356499E-3</v>
      </c>
    </row>
    <row r="25" spans="1:20" ht="11.25" customHeight="1" x14ac:dyDescent="0.2">
      <c r="F25" s="63" t="s">
        <v>42</v>
      </c>
      <c r="G25" s="267">
        <f>_xll.qlCalendarAdvance(Calendar,SettlementDate,0&amp;"M","mf",TRUE,Trigger)</f>
        <v>42279</v>
      </c>
      <c r="H25" s="268">
        <f>_xll.qlCalendarAdvance(Calendar,SettlementDate,F25,"mf",TRUE,Trigger)</f>
        <v>42340</v>
      </c>
      <c r="I25" s="285">
        <f>_xll.qlTenorBasisForwardRate2(TenorBasis12M,G25,H25,AllTriggers)</f>
        <v>1.3875411050914604E-3</v>
      </c>
    </row>
    <row r="26" spans="1:20" ht="11.25" customHeight="1" x14ac:dyDescent="0.2">
      <c r="F26" s="63" t="s">
        <v>36</v>
      </c>
      <c r="G26" s="267">
        <f>_xll.qlCalendarAdvance(Calendar,SettlementDate,0&amp;"M","mf",TRUE,Trigger)</f>
        <v>42279</v>
      </c>
      <c r="H26" s="268">
        <f>_xll.qlCalendarAdvance(Calendar,SettlementDate,F26,"mf",TRUE,Trigger)</f>
        <v>42373</v>
      </c>
      <c r="I26" s="285">
        <f>_xll.qlTenorBasisForwardRate2(TenorBasis12M,G26,H26,AllTriggers)</f>
        <v>1.4332284729959347E-3</v>
      </c>
    </row>
    <row r="27" spans="1:20" ht="11.25" customHeight="1" x14ac:dyDescent="0.2">
      <c r="F27" s="63" t="s">
        <v>43</v>
      </c>
      <c r="G27" s="267">
        <f>_xll.qlCalendarAdvance(Calendar,SettlementDate,0&amp;"M","mf",TRUE,Trigger)</f>
        <v>42279</v>
      </c>
      <c r="H27" s="268">
        <f>_xll.qlCalendarAdvance(Calendar,SettlementDate,F27,"mf",TRUE,Trigger)</f>
        <v>42402</v>
      </c>
      <c r="I27" s="285">
        <f>_xll.qlTenorBasisForwardRate2(TenorBasis12M,G27,H27,AllTriggers)</f>
        <v>1.3969750873161605E-3</v>
      </c>
    </row>
    <row r="28" spans="1:20" ht="11.25" customHeight="1" x14ac:dyDescent="0.2">
      <c r="F28" s="63" t="s">
        <v>44</v>
      </c>
      <c r="G28" s="267">
        <f>_xll.qlCalendarAdvance(Calendar,SettlementDate,0&amp;"M","mf",TRUE,Trigger)</f>
        <v>42279</v>
      </c>
      <c r="H28" s="268">
        <f>_xll.qlCalendarAdvance(Calendar,SettlementDate,F28,"mf",TRUE,Trigger)</f>
        <v>42431</v>
      </c>
      <c r="I28" s="285">
        <f>_xll.qlTenorBasisForwardRate2(TenorBasis12M,G28,H28,AllTriggers)</f>
        <v>1.3843348357612864E-3</v>
      </c>
    </row>
    <row r="29" spans="1:20" ht="11.25" customHeight="1" x14ac:dyDescent="0.2">
      <c r="F29" s="63" t="s">
        <v>37</v>
      </c>
      <c r="G29" s="267">
        <f>_xll.qlCalendarAdvance(Calendar,SettlementDate,0&amp;"M","mf",TRUE,Trigger)</f>
        <v>42279</v>
      </c>
      <c r="H29" s="268">
        <f>_xll.qlCalendarAdvance(Calendar,SettlementDate,F29,"mf",TRUE,Trigger)</f>
        <v>42464</v>
      </c>
      <c r="I29" s="285">
        <f>_xll.qlTenorBasisForwardRate2(TenorBasis12M,G29,H29,AllTriggers)</f>
        <v>1.3777408141027985E-3</v>
      </c>
    </row>
    <row r="30" spans="1:20" ht="11.25" customHeight="1" x14ac:dyDescent="0.2">
      <c r="F30" s="63" t="s">
        <v>45</v>
      </c>
      <c r="G30" s="267">
        <f>_xll.qlCalendarAdvance(Calendar,SettlementDate,0&amp;"M","mf",TRUE,Trigger)</f>
        <v>42279</v>
      </c>
      <c r="H30" s="267">
        <f>_xll.qlCalendarAdvance(Calendar,SettlementDate,F30,"mf",TRUE,Trigger)</f>
        <v>42492</v>
      </c>
      <c r="I30" s="285">
        <f>_xll.qlTenorBasisTenorForwardRate(TenorBasis12M,G30,AllTriggers)</f>
        <v>1.4030768007941069E-3</v>
      </c>
    </row>
    <row r="31" spans="1:20" ht="11.25" customHeight="1" x14ac:dyDescent="0.2">
      <c r="F31" s="63" t="s">
        <v>46</v>
      </c>
      <c r="G31" s="267">
        <f>_xll.qlCalendarAdvance(Calendar,SettlementDate,0&amp;"M","mf",TRUE,Trigger)</f>
        <v>42279</v>
      </c>
      <c r="H31" s="267">
        <f>_xll.qlCalendarAdvance(Calendar,SettlementDate,F31,"mf",TRUE,Trigger)</f>
        <v>42523</v>
      </c>
      <c r="I31" s="285">
        <f>_xll.qlTenorBasisTenorForwardRate(TenorBasis12M,G31,AllTriggers)</f>
        <v>1.4030768007941069E-3</v>
      </c>
    </row>
    <row r="32" spans="1:20" ht="11.25" customHeight="1" x14ac:dyDescent="0.2">
      <c r="F32" s="63" t="s">
        <v>47</v>
      </c>
      <c r="G32" s="267">
        <f>_xll.qlCalendarAdvance(Calendar,SettlementDate,0&amp;"M","mf",TRUE,Trigger)</f>
        <v>42279</v>
      </c>
      <c r="H32" s="267">
        <f>_xll.qlCalendarAdvance(Calendar,SettlementDate,F32,"mf",TRUE,Trigger)</f>
        <v>42555</v>
      </c>
      <c r="I32" s="285">
        <f>_xll.qlTenorBasisTenorForwardRate(TenorBasis12M,G32,AllTriggers)</f>
        <v>1.4030768007941069E-3</v>
      </c>
    </row>
    <row r="33" spans="5:9" ht="11.25" customHeight="1" x14ac:dyDescent="0.2">
      <c r="F33" s="63" t="s">
        <v>48</v>
      </c>
      <c r="G33" s="267">
        <f>_xll.qlCalendarAdvance(Calendar,SettlementDate,0&amp;"M","mf",TRUE,Trigger)</f>
        <v>42279</v>
      </c>
      <c r="H33" s="267">
        <f>_xll.qlCalendarAdvance(Calendar,SettlementDate,F33,"mf",TRUE,Trigger)</f>
        <v>42584</v>
      </c>
      <c r="I33" s="285">
        <f>_xll.qlTenorBasisTenorForwardRate(TenorBasis12M,G33,AllTriggers)</f>
        <v>1.4030768007941069E-3</v>
      </c>
    </row>
    <row r="34" spans="5:9" ht="11.25" customHeight="1" x14ac:dyDescent="0.2">
      <c r="F34" s="63" t="s">
        <v>49</v>
      </c>
      <c r="G34" s="267">
        <f>_xll.qlCalendarAdvance(Calendar,SettlementDate,0&amp;"M","mf",TRUE,Trigger)</f>
        <v>42279</v>
      </c>
      <c r="H34" s="267">
        <f>_xll.qlCalendarAdvance(Calendar,SettlementDate,F34,"mf",TRUE,Trigger)</f>
        <v>42615</v>
      </c>
      <c r="I34" s="285">
        <f>_xll.qlTenorBasisTenorForwardRate(TenorBasis12M,G34,AllTriggers)</f>
        <v>1.4030768007941069E-3</v>
      </c>
    </row>
    <row r="35" spans="5:9" ht="11.25" customHeight="1" thickBot="1" x14ac:dyDescent="0.25">
      <c r="F35" s="261" t="s">
        <v>50</v>
      </c>
      <c r="G35" s="300">
        <f>_xll.qlCalendarAdvance(Calendar,SettlementDate,0&amp;"M","mf",TRUE,Trigger)</f>
        <v>42279</v>
      </c>
      <c r="H35" s="291">
        <f>_xll.qlCalendarAdvance(Calendar,SettlementDate,F35,"mf",TRUE,Trigger)</f>
        <v>42646</v>
      </c>
      <c r="I35" s="288">
        <f>_xll.qlTenorBasisTenorForwardRate(TenorBasis12M,G35,AllTriggers)</f>
        <v>1.4030768007941069E-3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79"/>
      <c r="F39" s="179"/>
      <c r="G39" s="57"/>
      <c r="H39" s="57"/>
      <c r="I39" s="57"/>
    </row>
    <row r="40" spans="5:9" ht="11.25" customHeight="1" x14ac:dyDescent="0.2">
      <c r="E40" s="179"/>
      <c r="F40" s="179"/>
      <c r="G40" s="57"/>
      <c r="H40" s="57"/>
      <c r="I40" s="57"/>
    </row>
    <row r="41" spans="5:9" ht="11.25" customHeight="1" x14ac:dyDescent="0.2">
      <c r="E41" s="179"/>
      <c r="F41" s="179"/>
      <c r="G41" s="57"/>
      <c r="H41" s="57"/>
      <c r="I41" s="57"/>
    </row>
    <row r="42" spans="5:9" ht="11.25" customHeight="1" x14ac:dyDescent="0.2">
      <c r="E42" s="179"/>
      <c r="F42" s="179"/>
      <c r="G42" s="57"/>
      <c r="H42" s="57"/>
      <c r="I42" s="57"/>
    </row>
    <row r="43" spans="5:9" ht="11.25" customHeight="1" x14ac:dyDescent="0.2">
      <c r="E43" s="179"/>
      <c r="F43" s="179"/>
      <c r="G43" s="57"/>
      <c r="H43" s="57"/>
      <c r="I43" s="57"/>
    </row>
    <row r="44" spans="5:9" ht="11.25" customHeight="1" x14ac:dyDescent="0.2">
      <c r="E44" s="179"/>
      <c r="F44" s="179"/>
      <c r="G44" s="57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42277</v>
      </c>
      <c r="C3" s="74">
        <f>_xll.qlCalendarAdvance(Calendar,SettlementDate,A3&amp;"M","mf")</f>
        <v>42279</v>
      </c>
      <c r="D3" s="74">
        <f>_xll.qlInterestRateIndexMaturity(ON_12M_index,C3)</f>
        <v>42646</v>
      </c>
      <c r="E3" s="75">
        <f>_xll.qlIndexFixing(ON_12M_index,B3,,AllTriggers)</f>
        <v>-1.7272696312701742E-3</v>
      </c>
      <c r="F3" s="76">
        <f>_xll.qlInterpolationInterpolate(BasisInterpolator,C3,TRUE,E3)</f>
        <v>3.1372653265116395E-3</v>
      </c>
      <c r="G3" s="75">
        <f t="shared" ref="G3:G27" si="0">E3+F3</f>
        <v>1.4099956952414654E-3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42306</v>
      </c>
      <c r="C4" s="78">
        <f>_xll.qlCalendarAdvance(Calendar,SettlementDate,A4&amp;"M","mf")</f>
        <v>42310</v>
      </c>
      <c r="D4" s="78">
        <f>_xll.qlInterestRateIndexMaturity(ON_12M_index,C4)</f>
        <v>42676</v>
      </c>
      <c r="E4" s="79">
        <f>_xll.qlIndexFixing(ON_12M_index,B4,,AllTriggers)</f>
        <v>-1.7761148752006815E-3</v>
      </c>
      <c r="F4" s="80">
        <f>_xll.qlInterpolationInterpolate(BasisInterpolator,C4,TRUE,E4)</f>
        <v>3.1761148752006813E-3</v>
      </c>
      <c r="G4" s="79">
        <f t="shared" si="0"/>
        <v>1.3999999999999998E-3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42338</v>
      </c>
      <c r="C5" s="78">
        <f>_xll.qlCalendarAdvance(Calendar,SettlementDate,A5&amp;"M","mf")</f>
        <v>42340</v>
      </c>
      <c r="D5" s="78">
        <f>_xll.qlInterestRateIndexMaturity(ON_12M_index,C5)</f>
        <v>42706</v>
      </c>
      <c r="E5" s="79">
        <f>_xll.qlIndexFixing(ON_12M_index,B5,,AllTriggers)</f>
        <v>-1.813363531901284E-3</v>
      </c>
      <c r="F5" s="80">
        <f>_xll.qlInterpolationInterpolate(BasisInterpolator,C5,TRUE,E5)</f>
        <v>3.2133635319012838E-3</v>
      </c>
      <c r="G5" s="79">
        <f t="shared" si="0"/>
        <v>1.3999999999999998E-3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42368</v>
      </c>
      <c r="C6" s="78">
        <f>_xll.qlCalendarAdvance(Calendar,SettlementDate,A6&amp;"M","mf")</f>
        <v>42373</v>
      </c>
      <c r="D6" s="78">
        <f>_xll.qlInterestRateIndexMaturity(ON_12M_index,C6)</f>
        <v>42739</v>
      </c>
      <c r="E6" s="79">
        <f>_xll.qlIndexFixing(ON_12M_index,B6,,AllTriggers)</f>
        <v>-1.8581850823209912E-3</v>
      </c>
      <c r="F6" s="80">
        <f>_xll.qlInterpolationInterpolate(BasisInterpolator,C6,TRUE,E6)</f>
        <v>3.278185082320991E-3</v>
      </c>
      <c r="G6" s="79">
        <f t="shared" si="0"/>
        <v>1.4199999999999998E-3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42398</v>
      </c>
      <c r="C7" s="78">
        <f>_xll.qlCalendarAdvance(Calendar,SettlementDate,A7&amp;"M","mf")</f>
        <v>42402</v>
      </c>
      <c r="D7" s="78">
        <f>_xll.qlInterestRateIndexMaturity(ON_12M_index,C7)</f>
        <v>42768</v>
      </c>
      <c r="E7" s="79">
        <f>_xll.qlIndexFixing(ON_12M_index,B7,,AllTriggers)</f>
        <v>-1.8759761247293504E-3</v>
      </c>
      <c r="F7" s="80">
        <f>_xll.qlInterpolationInterpolate(BasisInterpolator,C7,TRUE,E7)</f>
        <v>3.3359761247293502E-3</v>
      </c>
      <c r="G7" s="79">
        <f t="shared" si="0"/>
        <v>1.4599999999999997E-3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42429</v>
      </c>
      <c r="C8" s="78">
        <f>_xll.qlCalendarAdvance(Calendar,SettlementDate,A8&amp;"M","mf")</f>
        <v>42431</v>
      </c>
      <c r="D8" s="78">
        <f>_xll.qlInterestRateIndexMaturity(ON_12M_index,C8)</f>
        <v>42796</v>
      </c>
      <c r="E8" s="79">
        <f>_xll.qlIndexFixing(ON_12M_index,B8,,AllTriggers)</f>
        <v>-1.888162200396386E-3</v>
      </c>
      <c r="F8" s="80">
        <f>_xll.qlInterpolationInterpolate(BasisInterpolator,C8,TRUE,E8)</f>
        <v>3.3781622003963858E-3</v>
      </c>
      <c r="G8" s="79">
        <f t="shared" si="0"/>
        <v>1.4899999999999998E-3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42460</v>
      </c>
      <c r="C9" s="78">
        <f>_xll.qlCalendarAdvance(Calendar,SettlementDate,A9&amp;"M","mf")</f>
        <v>42464</v>
      </c>
      <c r="D9" s="78">
        <f>_xll.qlInterestRateIndexMaturity(ON_12M_index,C9)</f>
        <v>42829</v>
      </c>
      <c r="E9" s="79">
        <f>_xll.qlIndexFixing(ON_12M_index,B9,,AllTriggers)</f>
        <v>-1.8926872068370569E-3</v>
      </c>
      <c r="F9" s="80">
        <f>_xll.qlInterpolationInterpolate(BasisInterpolator,C9,TRUE,E9)</f>
        <v>3.4426872068370569E-3</v>
      </c>
      <c r="G9" s="79">
        <f t="shared" si="0"/>
        <v>1.5499999999999999E-3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42488</v>
      </c>
      <c r="C10" s="78">
        <f>_xll.qlCalendarAdvance(Calendar,SettlementDate,A10&amp;"M","mf")</f>
        <v>42492</v>
      </c>
      <c r="D10" s="78">
        <f>_xll.qlInterestRateIndexMaturity(ON_12M_index,C10)</f>
        <v>42857</v>
      </c>
      <c r="E10" s="79">
        <f>_xll.qlIndexFixing(ON_12M_index,B10,,AllTriggers)</f>
        <v>-1.8863692785127696E-3</v>
      </c>
      <c r="F10" s="80">
        <f>_xll.qlInterpolationInterpolate(BasisInterpolator,C10,TRUE,E10)</f>
        <v>3.4963692785127693E-3</v>
      </c>
      <c r="G10" s="79">
        <f t="shared" si="0"/>
        <v>1.6099999999999997E-3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42521</v>
      </c>
      <c r="C11" s="78">
        <f>_xll.qlCalendarAdvance(Calendar,SettlementDate,A11&amp;"M","mf")</f>
        <v>42523</v>
      </c>
      <c r="D11" s="78">
        <f>_xll.qlInterestRateIndexMaturity(ON_12M_index,C11)</f>
        <v>42888</v>
      </c>
      <c r="E11" s="79">
        <f>_xll.qlIndexFixing(ON_12M_index,B11,,AllTriggers)</f>
        <v>-1.870265271496427E-3</v>
      </c>
      <c r="F11" s="80">
        <f>_xll.qlInterpolationInterpolate(BasisInterpolator,C11,TRUE,E11)</f>
        <v>3.5402652714964268E-3</v>
      </c>
      <c r="G11" s="79">
        <f t="shared" si="0"/>
        <v>1.6699999999999998E-3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42551</v>
      </c>
      <c r="C12" s="78">
        <f>_xll.qlCalendarAdvance(Calendar,SettlementDate,A12&amp;"M","mf")</f>
        <v>42555</v>
      </c>
      <c r="D12" s="78">
        <f>_xll.qlInterestRateIndexMaturity(ON_12M_index,C12)</f>
        <v>42920</v>
      </c>
      <c r="E12" s="79">
        <f>_xll.qlIndexFixing(ON_12M_index,B12,,AllTriggers)</f>
        <v>-1.841462166369908E-3</v>
      </c>
      <c r="F12" s="80">
        <f>_xll.qlInterpolationInterpolate(BasisInterpolator,C12,TRUE,E12)</f>
        <v>3.5914621663699076E-3</v>
      </c>
      <c r="G12" s="79">
        <f t="shared" si="0"/>
        <v>1.7499999999999996E-3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42580</v>
      </c>
      <c r="C13" s="78">
        <f>_xll.qlCalendarAdvance(Calendar,SettlementDate,A13&amp;"M","mf")</f>
        <v>42584</v>
      </c>
      <c r="D13" s="78">
        <f>_xll.qlInterestRateIndexMaturity(ON_12M_index,C13)</f>
        <v>42949</v>
      </c>
      <c r="E13" s="79">
        <f>_xll.qlIndexFixing(ON_12M_index,B13,,AllTriggers)</f>
        <v>-1.8046148437726216E-3</v>
      </c>
      <c r="F13" s="80">
        <f>_xll.qlInterpolationInterpolate(BasisInterpolator,C13,TRUE,E13)</f>
        <v>3.6346148437726216E-3</v>
      </c>
      <c r="G13" s="79">
        <f t="shared" si="0"/>
        <v>1.83E-3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42613</v>
      </c>
      <c r="C14" s="82">
        <f>_xll.qlCalendarAdvance(Calendar,SettlementDate,A14&amp;"M","mf")</f>
        <v>42615</v>
      </c>
      <c r="D14" s="82">
        <f>_xll.qlInterestRateIndexMaturity(ON_12M_index,C14)</f>
        <v>42982</v>
      </c>
      <c r="E14" s="83">
        <f>_xll.qlIndexFixing(ON_12M_index,B14,,AllTriggers)</f>
        <v>-1.7520583387576148E-3</v>
      </c>
      <c r="F14" s="84">
        <f>_xll.qlInterpolationInterpolate(BasisInterpolator,C14,TRUE,E14)</f>
        <v>3.6720583387576146E-3</v>
      </c>
      <c r="G14" s="83">
        <f t="shared" si="0"/>
        <v>1.9199999999999998E-3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42642</v>
      </c>
      <c r="C15" s="74">
        <f>_xll.qlCalendarAdvance(Calendar,SettlementDate,A15&amp;"M","mf")</f>
        <v>42646</v>
      </c>
      <c r="D15" s="74">
        <f>_xll.qlInterestRateIndexMaturity(ON_12M_index,C15)</f>
        <v>43011</v>
      </c>
      <c r="E15" s="75">
        <f>_xll.qlIndexFixing(ON_12M_index,B15,,AllTriggers)</f>
        <v>-1.6911771583174098E-3</v>
      </c>
      <c r="F15" s="76">
        <f>_xll.qlInterpolationInterpolate(BasisInterpolator,C15,TRUE,E15)</f>
        <v>3.7211771583174095E-3</v>
      </c>
      <c r="G15" s="75">
        <f t="shared" si="0"/>
        <v>2.0299999999999997E-3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42674</v>
      </c>
      <c r="C16" s="78">
        <f>_xll.qlCalendarAdvance(Calendar,SettlementDate,A16&amp;"M","mf")</f>
        <v>42676</v>
      </c>
      <c r="D16" s="78">
        <f>_xll.qlInterestRateIndexMaturity(ON_12M_index,C16)</f>
        <v>43041</v>
      </c>
      <c r="E16" s="79">
        <f>_xll.qlIndexFixing(ON_12M_index,B16,,AllTriggers)</f>
        <v>-1.617951038122894E-3</v>
      </c>
      <c r="F16" s="80">
        <f>_xll.qlInterpolationInterpolate(BasisInterpolator,C16,TRUE,E16)</f>
        <v>3.7697042334231719E-3</v>
      </c>
      <c r="G16" s="79">
        <f t="shared" si="0"/>
        <v>2.1517531953002779E-3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42704</v>
      </c>
      <c r="C17" s="78">
        <f>_xll.qlCalendarAdvance(Calendar,SettlementDate,A17&amp;"M","mf")</f>
        <v>42706</v>
      </c>
      <c r="D17" s="78">
        <f>_xll.qlInterestRateIndexMaturity(ON_12M_index,C17)</f>
        <v>43073</v>
      </c>
      <c r="E17" s="79">
        <f>_xll.qlIndexFixing(ON_12M_index,B17,,AllTriggers)</f>
        <v>-1.530980315033481E-3</v>
      </c>
      <c r="F17" s="80">
        <f>_xll.qlInterpolationInterpolate(BasisInterpolator,C17,TRUE,E17)</f>
        <v>3.815247617311608E-3</v>
      </c>
      <c r="G17" s="79">
        <f t="shared" si="0"/>
        <v>2.284267302278127E-3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42733</v>
      </c>
      <c r="C18" s="78">
        <f>_xll.qlCalendarAdvance(Calendar,SettlementDate,A18&amp;"M","mf")</f>
        <v>42737</v>
      </c>
      <c r="D18" s="78">
        <f>_xll.qlInterestRateIndexMaturity(ON_12M_index,C18)</f>
        <v>43102</v>
      </c>
      <c r="E18" s="79">
        <f>_xll.qlIndexFixing(ON_12M_index,B18,,AllTriggers)</f>
        <v>-1.4408003962847191E-3</v>
      </c>
      <c r="F18" s="80">
        <f>_xll.qlInterpolationInterpolate(BasisInterpolator,C18,TRUE,E18)</f>
        <v>3.8594592538035008E-3</v>
      </c>
      <c r="G18" s="79">
        <f t="shared" si="0"/>
        <v>2.4186588575187814E-3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42766</v>
      </c>
      <c r="C19" s="78">
        <f>_xll.qlCalendarAdvance(Calendar,SettlementDate,A19&amp;"M","mf")</f>
        <v>42768</v>
      </c>
      <c r="D19" s="78">
        <f>_xll.qlInterestRateIndexMaturity(ON_12M_index,C19)</f>
        <v>43133</v>
      </c>
      <c r="E19" s="79">
        <f>_xll.qlIndexFixing(ON_12M_index,B19,,AllTriggers)</f>
        <v>-1.3304468676922274E-3</v>
      </c>
      <c r="F19" s="80">
        <f>_xll.qlInterpolationInterpolate(BasisInterpolator,C19,TRUE,E19)</f>
        <v>3.9010668306083043E-3</v>
      </c>
      <c r="G19" s="79">
        <f t="shared" si="0"/>
        <v>2.5706199629160769E-3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42794</v>
      </c>
      <c r="C20" s="78">
        <f>_xll.qlCalendarAdvance(Calendar,SettlementDate,A20&amp;"M","mf")</f>
        <v>42796</v>
      </c>
      <c r="D20" s="78">
        <f>_xll.qlInterestRateIndexMaturity(ON_12M_index,C20)</f>
        <v>43161</v>
      </c>
      <c r="E20" s="79">
        <f>_xll.qlIndexFixing(ON_12M_index,B20,,AllTriggers)</f>
        <v>-1.2237571807575257E-3</v>
      </c>
      <c r="F20" s="80">
        <f>_xll.qlInterpolationInterpolate(BasisInterpolator,C20,TRUE,E20)</f>
        <v>3.9366555838442124E-3</v>
      </c>
      <c r="G20" s="79">
        <f t="shared" si="0"/>
        <v>2.7128984030866865E-3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42824</v>
      </c>
      <c r="C21" s="78">
        <f>_xll.qlCalendarAdvance(Calendar,SettlementDate,A21&amp;"M","mf")</f>
        <v>42828</v>
      </c>
      <c r="D21" s="78">
        <f>_xll.qlInterestRateIndexMaturity(ON_12M_index,C21)</f>
        <v>43193</v>
      </c>
      <c r="E21" s="79">
        <f>_xll.qlIndexFixing(ON_12M_index,B21,,AllTriggers)</f>
        <v>-1.091753098582873E-3</v>
      </c>
      <c r="F21" s="80">
        <f>_xll.qlInterpolationInterpolate(BasisInterpolator,C21,TRUE,E21)</f>
        <v>3.9753019962523511E-3</v>
      </c>
      <c r="G21" s="79">
        <f t="shared" si="0"/>
        <v>2.8835488976694783E-3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42852</v>
      </c>
      <c r="C22" s="78">
        <f>_xll.qlCalendarAdvance(Calendar,SettlementDate,A22&amp;"M","mf")</f>
        <v>42857</v>
      </c>
      <c r="D22" s="78">
        <f>_xll.qlInterestRateIndexMaturity(ON_12M_index,C22)</f>
        <v>43222</v>
      </c>
      <c r="E22" s="79">
        <f>_xll.qlIndexFixing(ON_12M_index,B22,,AllTriggers)</f>
        <v>-9.6110523127542445E-4</v>
      </c>
      <c r="F22" s="80">
        <f>_xll.qlInterpolationInterpolate(BasisInterpolator,C22,TRUE,E22)</f>
        <v>4.0087186850642411E-3</v>
      </c>
      <c r="G22" s="79">
        <f t="shared" si="0"/>
        <v>3.0476134537888167E-3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42886</v>
      </c>
      <c r="C23" s="78">
        <f>_xll.qlCalendarAdvance(Calendar,SettlementDate,A23&amp;"M","mf")</f>
        <v>42888</v>
      </c>
      <c r="D23" s="78">
        <f>_xll.qlInterestRateIndexMaturity(ON_12M_index,C23)</f>
        <v>43255</v>
      </c>
      <c r="E23" s="79">
        <f>_xll.qlIndexFixing(ON_12M_index,B23,,AllTriggers)</f>
        <v>-8.0427785416639175E-4</v>
      </c>
      <c r="F23" s="80">
        <f>_xll.qlInterpolationInterpolate(BasisInterpolator,C23,TRUE,E23)</f>
        <v>4.0430337870274967E-3</v>
      </c>
      <c r="G23" s="79">
        <f t="shared" si="0"/>
        <v>3.238755932861105E-3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42915</v>
      </c>
      <c r="C24" s="78">
        <f>_xll.qlCalendarAdvance(Calendar,SettlementDate,A24&amp;"M","mf")</f>
        <v>42919</v>
      </c>
      <c r="D24" s="78">
        <f>_xll.qlInterestRateIndexMaturity(ON_12M_index,C24)</f>
        <v>43284</v>
      </c>
      <c r="E24" s="79">
        <f>_xll.qlIndexFixing(ON_12M_index,B24,,AllTriggers)</f>
        <v>-6.4799627954878372E-4</v>
      </c>
      <c r="F24" s="80">
        <f>_xll.qlInterpolationInterpolate(BasisInterpolator,C24,TRUE,E24)</f>
        <v>4.0761851700097081E-3</v>
      </c>
      <c r="G24" s="79">
        <f t="shared" si="0"/>
        <v>3.4281888904609242E-3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42947</v>
      </c>
      <c r="C25" s="78">
        <f>_xll.qlCalendarAdvance(Calendar,SettlementDate,A25&amp;"M","mf")</f>
        <v>42949</v>
      </c>
      <c r="D25" s="78">
        <f>_xll.qlInterestRateIndexMaturity(ON_12M_index,C25)</f>
        <v>43314</v>
      </c>
      <c r="E25" s="79">
        <f>_xll.qlIndexFixing(ON_12M_index,B25,,AllTriggers)</f>
        <v>-4.8184724752116289E-4</v>
      </c>
      <c r="F25" s="80">
        <f>_xll.qlInterpolationInterpolate(BasisInterpolator,C25,TRUE,E25)</f>
        <v>4.1074376556199492E-3</v>
      </c>
      <c r="G25" s="79">
        <f t="shared" si="0"/>
        <v>3.6255904080987863E-3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42978</v>
      </c>
      <c r="C26" s="82">
        <f>_xll.qlCalendarAdvance(Calendar,SettlementDate,A26&amp;"M","mf")</f>
        <v>42982</v>
      </c>
      <c r="D26" s="82">
        <f>_xll.qlInterestRateIndexMaturity(ON_12M_index,C26)</f>
        <v>43347</v>
      </c>
      <c r="E26" s="83">
        <f>_xll.qlIndexFixing(ON_12M_index,B26,,AllTriggers)</f>
        <v>-2.895725641163645E-4</v>
      </c>
      <c r="F26" s="84">
        <f>_xll.qlInterpolationInterpolate(BasisInterpolator,C26,TRUE,E26)</f>
        <v>4.1411963185296555E-3</v>
      </c>
      <c r="G26" s="83">
        <f t="shared" si="0"/>
        <v>3.8516237544132912E-3</v>
      </c>
      <c r="H26" s="72"/>
      <c r="Z26" s="71"/>
      <c r="AA26" s="71"/>
      <c r="AB26" s="72"/>
    </row>
    <row r="27" spans="1:28" x14ac:dyDescent="0.2">
      <c r="A27" s="336">
        <v>24</v>
      </c>
      <c r="B27" s="337">
        <f>_xll.qlInterestRateIndexFixingDate(ON_12M_index,C27)</f>
        <v>43006</v>
      </c>
      <c r="C27" s="337">
        <f>_xll.qlCalendarAdvance(Calendar,SettlementDate,A27&amp;"M","mf")</f>
        <v>43010</v>
      </c>
      <c r="D27" s="337">
        <f>_xll.qlInterestRateIndexMaturity(ON_12M_index,C27)</f>
        <v>43375</v>
      </c>
      <c r="E27" s="338">
        <f>_xll.qlIndexFixing(ON_12M_index,B27,,AllTriggers)</f>
        <v>-1.1958855942131673E-4</v>
      </c>
      <c r="F27" s="339">
        <f>_xll.qlInterpolationInterpolate(BasisInterpolator,C27,TRUE,E27)</f>
        <v>4.1695885594213175E-3</v>
      </c>
      <c r="G27" s="338">
        <f t="shared" si="0"/>
        <v>4.0500000000000006E-3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A2" sqref="A2"/>
    </sheetView>
  </sheetViews>
  <sheetFormatPr defaultRowHeight="11.25" x14ac:dyDescent="0.2"/>
  <cols>
    <col min="1" max="1" width="4.33203125" style="164" customWidth="1"/>
    <col min="2" max="2" width="7.83203125" style="164" customWidth="1"/>
    <col min="3" max="3" width="36.6640625" style="164" bestFit="1" customWidth="1"/>
    <col min="4" max="4" width="35.83203125" style="164" customWidth="1"/>
    <col min="5" max="5" width="25.6640625" style="164" customWidth="1"/>
    <col min="6" max="6" width="4.33203125" style="164" customWidth="1"/>
    <col min="7" max="7" width="7.83203125" style="164" customWidth="1"/>
    <col min="8" max="8" width="10.5" style="164" bestFit="1" customWidth="1"/>
    <col min="9" max="9" width="3.1640625" style="164" customWidth="1"/>
    <col min="10" max="10" width="10.5" style="164" bestFit="1" customWidth="1"/>
    <col min="11" max="11" width="3.1640625" style="164" customWidth="1"/>
    <col min="12" max="12" width="11.6640625" style="164" bestFit="1" customWidth="1"/>
    <col min="13" max="13" width="10.5" style="164" bestFit="1" customWidth="1"/>
    <col min="14" max="14" width="5.83203125" style="164" customWidth="1"/>
    <col min="15" max="16384" width="9.33203125" style="163"/>
  </cols>
  <sheetData>
    <row r="1" spans="1:14" x14ac:dyDescent="0.2">
      <c r="A1" s="97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98"/>
    </row>
    <row r="2" spans="1:14" ht="12" x14ac:dyDescent="0.2">
      <c r="A2" s="341"/>
      <c r="B2" s="342"/>
      <c r="C2" s="85" t="s">
        <v>139</v>
      </c>
      <c r="D2" s="85" t="s">
        <v>140</v>
      </c>
      <c r="E2" s="85" t="s">
        <v>89</v>
      </c>
      <c r="F2" s="14"/>
      <c r="G2" s="93"/>
      <c r="H2" s="94" t="s">
        <v>51</v>
      </c>
      <c r="I2" s="14"/>
      <c r="J2" s="95" t="s">
        <v>52</v>
      </c>
      <c r="K2" s="14"/>
      <c r="L2" s="93" t="s">
        <v>53</v>
      </c>
      <c r="M2" s="96" t="s">
        <v>54</v>
      </c>
      <c r="N2" s="99">
        <f>_xll.ohTrigger(M3:M7)</f>
        <v>6</v>
      </c>
    </row>
    <row r="3" spans="1:14" x14ac:dyDescent="0.2">
      <c r="A3" s="100">
        <v>1</v>
      </c>
      <c r="B3" s="154" t="s">
        <v>55</v>
      </c>
      <c r="C3" s="155" t="str">
        <f t="shared" ref="C3" si="0">Currency&amp;$B3&amp;"_SYNTH"&amp;Tenor1M&amp;QuoteSuffix</f>
        <v>EURSND_SYNTH1M_Quote</v>
      </c>
      <c r="D3" s="155" t="str">
        <f>_xll.qlSimpleQuote(C3,,RateTickValue,Permanent,EvaluationDate,ObjectOverwrite)</f>
        <v>EURSND_SYNTH1M_Quote#0002</v>
      </c>
      <c r="E3" s="160" t="str">
        <f>_xll.ohRangeRetrieveError(D3)</f>
        <v/>
      </c>
      <c r="F3" s="14"/>
      <c r="G3" s="135" t="s">
        <v>55</v>
      </c>
      <c r="H3" s="136">
        <f>'1MSynthDepo'!V11</f>
        <v>-1.1818933969509615E-3</v>
      </c>
      <c r="I3" s="15" t="s">
        <v>56</v>
      </c>
      <c r="J3" s="129">
        <v>-1.1818933969509615E-3</v>
      </c>
      <c r="K3" s="14"/>
      <c r="L3" s="117">
        <f t="array" ref="L3:L63">QuoteStatic</f>
        <v>-1.1818933969509615E-3</v>
      </c>
      <c r="M3" s="118">
        <f>_xll.qlSimpleQuoteSetValue(D3,ROUND($L3,6),EvaluationDate)</f>
        <v>-1.690000000000001E-4</v>
      </c>
      <c r="N3" s="101"/>
    </row>
    <row r="4" spans="1:14" x14ac:dyDescent="0.2">
      <c r="A4" s="102" t="str">
        <f>_xll.qlPeriodEquivalent(Months1M&amp;"M")</f>
        <v>1M</v>
      </c>
      <c r="B4" s="156" t="s">
        <v>57</v>
      </c>
      <c r="C4" s="157" t="str">
        <f t="shared" ref="C4:C7" si="1">Currency&amp;$B4&amp;"_SYNTH"&amp;Tenor1M&amp;QuoteSuffix</f>
        <v>EURSWD_SYNTH1M_Quote</v>
      </c>
      <c r="D4" s="157" t="str">
        <f>_xll.qlSimpleQuote(C4,,RateTickValue,Permanent,EvaluationDate,ObjectOverwrite)</f>
        <v>EURSWD_SYNTH1M_Quote#0002</v>
      </c>
      <c r="E4" s="161" t="str">
        <f>_xll.ohRangeRetrieveError(D4)</f>
        <v/>
      </c>
      <c r="F4" s="14"/>
      <c r="G4" s="135" t="s">
        <v>57</v>
      </c>
      <c r="H4" s="136">
        <f>'1MSynthDepo'!V12</f>
        <v>-1.2193612458258737E-3</v>
      </c>
      <c r="I4" s="15" t="s">
        <v>56</v>
      </c>
      <c r="J4" s="129">
        <v>-1.2193612458258737E-3</v>
      </c>
      <c r="K4" s="14"/>
      <c r="L4" s="117">
        <v>-1.2193612458258737E-3</v>
      </c>
      <c r="M4" s="118">
        <f>_xll.qlSimpleQuoteSetValue(D4,ROUND($L4,6),EvaluationDate)</f>
        <v>-1.200000000000001E-4</v>
      </c>
      <c r="N4" s="101"/>
    </row>
    <row r="5" spans="1:14" x14ac:dyDescent="0.2">
      <c r="A5" s="103"/>
      <c r="B5" s="156" t="s">
        <v>58</v>
      </c>
      <c r="C5" s="157" t="str">
        <f t="shared" si="1"/>
        <v>EUR2WD_SYNTH1M_Quote</v>
      </c>
      <c r="D5" s="157" t="str">
        <f>_xll.qlSimpleQuote(C5,,RateTickValue,Permanent,EvaluationDate,ObjectOverwrite)</f>
        <v>EUR2WD_SYNTH1M_Quote#0002</v>
      </c>
      <c r="E5" s="161" t="str">
        <f>_xll.ohRangeRetrieveError(D5)</f>
        <v/>
      </c>
      <c r="F5" s="14"/>
      <c r="G5" s="135" t="s">
        <v>58</v>
      </c>
      <c r="H5" s="136">
        <f>'1MSynthDepo'!V13</f>
        <v>-1.1962377503417696E-3</v>
      </c>
      <c r="I5" s="15" t="s">
        <v>56</v>
      </c>
      <c r="J5" s="129">
        <v>-1.1962377503417696E-3</v>
      </c>
      <c r="K5" s="14"/>
      <c r="L5" s="117">
        <v>-1.1962377503417696E-3</v>
      </c>
      <c r="M5" s="118">
        <f>_xll.qlSimpleQuoteSetValue(D5,ROUND($L5,6),EvaluationDate)</f>
        <v>-7.2000000000000015E-5</v>
      </c>
      <c r="N5" s="101"/>
    </row>
    <row r="6" spans="1:14" x14ac:dyDescent="0.2">
      <c r="A6" s="103"/>
      <c r="B6" s="156" t="s">
        <v>59</v>
      </c>
      <c r="C6" s="157" t="str">
        <f t="shared" si="1"/>
        <v>EUR3WD_SYNTH1M_Quote</v>
      </c>
      <c r="D6" s="157" t="str">
        <f>_xll.qlSimpleQuote(C6,,RateTickValue,Permanent,EvaluationDate,ObjectOverwrite)</f>
        <v>EUR3WD_SYNTH1M_Quote#0002</v>
      </c>
      <c r="E6" s="161" t="str">
        <f>_xll.ohRangeRetrieveError(D6)</f>
        <v/>
      </c>
      <c r="F6" s="14"/>
      <c r="G6" s="137" t="s">
        <v>59</v>
      </c>
      <c r="H6" s="136">
        <f>'1MSynthDepo'!V14</f>
        <v>-1.1792565643663011E-3</v>
      </c>
      <c r="I6" s="15" t="s">
        <v>56</v>
      </c>
      <c r="J6" s="130">
        <v>-1.1792565643663011E-3</v>
      </c>
      <c r="K6" s="14"/>
      <c r="L6" s="119">
        <v>-1.1792565643663011E-3</v>
      </c>
      <c r="M6" s="120">
        <f>_xll.qlSimpleQuoteSetValue(D6,ROUND($L6,6),EvaluationDate)</f>
        <v>-3.6000000000000008E-5</v>
      </c>
      <c r="N6" s="101"/>
    </row>
    <row r="7" spans="1:14" x14ac:dyDescent="0.2">
      <c r="A7" s="103"/>
      <c r="B7" s="158" t="s">
        <v>60</v>
      </c>
      <c r="C7" s="159" t="str">
        <f t="shared" si="1"/>
        <v>EUR1MD_SYNTH1M_Quote</v>
      </c>
      <c r="D7" s="159" t="str">
        <f>_xll.qlSimpleQuote(C7,,RateTickValue,Permanent,EvaluationDate,ObjectOverwrite)</f>
        <v>EUR1MD_SYNTH1M_Quote#0002</v>
      </c>
      <c r="E7" s="162" t="str">
        <f>_xll.ohRangeRetrieveError(D7)</f>
        <v/>
      </c>
      <c r="F7" s="14"/>
      <c r="G7" s="138" t="s">
        <v>60</v>
      </c>
      <c r="H7" s="139">
        <f>'1MSynthDepo'!V15</f>
        <v>-1.1341642445812157E-3</v>
      </c>
      <c r="I7" s="15" t="s">
        <v>56</v>
      </c>
      <c r="J7" s="131">
        <v>-1.1341642445812157E-3</v>
      </c>
      <c r="K7" s="14"/>
      <c r="L7" s="121">
        <v>-1.1341642445812157E-3</v>
      </c>
      <c r="M7" s="122">
        <f>_xll.qlSimpleQuoteSetValue(D7,ROUND($L7,6),EvaluationDate)</f>
        <v>-1.0000000000001327E-6</v>
      </c>
      <c r="N7" s="104"/>
    </row>
    <row r="8" spans="1:14" x14ac:dyDescent="0.2">
      <c r="A8" s="86">
        <v>3</v>
      </c>
      <c r="B8" s="154" t="s">
        <v>55</v>
      </c>
      <c r="C8" s="155" t="str">
        <f t="shared" ref="C8:C14" si="2">Currency&amp;$B8&amp;"_SYNTH"&amp;Tenor3M&amp;QuoteSuffix</f>
        <v>EURSND_SYNTH3M_Quote</v>
      </c>
      <c r="D8" s="155" t="str">
        <f>_xll.qlSimpleQuote(C8,,RateTickValue,Permanent,EvaluationDate,ObjectOverwrite)</f>
        <v>EURSND_SYNTH3M_Quote#0002</v>
      </c>
      <c r="E8" s="160"/>
      <c r="F8" s="16"/>
      <c r="G8" s="140" t="s">
        <v>55</v>
      </c>
      <c r="H8" s="141">
        <f>'3MSynthDepo'!I31</f>
        <v>-4.6216392257214522E-4</v>
      </c>
      <c r="I8" s="17"/>
      <c r="J8" s="129">
        <v>-4.6216392257214522E-4</v>
      </c>
      <c r="K8" s="16"/>
      <c r="L8" s="117">
        <v>-4.6216392257214522E-4</v>
      </c>
      <c r="M8" s="118">
        <f>_xll.qlSimpleQuoteSetValue(D8,ROUND($L8,6),EvaluationDate)</f>
        <v>-1.9000000000000028E-5</v>
      </c>
      <c r="N8" s="105">
        <f>_xll.ohTrigger(M8:M14)</f>
        <v>6</v>
      </c>
    </row>
    <row r="9" spans="1:14" x14ac:dyDescent="0.2">
      <c r="A9" s="102" t="str">
        <f>_xll.qlPeriodEquivalent(Months3M&amp;"M")</f>
        <v>3M</v>
      </c>
      <c r="B9" s="156" t="s">
        <v>57</v>
      </c>
      <c r="C9" s="157" t="str">
        <f t="shared" si="2"/>
        <v>EURSWD_SYNTH3M_Quote</v>
      </c>
      <c r="D9" s="157" t="str">
        <f>_xll.qlSimpleQuote(C9,,RateTickValue,Permanent,EvaluationDate,ObjectOverwrite)</f>
        <v>EURSWD_SYNTH3M_Quote#0002</v>
      </c>
      <c r="E9" s="161"/>
      <c r="F9" s="16"/>
      <c r="G9" s="142" t="s">
        <v>57</v>
      </c>
      <c r="H9" s="136">
        <f>'3MSynthDepo'!I32</f>
        <v>-5.1208307960872086E-4</v>
      </c>
      <c r="I9" s="17"/>
      <c r="J9" s="129">
        <v>-5.1208307960872086E-4</v>
      </c>
      <c r="K9" s="16"/>
      <c r="L9" s="117">
        <v>-5.1208307960872086E-4</v>
      </c>
      <c r="M9" s="118">
        <f>_xll.qlSimpleQuoteSetValue(D9,ROUND($L9,6),EvaluationDate)</f>
        <v>-1.9999999999999402E-6</v>
      </c>
      <c r="N9" s="101"/>
    </row>
    <row r="10" spans="1:14" x14ac:dyDescent="0.2">
      <c r="A10" s="106"/>
      <c r="B10" s="156" t="s">
        <v>58</v>
      </c>
      <c r="C10" s="157" t="str">
        <f t="shared" si="2"/>
        <v>EUR2WD_SYNTH3M_Quote</v>
      </c>
      <c r="D10" s="157" t="str">
        <f>_xll.qlSimpleQuote(C10,,RateTickValue,Permanent,EvaluationDate,ObjectOverwrite)</f>
        <v>EUR2WD_SYNTH3M_Quote#0002</v>
      </c>
      <c r="E10" s="161"/>
      <c r="F10" s="16"/>
      <c r="G10" s="142" t="s">
        <v>58</v>
      </c>
      <c r="H10" s="136">
        <f>'3MSynthDepo'!I33</f>
        <v>-5.0549147297105994E-4</v>
      </c>
      <c r="I10" s="17"/>
      <c r="J10" s="129">
        <v>-5.0549147297105994E-4</v>
      </c>
      <c r="K10" s="16"/>
      <c r="L10" s="117">
        <v>-5.0549147297105994E-4</v>
      </c>
      <c r="M10" s="118">
        <f>_xll.qlSimpleQuoteSetValue(D10,ROUND($L10,6),EvaluationDate)</f>
        <v>-2.0000000000000486E-6</v>
      </c>
      <c r="N10" s="101"/>
    </row>
    <row r="11" spans="1:14" x14ac:dyDescent="0.2">
      <c r="A11" s="106"/>
      <c r="B11" s="156" t="s">
        <v>59</v>
      </c>
      <c r="C11" s="157" t="str">
        <f t="shared" si="2"/>
        <v>EUR3WD_SYNTH3M_Quote</v>
      </c>
      <c r="D11" s="157" t="str">
        <f>_xll.qlSimpleQuote(C11,,RateTickValue,Permanent,EvaluationDate,ObjectOverwrite)</f>
        <v>EUR3WD_SYNTH3M_Quote#0002</v>
      </c>
      <c r="E11" s="161"/>
      <c r="F11" s="16"/>
      <c r="G11" s="143" t="s">
        <v>59</v>
      </c>
      <c r="H11" s="144">
        <f>'3MSynthDepo'!I34</f>
        <v>-4.9899359318634443E-4</v>
      </c>
      <c r="I11" s="17"/>
      <c r="J11" s="130">
        <v>-4.9899359318634443E-4</v>
      </c>
      <c r="K11" s="16"/>
      <c r="L11" s="119">
        <v>-4.9899359318634443E-4</v>
      </c>
      <c r="M11" s="120">
        <f>_xll.qlSimpleQuoteSetValue(D11,ROUND($L11,6),EvaluationDate)</f>
        <v>-1.9999999999999402E-6</v>
      </c>
      <c r="N11" s="101"/>
    </row>
    <row r="12" spans="1:14" x14ac:dyDescent="0.2">
      <c r="A12" s="106"/>
      <c r="B12" s="156" t="s">
        <v>60</v>
      </c>
      <c r="C12" s="157" t="str">
        <f t="shared" si="2"/>
        <v>EUR1MD_SYNTH3M_Quote</v>
      </c>
      <c r="D12" s="157" t="str">
        <f>_xll.qlSimpleQuote(C12,,RateTickValue,Permanent,EvaluationDate,ObjectOverwrite)</f>
        <v>EUR1MD_SYNTH3M_Quote#0002</v>
      </c>
      <c r="E12" s="161"/>
      <c r="F12" s="16"/>
      <c r="G12" s="142" t="s">
        <v>60</v>
      </c>
      <c r="H12" s="136">
        <f>'3MSynthDepo'!I35</f>
        <v>-4.5986928879109484E-4</v>
      </c>
      <c r="I12" s="17"/>
      <c r="J12" s="129">
        <v>-4.5986928879109484E-4</v>
      </c>
      <c r="K12" s="16"/>
      <c r="L12" s="117">
        <v>-4.5986928879109484E-4</v>
      </c>
      <c r="M12" s="118">
        <f>_xll.qlSimpleQuoteSetValue(D12,ROUND($L12,6),EvaluationDate)</f>
        <v>-1.9999999999999944E-6</v>
      </c>
      <c r="N12" s="101"/>
    </row>
    <row r="13" spans="1:14" x14ac:dyDescent="0.2">
      <c r="A13" s="106"/>
      <c r="B13" s="156" t="s">
        <v>61</v>
      </c>
      <c r="C13" s="157" t="str">
        <f t="shared" si="2"/>
        <v>EUR2MD_SYNTH3M_Quote</v>
      </c>
      <c r="D13" s="157" t="str">
        <f>_xll.qlSimpleQuote(C13,,RateTickValue,Permanent,EvaluationDate,ObjectOverwrite)</f>
        <v>EUR2MD_SYNTH3M_Quote#0002</v>
      </c>
      <c r="E13" s="161"/>
      <c r="F13" s="16"/>
      <c r="G13" s="142" t="s">
        <v>61</v>
      </c>
      <c r="H13" s="136">
        <f>'3MSynthDepo'!I36</f>
        <v>-4.8361993965124637E-4</v>
      </c>
      <c r="I13" s="17"/>
      <c r="J13" s="129">
        <v>-4.8361993965124637E-4</v>
      </c>
      <c r="K13" s="16"/>
      <c r="L13" s="117">
        <v>-4.8361993965124637E-4</v>
      </c>
      <c r="M13" s="118">
        <f>_xll.qlSimpleQuoteSetValue(D13,ROUND($L13,6),EvaluationDate)</f>
        <v>-1.9999999999999998E-5</v>
      </c>
      <c r="N13" s="101"/>
    </row>
    <row r="14" spans="1:14" x14ac:dyDescent="0.2">
      <c r="A14" s="91"/>
      <c r="B14" s="158" t="s">
        <v>62</v>
      </c>
      <c r="C14" s="159" t="str">
        <f t="shared" si="2"/>
        <v>EUR3MD_SYNTH3M_Quote</v>
      </c>
      <c r="D14" s="159" t="str">
        <f>_xll.qlSimpleQuote(C14,,RateTickValue,Permanent,EvaluationDate,ObjectOverwrite)</f>
        <v>EUR3MD_SYNTH3M_Quote#0002</v>
      </c>
      <c r="E14" s="162"/>
      <c r="F14" s="16"/>
      <c r="G14" s="143" t="s">
        <v>62</v>
      </c>
      <c r="H14" s="144">
        <f>'3MSynthDepo'!I37</f>
        <v>-4.3636004553916906E-4</v>
      </c>
      <c r="I14" s="17"/>
      <c r="J14" s="130">
        <v>-4.3636004553916906E-4</v>
      </c>
      <c r="K14" s="16"/>
      <c r="L14" s="119">
        <v>-4.3636004553916906E-4</v>
      </c>
      <c r="M14" s="120">
        <f>_xll.qlSimpleQuoteSetValue(D14,ROUND($L14,6),EvaluationDate)</f>
        <v>1.799999999999995E-5</v>
      </c>
      <c r="N14" s="101"/>
    </row>
    <row r="15" spans="1:14" x14ac:dyDescent="0.2">
      <c r="A15" s="100">
        <v>6</v>
      </c>
      <c r="B15" s="154" t="s">
        <v>55</v>
      </c>
      <c r="C15" s="155" t="str">
        <f t="shared" ref="C15:C24" si="3">Currency&amp;$B15&amp;"_SYNTH"&amp;Tenor6M&amp;QuoteSuffix</f>
        <v>EURSND_SYNTH6M_Quote</v>
      </c>
      <c r="D15" s="155" t="str">
        <f>_xll.qlSimpleQuote(C15,,RateTickValue,Permanent,EvaluationDate,ObjectOverwrite)</f>
        <v>EURSND_SYNTH6M_Quote#0002</v>
      </c>
      <c r="E15" s="160" t="str">
        <f>_xll.ohRangeRetrieveError(D15)</f>
        <v/>
      </c>
      <c r="F15" s="16"/>
      <c r="G15" s="140" t="s">
        <v>55</v>
      </c>
      <c r="H15" s="141">
        <f>'6MSynthDepo'!I25</f>
        <v>2.4841679715947862E-4</v>
      </c>
      <c r="I15" s="17"/>
      <c r="J15" s="129">
        <v>2.4841679715947862E-4</v>
      </c>
      <c r="K15" s="16"/>
      <c r="L15" s="117">
        <v>2.4841679715947862E-4</v>
      </c>
      <c r="M15" s="118">
        <f>_xll.qlSimpleQuoteSetValue(D15,ROUND($L15,6),EvaluationDate)</f>
        <v>-1.6000000000000009E-5</v>
      </c>
      <c r="N15" s="107">
        <f>_xll.ohTrigger(M15:M24)</f>
        <v>6</v>
      </c>
    </row>
    <row r="16" spans="1:14" x14ac:dyDescent="0.2">
      <c r="A16" s="102" t="str">
        <f>_xll.qlPeriodEquivalent(Months6M&amp;"M")</f>
        <v>6M</v>
      </c>
      <c r="B16" s="156" t="s">
        <v>57</v>
      </c>
      <c r="C16" s="157" t="str">
        <f t="shared" si="3"/>
        <v>EURSWD_SYNTH6M_Quote</v>
      </c>
      <c r="D16" s="157" t="str">
        <f>_xll.qlSimpleQuote(C16,,RateTickValue,Permanent,EvaluationDate,ObjectOverwrite)</f>
        <v>EURSWD_SYNTH6M_Quote#0002</v>
      </c>
      <c r="E16" s="161" t="str">
        <f>_xll.ohRangeRetrieveError(D16)</f>
        <v/>
      </c>
      <c r="F16" s="16"/>
      <c r="G16" s="142" t="s">
        <v>57</v>
      </c>
      <c r="H16" s="136">
        <f>'6MSynthDepo'!I26</f>
        <v>1.9915279379897503E-4</v>
      </c>
      <c r="I16" s="17"/>
      <c r="J16" s="129">
        <v>1.9915279379897503E-4</v>
      </c>
      <c r="K16" s="16"/>
      <c r="L16" s="117">
        <v>1.9915279379897503E-4</v>
      </c>
      <c r="M16" s="118">
        <f>_xll.qlSimpleQuoteSetValue(D16,ROUND($L16,6),EvaluationDate)</f>
        <v>0</v>
      </c>
      <c r="N16" s="108"/>
    </row>
    <row r="17" spans="1:14" x14ac:dyDescent="0.2">
      <c r="A17" s="109"/>
      <c r="B17" s="156" t="s">
        <v>58</v>
      </c>
      <c r="C17" s="157" t="str">
        <f t="shared" si="3"/>
        <v>EUR2WD_SYNTH6M_Quote</v>
      </c>
      <c r="D17" s="157" t="str">
        <f>_xll.qlSimpleQuote(C17,,RateTickValue,Permanent,EvaluationDate,ObjectOverwrite)</f>
        <v>EUR2WD_SYNTH6M_Quote#0002</v>
      </c>
      <c r="E17" s="161" t="str">
        <f>_xll.ohRangeRetrieveError(D17)</f>
        <v/>
      </c>
      <c r="F17" s="10"/>
      <c r="G17" s="142" t="s">
        <v>58</v>
      </c>
      <c r="H17" s="136">
        <f>'6MSynthDepo'!I27</f>
        <v>2.0689150706346533E-4</v>
      </c>
      <c r="I17" s="17"/>
      <c r="J17" s="129">
        <v>2.0689150706346533E-4</v>
      </c>
      <c r="K17" s="16"/>
      <c r="L17" s="117">
        <v>2.0689150706346533E-4</v>
      </c>
      <c r="M17" s="118">
        <f>_xll.qlSimpleQuoteSetValue(D17,ROUND($L17,6),EvaluationDate)</f>
        <v>0</v>
      </c>
      <c r="N17" s="108"/>
    </row>
    <row r="18" spans="1:14" x14ac:dyDescent="0.2">
      <c r="A18" s="106"/>
      <c r="B18" s="156" t="s">
        <v>59</v>
      </c>
      <c r="C18" s="157" t="str">
        <f t="shared" si="3"/>
        <v>EUR3WD_SYNTH6M_Quote</v>
      </c>
      <c r="D18" s="157" t="str">
        <f>_xll.qlSimpleQuote(C18,,RateTickValue,Permanent,EvaluationDate,ObjectOverwrite)</f>
        <v>EUR3WD_SYNTH6M_Quote#0002</v>
      </c>
      <c r="E18" s="161" t="str">
        <f>_xll.ohRangeRetrieveError(D18)</f>
        <v/>
      </c>
      <c r="F18" s="10"/>
      <c r="G18" s="142" t="s">
        <v>59</v>
      </c>
      <c r="H18" s="136">
        <f>'6MSynthDepo'!I28</f>
        <v>2.1453675867430126E-4</v>
      </c>
      <c r="I18" s="17"/>
      <c r="J18" s="129">
        <v>2.1453675867430126E-4</v>
      </c>
      <c r="K18" s="16"/>
      <c r="L18" s="117">
        <v>2.1453675867430126E-4</v>
      </c>
      <c r="M18" s="118">
        <f>_xll.qlSimpleQuoteSetValue(D18,ROUND($L18,6),EvaluationDate)</f>
        <v>9.999999999999972E-7</v>
      </c>
      <c r="N18" s="108"/>
    </row>
    <row r="19" spans="1:14" x14ac:dyDescent="0.2">
      <c r="A19" s="106"/>
      <c r="B19" s="156" t="s">
        <v>60</v>
      </c>
      <c r="C19" s="157" t="str">
        <f t="shared" si="3"/>
        <v>EUR1MD_SYNTH6M_Quote</v>
      </c>
      <c r="D19" s="157" t="str">
        <f>_xll.qlSimpleQuote(C19,,RateTickValue,Permanent,EvaluationDate,ObjectOverwrite)</f>
        <v>EUR1MD_SYNTH6M_Quote#0002</v>
      </c>
      <c r="E19" s="161" t="str">
        <f>_xll.ohRangeRetrieveError(D19)</f>
        <v/>
      </c>
      <c r="F19" s="10"/>
      <c r="G19" s="140" t="s">
        <v>60</v>
      </c>
      <c r="H19" s="141">
        <f>'6MSynthDepo'!I29</f>
        <v>2.5530299606777872E-4</v>
      </c>
      <c r="I19" s="40"/>
      <c r="J19" s="132">
        <v>2.5530299606777872E-4</v>
      </c>
      <c r="K19" s="41"/>
      <c r="L19" s="123">
        <v>2.5530299606777872E-4</v>
      </c>
      <c r="M19" s="124">
        <f>_xll.qlSimpleQuoteSetValue(D19,ROUND($L19,6),EvaluationDate)</f>
        <v>0</v>
      </c>
      <c r="N19" s="108"/>
    </row>
    <row r="20" spans="1:14" x14ac:dyDescent="0.2">
      <c r="A20" s="106"/>
      <c r="B20" s="156" t="s">
        <v>61</v>
      </c>
      <c r="C20" s="157" t="str">
        <f t="shared" si="3"/>
        <v>EUR2MD_SYNTH6M_Quote</v>
      </c>
      <c r="D20" s="157" t="str">
        <f>_xll.qlSimpleQuote(C20,,RateTickValue,Permanent,EvaluationDate,ObjectOverwrite)</f>
        <v>EUR2MD_SYNTH6M_Quote#0002</v>
      </c>
      <c r="E20" s="161" t="str">
        <f>_xll.ohRangeRetrieveError(D20)</f>
        <v/>
      </c>
      <c r="F20" s="10"/>
      <c r="G20" s="142" t="s">
        <v>61</v>
      </c>
      <c r="H20" s="136">
        <f>'6MSynthDepo'!I30</f>
        <v>2.3648247379867021E-4</v>
      </c>
      <c r="I20" s="17"/>
      <c r="J20" s="129">
        <v>2.3648247379867021E-4</v>
      </c>
      <c r="K20" s="16"/>
      <c r="L20" s="117">
        <v>2.3648247379867021E-4</v>
      </c>
      <c r="M20" s="118">
        <f>_xll.qlSimpleQuoteSetValue(D20,ROUND($L20,6),EvaluationDate)</f>
        <v>-1.8000000000000004E-5</v>
      </c>
      <c r="N20" s="108"/>
    </row>
    <row r="21" spans="1:14" x14ac:dyDescent="0.2">
      <c r="A21" s="106"/>
      <c r="B21" s="156" t="s">
        <v>62</v>
      </c>
      <c r="C21" s="157" t="str">
        <f t="shared" si="3"/>
        <v>EUR3MD_SYNTH6M_Quote</v>
      </c>
      <c r="D21" s="157" t="str">
        <f>_xll.qlSimpleQuote(C21,,RateTickValue,Permanent,EvaluationDate,ObjectOverwrite)</f>
        <v>EUR3MD_SYNTH6M_Quote#0002</v>
      </c>
      <c r="E21" s="161" t="str">
        <f>_xll.ohRangeRetrieveError(D21)</f>
        <v/>
      </c>
      <c r="F21" s="10"/>
      <c r="G21" s="142" t="s">
        <v>62</v>
      </c>
      <c r="H21" s="136">
        <f>'6MSynthDepo'!I31</f>
        <v>2.8921669697613866E-4</v>
      </c>
      <c r="I21" s="17"/>
      <c r="J21" s="129">
        <v>2.8921669697613866E-4</v>
      </c>
      <c r="K21" s="16"/>
      <c r="L21" s="117">
        <v>2.8921669697613866E-4</v>
      </c>
      <c r="M21" s="118">
        <f>_xll.qlSimpleQuoteSetValue(D21,ROUND($L21,6),EvaluationDate)</f>
        <v>1.8000000000000004E-5</v>
      </c>
      <c r="N21" s="108"/>
    </row>
    <row r="22" spans="1:14" x14ac:dyDescent="0.2">
      <c r="A22" s="106"/>
      <c r="B22" s="156" t="s">
        <v>63</v>
      </c>
      <c r="C22" s="157" t="str">
        <f t="shared" si="3"/>
        <v>EUR4MD_SYNTH6M_Quote</v>
      </c>
      <c r="D22" s="157" t="str">
        <f>_xll.qlSimpleQuote(C22,,RateTickValue,Permanent,EvaluationDate,ObjectOverwrite)</f>
        <v>EUR4MD_SYNTH6M_Quote#0002</v>
      </c>
      <c r="E22" s="161" t="str">
        <f>_xll.ohRangeRetrieveError(D22)</f>
        <v/>
      </c>
      <c r="F22" s="10"/>
      <c r="G22" s="142" t="s">
        <v>63</v>
      </c>
      <c r="H22" s="136">
        <f>'6MSynthDepo'!I32</f>
        <v>2.5740963889514659E-4</v>
      </c>
      <c r="I22" s="17"/>
      <c r="J22" s="129">
        <v>2.5740963889514659E-4</v>
      </c>
      <c r="K22" s="16"/>
      <c r="L22" s="117">
        <v>2.5740963889514659E-4</v>
      </c>
      <c r="M22" s="118">
        <f>_xll.qlSimpleQuoteSetValue(D22,ROUND($L22,6),EvaluationDate)</f>
        <v>-3.9999999999999888E-6</v>
      </c>
      <c r="N22" s="108"/>
    </row>
    <row r="23" spans="1:14" x14ac:dyDescent="0.2">
      <c r="A23" s="106"/>
      <c r="B23" s="156" t="s">
        <v>64</v>
      </c>
      <c r="C23" s="157" t="str">
        <f t="shared" si="3"/>
        <v>EUR5MD_SYNTH6M_Quote</v>
      </c>
      <c r="D23" s="157" t="str">
        <f>_xll.qlSimpleQuote(C23,,RateTickValue,Permanent,EvaluationDate,ObjectOverwrite)</f>
        <v>EUR5MD_SYNTH6M_Quote#0002</v>
      </c>
      <c r="E23" s="161" t="str">
        <f>_xll.ohRangeRetrieveError(D23)</f>
        <v/>
      </c>
      <c r="F23" s="10"/>
      <c r="G23" s="142" t="s">
        <v>64</v>
      </c>
      <c r="H23" s="136">
        <f>'6MSynthDepo'!I33</f>
        <v>2.4767050351172165E-4</v>
      </c>
      <c r="I23" s="17"/>
      <c r="J23" s="129">
        <v>2.4767050351172165E-4</v>
      </c>
      <c r="K23" s="16"/>
      <c r="L23" s="117">
        <v>2.4767050351172165E-4</v>
      </c>
      <c r="M23" s="118">
        <f>_xll.qlSimpleQuoteSetValue(D23,ROUND($L23,6),EvaluationDate)</f>
        <v>-2.9999999999999645E-6</v>
      </c>
      <c r="N23" s="108"/>
    </row>
    <row r="24" spans="1:14" x14ac:dyDescent="0.2">
      <c r="A24" s="91"/>
      <c r="B24" s="158" t="s">
        <v>65</v>
      </c>
      <c r="C24" s="159" t="str">
        <f t="shared" si="3"/>
        <v>EUR6MD_SYNTH6M_Quote</v>
      </c>
      <c r="D24" s="159" t="str">
        <f>_xll.qlSimpleQuote(C24,,RateTickValue,Permanent,EvaluationDate,ObjectOverwrite)</f>
        <v>EUR6MD_SYNTH6M_Quote#0002</v>
      </c>
      <c r="E24" s="162" t="str">
        <f>_xll.ohRangeRetrieveError(D24)</f>
        <v/>
      </c>
      <c r="F24" s="10"/>
      <c r="G24" s="143" t="s">
        <v>65</v>
      </c>
      <c r="H24" s="144">
        <f>'6MSynthDepo'!I34</f>
        <v>2.4264060312497609E-4</v>
      </c>
      <c r="I24" s="17"/>
      <c r="J24" s="130">
        <v>2.4264060312497609E-4</v>
      </c>
      <c r="K24" s="16"/>
      <c r="L24" s="119">
        <v>2.4264060312497609E-4</v>
      </c>
      <c r="M24" s="120">
        <f>_xll.qlSimpleQuoteSetValue(D24,ROUND($L24,6),EvaluationDate)</f>
        <v>9.999999999999972E-7</v>
      </c>
      <c r="N24" s="108"/>
    </row>
    <row r="25" spans="1:14" x14ac:dyDescent="0.2">
      <c r="A25" s="92">
        <v>12</v>
      </c>
      <c r="B25" s="156" t="s">
        <v>55</v>
      </c>
      <c r="C25" s="157" t="str">
        <f t="shared" ref="C25:C40" si="4">Currency&amp;$B25&amp;"_SYNTH"&amp;Tenor12M&amp;QuoteSuffix</f>
        <v>EURSND_SYNTH1Y_Quote</v>
      </c>
      <c r="D25" s="157" t="str">
        <f>_xll.qlSimpleQuote(C25,,RateTickValue,Permanent,EvaluationDate,ObjectOverwrite)</f>
        <v>EURSND_SYNTH1Y_Quote#0002</v>
      </c>
      <c r="E25" s="161" t="str">
        <f>_xll.ohRangeRetrieveError(D25)</f>
        <v/>
      </c>
      <c r="F25" s="16"/>
      <c r="G25" s="145" t="s">
        <v>55</v>
      </c>
      <c r="H25" s="141">
        <f>'1YSynthDepo'!I20</f>
        <v>1.4175468018873261E-3</v>
      </c>
      <c r="I25" s="17"/>
      <c r="J25" s="129">
        <v>1.4175468018873261E-3</v>
      </c>
      <c r="K25" s="16"/>
      <c r="L25" s="117">
        <v>1.4175468018873261E-3</v>
      </c>
      <c r="M25" s="118">
        <f>_xll.qlSimpleQuoteSetValue(D25,ROUND($L25,6),EvaluationDate)</f>
        <v>-2.3000000000000017E-5</v>
      </c>
      <c r="N25" s="107">
        <f>_xll.ohTrigger(M25:M40)</f>
        <v>6</v>
      </c>
    </row>
    <row r="26" spans="1:14" x14ac:dyDescent="0.2">
      <c r="A26" s="86" t="str">
        <f>_xll.qlPeriodEquivalent(Months12M&amp;"M")</f>
        <v>1Y</v>
      </c>
      <c r="B26" s="156" t="s">
        <v>57</v>
      </c>
      <c r="C26" s="157" t="str">
        <f t="shared" si="4"/>
        <v>EURSWD_SYNTH1Y_Quote</v>
      </c>
      <c r="D26" s="157" t="str">
        <f>_xll.qlSimpleQuote(C26,,RateTickValue,Permanent,EvaluationDate,ObjectOverwrite)</f>
        <v>EURSWD_SYNTH1Y_Quote#0002</v>
      </c>
      <c r="E26" s="161" t="str">
        <f>_xll.ohRangeRetrieveError(D26)</f>
        <v/>
      </c>
      <c r="F26" s="16"/>
      <c r="G26" s="146" t="s">
        <v>57</v>
      </c>
      <c r="H26" s="136">
        <f>'1YSynthDepo'!I21</f>
        <v>1.3667900797211172E-3</v>
      </c>
      <c r="I26" s="17"/>
      <c r="J26" s="129">
        <v>1.3667900797211172E-3</v>
      </c>
      <c r="K26" s="16"/>
      <c r="L26" s="117">
        <v>1.3667900797211172E-3</v>
      </c>
      <c r="M26" s="118">
        <f>_xll.qlSimpleQuoteSetValue(D26,ROUND($L26,6),EvaluationDate)</f>
        <v>-7.0000000000000617E-6</v>
      </c>
      <c r="N26" s="108"/>
    </row>
    <row r="27" spans="1:14" x14ac:dyDescent="0.2">
      <c r="A27" s="88"/>
      <c r="B27" s="156" t="s">
        <v>58</v>
      </c>
      <c r="C27" s="157" t="str">
        <f t="shared" si="4"/>
        <v>EUR2WD_SYNTH1Y_Quote</v>
      </c>
      <c r="D27" s="157" t="str">
        <f>_xll.qlSimpleQuote(C27,,RateTickValue,Permanent,EvaluationDate,ObjectOverwrite)</f>
        <v>EUR2WD_SYNTH1Y_Quote#0002</v>
      </c>
      <c r="E27" s="161" t="str">
        <f>_xll.ohRangeRetrieveError(D27)</f>
        <v/>
      </c>
      <c r="F27" s="10"/>
      <c r="G27" s="146" t="s">
        <v>58</v>
      </c>
      <c r="H27" s="136">
        <f>'1YSynthDepo'!I22</f>
        <v>1.3720079071712274E-3</v>
      </c>
      <c r="I27" s="17"/>
      <c r="J27" s="129">
        <v>1.3720079071712274E-3</v>
      </c>
      <c r="K27" s="16"/>
      <c r="L27" s="117">
        <v>1.3720079071712274E-3</v>
      </c>
      <c r="M27" s="118">
        <f>_xll.qlSimpleQuoteSetValue(D27,ROUND($L27,6),EvaluationDate)</f>
        <v>-7.0000000000000617E-6</v>
      </c>
      <c r="N27" s="108"/>
    </row>
    <row r="28" spans="1:14" x14ac:dyDescent="0.2">
      <c r="A28" s="88"/>
      <c r="B28" s="156" t="s">
        <v>59</v>
      </c>
      <c r="C28" s="157" t="str">
        <f t="shared" si="4"/>
        <v>EUR3WD_SYNTH1Y_Quote</v>
      </c>
      <c r="D28" s="157" t="str">
        <f>_xll.qlSimpleQuote(C28,,RateTickValue,Permanent,EvaluationDate,ObjectOverwrite)</f>
        <v>EUR3WD_SYNTH1Y_Quote#0002</v>
      </c>
      <c r="E28" s="161" t="str">
        <f>_xll.ohRangeRetrieveError(D28)</f>
        <v/>
      </c>
      <c r="F28" s="10"/>
      <c r="G28" s="146" t="s">
        <v>59</v>
      </c>
      <c r="H28" s="136">
        <f>'1YSynthDepo'!I23</f>
        <v>1.3772460871981046E-3</v>
      </c>
      <c r="I28" s="17"/>
      <c r="J28" s="129">
        <v>1.3772460871981046E-3</v>
      </c>
      <c r="K28" s="16"/>
      <c r="L28" s="117">
        <v>1.3772460871981046E-3</v>
      </c>
      <c r="M28" s="118">
        <f>_xll.qlSimpleQuoteSetValue(D28,ROUND($L28,6),EvaluationDate)</f>
        <v>-7.0000000000000617E-6</v>
      </c>
      <c r="N28" s="108"/>
    </row>
    <row r="29" spans="1:14" x14ac:dyDescent="0.2">
      <c r="A29" s="88"/>
      <c r="B29" s="156" t="s">
        <v>60</v>
      </c>
      <c r="C29" s="157" t="str">
        <f t="shared" si="4"/>
        <v>EUR1MD_SYNTH1Y_Quote</v>
      </c>
      <c r="D29" s="157" t="str">
        <f>_xll.qlSimpleQuote(C29,,RateTickValue,Permanent,EvaluationDate,ObjectOverwrite)</f>
        <v>EUR1MD_SYNTH1Y_Quote#0002</v>
      </c>
      <c r="E29" s="161" t="str">
        <f>_xll.ohRangeRetrieveError(D29)</f>
        <v/>
      </c>
      <c r="F29" s="10"/>
      <c r="G29" s="147" t="s">
        <v>60</v>
      </c>
      <c r="H29" s="144">
        <f>'1YSynthDepo'!I24</f>
        <v>1.4147710458356499E-3</v>
      </c>
      <c r="I29" s="17"/>
      <c r="J29" s="130">
        <v>1.4147710458356499E-3</v>
      </c>
      <c r="K29" s="16"/>
      <c r="L29" s="119">
        <v>1.4147710458356499E-3</v>
      </c>
      <c r="M29" s="120">
        <f>_xll.qlSimpleQuoteSetValue(D29,ROUND($L29,6),EvaluationDate)</f>
        <v>-5.999999999999929E-6</v>
      </c>
      <c r="N29" s="108"/>
    </row>
    <row r="30" spans="1:14" x14ac:dyDescent="0.2">
      <c r="A30" s="88"/>
      <c r="B30" s="156" t="s">
        <v>61</v>
      </c>
      <c r="C30" s="157" t="str">
        <f t="shared" si="4"/>
        <v>EUR2MD_SYNTH1Y_Quote</v>
      </c>
      <c r="D30" s="157" t="str">
        <f>_xll.qlSimpleQuote(C30,,RateTickValue,Permanent,EvaluationDate,ObjectOverwrite)</f>
        <v>EUR2MD_SYNTH1Y_Quote#0002</v>
      </c>
      <c r="E30" s="161" t="str">
        <f>_xll.ohRangeRetrieveError(D30)</f>
        <v/>
      </c>
      <c r="F30" s="10"/>
      <c r="G30" s="146" t="s">
        <v>61</v>
      </c>
      <c r="H30" s="136">
        <f>'1YSynthDepo'!I25</f>
        <v>1.3875411050914604E-3</v>
      </c>
      <c r="I30" s="17"/>
      <c r="J30" s="129">
        <v>1.3875411050914604E-3</v>
      </c>
      <c r="K30" s="16"/>
      <c r="L30" s="117">
        <v>1.3875411050914604E-3</v>
      </c>
      <c r="M30" s="118">
        <f>_xll.qlSimpleQuoteSetValue(D30,ROUND($L30,6),EvaluationDate)</f>
        <v>-2.3000000000000017E-5</v>
      </c>
      <c r="N30" s="107"/>
    </row>
    <row r="31" spans="1:14" x14ac:dyDescent="0.2">
      <c r="A31" s="88"/>
      <c r="B31" s="156" t="s">
        <v>62</v>
      </c>
      <c r="C31" s="157" t="str">
        <f t="shared" si="4"/>
        <v>EUR3MD_SYNTH1Y_Quote</v>
      </c>
      <c r="D31" s="157" t="str">
        <f>_xll.qlSimpleQuote(C31,,RateTickValue,Permanent,EvaluationDate,ObjectOverwrite)</f>
        <v>EUR3MD_SYNTH1Y_Quote#0002</v>
      </c>
      <c r="E31" s="161" t="str">
        <f>_xll.ohRangeRetrieveError(D31)</f>
        <v/>
      </c>
      <c r="F31" s="10"/>
      <c r="G31" s="146" t="s">
        <v>62</v>
      </c>
      <c r="H31" s="136">
        <f>'1YSynthDepo'!I26</f>
        <v>1.4332284729959347E-3</v>
      </c>
      <c r="I31" s="17"/>
      <c r="J31" s="129">
        <v>1.4332284729959347E-3</v>
      </c>
      <c r="K31" s="16"/>
      <c r="L31" s="117">
        <v>1.4332284729959347E-3</v>
      </c>
      <c r="M31" s="118">
        <f>_xll.qlSimpleQuoteSetValue(D31,ROUND($L31,6),EvaluationDate)</f>
        <v>1.4000000000000123E-5</v>
      </c>
      <c r="N31" s="108"/>
    </row>
    <row r="32" spans="1:14" x14ac:dyDescent="0.2">
      <c r="A32" s="88"/>
      <c r="B32" s="156" t="s">
        <v>63</v>
      </c>
      <c r="C32" s="157" t="str">
        <f t="shared" si="4"/>
        <v>EUR4MD_SYNTH1Y_Quote</v>
      </c>
      <c r="D32" s="157" t="str">
        <f>_xll.qlSimpleQuote(C32,,RateTickValue,Permanent,EvaluationDate,ObjectOverwrite)</f>
        <v>EUR4MD_SYNTH1Y_Quote#0002</v>
      </c>
      <c r="E32" s="161" t="str">
        <f>_xll.ohRangeRetrieveError(D32)</f>
        <v/>
      </c>
      <c r="F32" s="10"/>
      <c r="G32" s="146" t="s">
        <v>63</v>
      </c>
      <c r="H32" s="136">
        <f>'1YSynthDepo'!I27</f>
        <v>1.3969750873161605E-3</v>
      </c>
      <c r="I32" s="17"/>
      <c r="J32" s="129">
        <v>1.3969750873161605E-3</v>
      </c>
      <c r="K32" s="16"/>
      <c r="L32" s="117">
        <v>1.3969750873161605E-3</v>
      </c>
      <c r="M32" s="118">
        <f>_xll.qlSimpleQuoteSetValue(D32,ROUND($L32,6),EvaluationDate)</f>
        <v>-7.0000000000000617E-6</v>
      </c>
      <c r="N32" s="108"/>
    </row>
    <row r="33" spans="1:14" x14ac:dyDescent="0.2">
      <c r="A33" s="88"/>
      <c r="B33" s="156" t="s">
        <v>64</v>
      </c>
      <c r="C33" s="157" t="str">
        <f t="shared" si="4"/>
        <v>EUR5MD_SYNTH1Y_Quote</v>
      </c>
      <c r="D33" s="157" t="str">
        <f>_xll.qlSimpleQuote(C33,,RateTickValue,Permanent,EvaluationDate,ObjectOverwrite)</f>
        <v>EUR5MD_SYNTH1Y_Quote#0002</v>
      </c>
      <c r="E33" s="161" t="str">
        <f>_xll.ohRangeRetrieveError(D33)</f>
        <v/>
      </c>
      <c r="F33" s="16"/>
      <c r="G33" s="146" t="s">
        <v>64</v>
      </c>
      <c r="H33" s="136">
        <f>'1YSynthDepo'!I28</f>
        <v>1.3843348357612864E-3</v>
      </c>
      <c r="I33" s="17"/>
      <c r="J33" s="129">
        <v>1.3843348357612864E-3</v>
      </c>
      <c r="K33" s="16"/>
      <c r="L33" s="117">
        <v>1.3843348357612864E-3</v>
      </c>
      <c r="M33" s="118">
        <f>_xll.qlSimpleQuoteSetValue(D33,ROUND($L33,6),EvaluationDate)</f>
        <v>-5.999999999999929E-6</v>
      </c>
      <c r="N33" s="108"/>
    </row>
    <row r="34" spans="1:14" x14ac:dyDescent="0.2">
      <c r="A34" s="88"/>
      <c r="B34" s="156" t="s">
        <v>65</v>
      </c>
      <c r="C34" s="157" t="str">
        <f t="shared" si="4"/>
        <v>EUR6MD_SYNTH1Y_Quote</v>
      </c>
      <c r="D34" s="157" t="str">
        <f>_xll.qlSimpleQuote(C34,,RateTickValue,Permanent,EvaluationDate,ObjectOverwrite)</f>
        <v>EUR6MD_SYNTH1Y_Quote#0002</v>
      </c>
      <c r="E34" s="161" t="str">
        <f>_xll.ohRangeRetrieveError(D34)</f>
        <v/>
      </c>
      <c r="F34" s="16"/>
      <c r="G34" s="146" t="s">
        <v>65</v>
      </c>
      <c r="H34" s="136">
        <f>'1YSynthDepo'!I29</f>
        <v>1.3777408141027985E-3</v>
      </c>
      <c r="I34" s="17"/>
      <c r="J34" s="129">
        <v>1.3777408141027985E-3</v>
      </c>
      <c r="K34" s="16"/>
      <c r="L34" s="117">
        <v>1.3777408141027985E-3</v>
      </c>
      <c r="M34" s="118">
        <f>_xll.qlSimpleQuoteSetValue(D34,ROUND($L34,6),EvaluationDate)</f>
        <v>-9.9999999999991589E-7</v>
      </c>
      <c r="N34" s="108"/>
    </row>
    <row r="35" spans="1:14" x14ac:dyDescent="0.2">
      <c r="A35" s="88"/>
      <c r="B35" s="156" t="s">
        <v>66</v>
      </c>
      <c r="C35" s="157" t="str">
        <f t="shared" si="4"/>
        <v>EUR7MD_SYNTH1Y_Quote</v>
      </c>
      <c r="D35" s="157" t="str">
        <f>_xll.qlSimpleQuote(C35,,RateTickValue,Permanent,EvaluationDate,ObjectOverwrite)</f>
        <v>EUR7MD_SYNTH1Y_Quote#0002</v>
      </c>
      <c r="E35" s="161" t="str">
        <f>_xll.ohRangeRetrieveError(D35)</f>
        <v/>
      </c>
      <c r="F35" s="16"/>
      <c r="G35" s="146" t="s">
        <v>66</v>
      </c>
      <c r="H35" s="136">
        <f>'1YSynthDepo'!I30</f>
        <v>1.4030768007941069E-3</v>
      </c>
      <c r="I35" s="17"/>
      <c r="J35" s="129">
        <v>1.4030768007941069E-3</v>
      </c>
      <c r="K35" s="16"/>
      <c r="L35" s="117">
        <v>1.4030768007941069E-3</v>
      </c>
      <c r="M35" s="118">
        <f>_xll.qlSimpleQuoteSetValue(D35,ROUND($L35,6),EvaluationDate)</f>
        <v>0</v>
      </c>
      <c r="N35" s="108"/>
    </row>
    <row r="36" spans="1:14" x14ac:dyDescent="0.2">
      <c r="A36" s="88"/>
      <c r="B36" s="156" t="s">
        <v>67</v>
      </c>
      <c r="C36" s="157" t="str">
        <f t="shared" si="4"/>
        <v>EUR8MD_SYNTH1Y_Quote</v>
      </c>
      <c r="D36" s="157" t="str">
        <f>_xll.qlSimpleQuote(C36,,RateTickValue,Permanent,EvaluationDate,ObjectOverwrite)</f>
        <v>EUR8MD_SYNTH1Y_Quote#0002</v>
      </c>
      <c r="E36" s="161" t="str">
        <f>_xll.ohRangeRetrieveError(D36)</f>
        <v/>
      </c>
      <c r="F36" s="16"/>
      <c r="G36" s="146" t="s">
        <v>67</v>
      </c>
      <c r="H36" s="136">
        <f>'1YSynthDepo'!I31</f>
        <v>1.4030768007941069E-3</v>
      </c>
      <c r="I36" s="17"/>
      <c r="J36" s="129">
        <v>1.4030768007941069E-3</v>
      </c>
      <c r="K36" s="16"/>
      <c r="L36" s="117">
        <v>1.4030768007941069E-3</v>
      </c>
      <c r="M36" s="118">
        <f>_xll.qlSimpleQuoteSetValue(D36,ROUND($L36,6),EvaluationDate)</f>
        <v>0</v>
      </c>
      <c r="N36" s="108"/>
    </row>
    <row r="37" spans="1:14" x14ac:dyDescent="0.2">
      <c r="A37" s="89"/>
      <c r="B37" s="156" t="s">
        <v>68</v>
      </c>
      <c r="C37" s="157" t="str">
        <f t="shared" si="4"/>
        <v>EUR9MD_SYNTH1Y_Quote</v>
      </c>
      <c r="D37" s="157" t="str">
        <f>_xll.qlSimpleQuote(C37,,RateTickValue,Permanent,EvaluationDate,ObjectOverwrite)</f>
        <v>EUR9MD_SYNTH1Y_Quote#0002</v>
      </c>
      <c r="E37" s="161" t="str">
        <f>_xll.ohRangeRetrieveError(D37)</f>
        <v/>
      </c>
      <c r="F37" s="16"/>
      <c r="G37" s="146" t="s">
        <v>68</v>
      </c>
      <c r="H37" s="136">
        <f>'1YSynthDepo'!I32</f>
        <v>1.4030768007941069E-3</v>
      </c>
      <c r="I37" s="17"/>
      <c r="J37" s="129">
        <v>1.4030768007941069E-3</v>
      </c>
      <c r="K37" s="16"/>
      <c r="L37" s="117">
        <v>1.4030768007941069E-3</v>
      </c>
      <c r="M37" s="118">
        <f>_xll.qlSimpleQuoteSetValue(D37,ROUND($L37,6),EvaluationDate)</f>
        <v>0</v>
      </c>
      <c r="N37" s="108"/>
    </row>
    <row r="38" spans="1:14" x14ac:dyDescent="0.2">
      <c r="A38" s="90"/>
      <c r="B38" s="156" t="s">
        <v>69</v>
      </c>
      <c r="C38" s="157" t="str">
        <f t="shared" si="4"/>
        <v>EUR10MD_SYNTH1Y_Quote</v>
      </c>
      <c r="D38" s="157" t="str">
        <f>_xll.qlSimpleQuote(C38,,RateTickValue,Permanent,EvaluationDate,ObjectOverwrite)</f>
        <v>EUR10MD_SYNTH1Y_Quote#0002</v>
      </c>
      <c r="E38" s="161" t="str">
        <f>_xll.ohRangeRetrieveError(D38)</f>
        <v/>
      </c>
      <c r="F38" s="16"/>
      <c r="G38" s="146" t="s">
        <v>69</v>
      </c>
      <c r="H38" s="136">
        <f>'1YSynthDepo'!I33</f>
        <v>1.4030768007941069E-3</v>
      </c>
      <c r="I38" s="17"/>
      <c r="J38" s="129">
        <v>1.4030768007941069E-3</v>
      </c>
      <c r="K38" s="16"/>
      <c r="L38" s="117">
        <v>1.4030768007941069E-3</v>
      </c>
      <c r="M38" s="118">
        <f>_xll.qlSimpleQuoteSetValue(D38,ROUND($L38,6),EvaluationDate)</f>
        <v>0</v>
      </c>
      <c r="N38" s="108"/>
    </row>
    <row r="39" spans="1:14" x14ac:dyDescent="0.2">
      <c r="A39" s="88"/>
      <c r="B39" s="156" t="s">
        <v>70</v>
      </c>
      <c r="C39" s="157" t="str">
        <f t="shared" si="4"/>
        <v>EUR11MD_SYNTH1Y_Quote</v>
      </c>
      <c r="D39" s="157" t="str">
        <f>_xll.qlSimpleQuote(C39,,RateTickValue,Permanent,EvaluationDate,ObjectOverwrite)</f>
        <v>EUR11MD_SYNTH1Y_Quote#0002</v>
      </c>
      <c r="E39" s="161" t="str">
        <f>_xll.ohRangeRetrieveError(D39)</f>
        <v/>
      </c>
      <c r="F39" s="16"/>
      <c r="G39" s="146" t="s">
        <v>70</v>
      </c>
      <c r="H39" s="136">
        <f>'1YSynthDepo'!I34</f>
        <v>1.4030768007941069E-3</v>
      </c>
      <c r="I39" s="17"/>
      <c r="J39" s="129">
        <v>1.4030768007941069E-3</v>
      </c>
      <c r="K39" s="16"/>
      <c r="L39" s="117">
        <v>1.4030768007941069E-3</v>
      </c>
      <c r="M39" s="118">
        <f>_xll.qlSimpleQuoteSetValue(D39,ROUND($L39,6),EvaluationDate)</f>
        <v>0</v>
      </c>
      <c r="N39" s="108"/>
    </row>
    <row r="40" spans="1:14" x14ac:dyDescent="0.2">
      <c r="A40" s="91"/>
      <c r="B40" s="158" t="s">
        <v>71</v>
      </c>
      <c r="C40" s="157" t="str">
        <f t="shared" si="4"/>
        <v>EUR1YD_SYNTH1Y_Quote</v>
      </c>
      <c r="D40" s="157" t="str">
        <f>_xll.qlSimpleQuote(C40,,RateTickValue,Permanent,EvaluationDate,ObjectOverwrite)</f>
        <v>EUR1YD_SYNTH1Y_Quote#0002</v>
      </c>
      <c r="E40" s="161" t="str">
        <f>_xll.ohRangeRetrieveError(D40)</f>
        <v/>
      </c>
      <c r="F40" s="16"/>
      <c r="G40" s="147" t="s">
        <v>71</v>
      </c>
      <c r="H40" s="144">
        <f>'1YSynthDepo'!I35</f>
        <v>1.4030768007941069E-3</v>
      </c>
      <c r="I40" s="17"/>
      <c r="J40" s="130">
        <v>1.4030768007941069E-3</v>
      </c>
      <c r="K40" s="16"/>
      <c r="L40" s="119">
        <v>1.4030768007941069E-3</v>
      </c>
      <c r="M40" s="120">
        <f>_xll.qlSimpleQuoteSetValue(D40,ROUND($L40,6),EvaluationDate)</f>
        <v>0</v>
      </c>
      <c r="N40" s="107"/>
    </row>
    <row r="41" spans="1:14" x14ac:dyDescent="0.2">
      <c r="A41" s="87">
        <v>1</v>
      </c>
      <c r="B41" s="154" t="str">
        <f t="shared" ref="B41:B63" si="5">A41&amp;"x"&amp;A41+Months12M&amp;"F"</f>
        <v>1x13F</v>
      </c>
      <c r="C41" s="155" t="str">
        <f t="shared" ref="C41:C63" si="6">Currency&amp;$B41&amp;"_SYNTH"&amp;"1Y"&amp;"_Quote"</f>
        <v>EUR1x13F_SYNTH1Y_Quote</v>
      </c>
      <c r="D41" s="155" t="str">
        <f>_xll.qlSimpleQuote(C41,,RateTickValue,Permanent,Trigger,ObjectOverwrite)</f>
        <v>EUR1x13F_SYNTH1Y_Quote#0002</v>
      </c>
      <c r="E41" s="160" t="str">
        <f>_xll.ohRangeRetrieveError(D41)</f>
        <v/>
      </c>
      <c r="F41" s="10">
        <v>1</v>
      </c>
      <c r="G41" s="148" t="str">
        <f t="shared" ref="G41:G62" si="7">F41&amp;"x"&amp;(F41+Months12M)&amp;"F"</f>
        <v>1x13F</v>
      </c>
      <c r="H41" s="149">
        <f>SynthFra!G4</f>
        <v>1.3999999999999998E-3</v>
      </c>
      <c r="I41" s="18"/>
      <c r="J41" s="133">
        <v>1.3999999999999998E-3</v>
      </c>
      <c r="K41" s="19"/>
      <c r="L41" s="125">
        <v>1.3999999999999998E-3</v>
      </c>
      <c r="M41" s="126">
        <f>_xll.qlSimpleQuoteSetValue(D41,ROUND(L41,6),EvaluationDate)</f>
        <v>0</v>
      </c>
      <c r="N41" s="107">
        <f>_xll.ohTrigger(M41:M63)</f>
        <v>6</v>
      </c>
    </row>
    <row r="42" spans="1:14" x14ac:dyDescent="0.2">
      <c r="A42" s="110">
        <v>2</v>
      </c>
      <c r="B42" s="156" t="str">
        <f t="shared" si="5"/>
        <v>2x14F</v>
      </c>
      <c r="C42" s="157" t="str">
        <f t="shared" si="6"/>
        <v>EUR2x14F_SYNTH1Y_Quote</v>
      </c>
      <c r="D42" s="157" t="str">
        <f>_xll.qlSimpleQuote(C42,,RateTickValue,Permanent,Trigger,ObjectOverwrite)</f>
        <v>EUR2x14F_SYNTH1Y_Quote#0002</v>
      </c>
      <c r="E42" s="161" t="str">
        <f>_xll.ohRangeRetrieveError(D42)</f>
        <v/>
      </c>
      <c r="F42" s="10">
        <v>2</v>
      </c>
      <c r="G42" s="150" t="str">
        <f t="shared" si="7"/>
        <v>2x14F</v>
      </c>
      <c r="H42" s="151">
        <f>SynthFra!G5</f>
        <v>1.3999999999999998E-3</v>
      </c>
      <c r="I42" s="19"/>
      <c r="J42" s="133">
        <v>1.3999999999999998E-3</v>
      </c>
      <c r="K42" s="19"/>
      <c r="L42" s="125">
        <v>1.3999999999999998E-3</v>
      </c>
      <c r="M42" s="126">
        <f>_xll.qlSimpleQuoteSetValue(D42,ROUND(L42,6),EvaluationDate)</f>
        <v>0</v>
      </c>
      <c r="N42" s="108"/>
    </row>
    <row r="43" spans="1:14" x14ac:dyDescent="0.2">
      <c r="A43" s="110">
        <v>3</v>
      </c>
      <c r="B43" s="156" t="str">
        <f t="shared" si="5"/>
        <v>3x15F</v>
      </c>
      <c r="C43" s="157" t="str">
        <f t="shared" si="6"/>
        <v>EUR3x15F_SYNTH1Y_Quote</v>
      </c>
      <c r="D43" s="157" t="str">
        <f>_xll.qlSimpleQuote(C43,,RateTickValue,Permanent,Trigger,ObjectOverwrite)</f>
        <v>EUR3x15F_SYNTH1Y_Quote#0002</v>
      </c>
      <c r="E43" s="161" t="str">
        <f>_xll.ohRangeRetrieveError(D43)</f>
        <v/>
      </c>
      <c r="F43" s="10">
        <v>3</v>
      </c>
      <c r="G43" s="150" t="str">
        <f t="shared" si="7"/>
        <v>3x15F</v>
      </c>
      <c r="H43" s="151">
        <f>SynthFra!G6</f>
        <v>1.4199999999999998E-3</v>
      </c>
      <c r="I43" s="19"/>
      <c r="J43" s="133">
        <v>1.4199999999999998E-3</v>
      </c>
      <c r="K43" s="19"/>
      <c r="L43" s="125">
        <v>1.4199999999999998E-3</v>
      </c>
      <c r="M43" s="126">
        <f>_xll.qlSimpleQuoteSetValue(D43,ROUND(L43,6),EvaluationDate)</f>
        <v>0</v>
      </c>
      <c r="N43" s="108"/>
    </row>
    <row r="44" spans="1:14" x14ac:dyDescent="0.2">
      <c r="A44" s="110">
        <v>4</v>
      </c>
      <c r="B44" s="156" t="str">
        <f t="shared" si="5"/>
        <v>4x16F</v>
      </c>
      <c r="C44" s="157" t="str">
        <f t="shared" si="6"/>
        <v>EUR4x16F_SYNTH1Y_Quote</v>
      </c>
      <c r="D44" s="157" t="str">
        <f>_xll.qlSimpleQuote(C44,,RateTickValue,Permanent,Trigger,ObjectOverwrite)</f>
        <v>EUR4x16F_SYNTH1Y_Quote#0002</v>
      </c>
      <c r="E44" s="161" t="str">
        <f>_xll.ohRangeRetrieveError(D44)</f>
        <v/>
      </c>
      <c r="F44" s="10">
        <v>4</v>
      </c>
      <c r="G44" s="150" t="str">
        <f t="shared" si="7"/>
        <v>4x16F</v>
      </c>
      <c r="H44" s="151">
        <f>SynthFra!G7</f>
        <v>1.4599999999999997E-3</v>
      </c>
      <c r="I44" s="19"/>
      <c r="J44" s="133">
        <v>1.4599999999999997E-3</v>
      </c>
      <c r="K44" s="19"/>
      <c r="L44" s="125">
        <v>1.4599999999999997E-3</v>
      </c>
      <c r="M44" s="126">
        <f>_xll.qlSimpleQuoteSetValue(D44,ROUND(L44,6),EvaluationDate)</f>
        <v>0</v>
      </c>
      <c r="N44" s="108"/>
    </row>
    <row r="45" spans="1:14" x14ac:dyDescent="0.2">
      <c r="A45" s="110">
        <v>5</v>
      </c>
      <c r="B45" s="156" t="str">
        <f t="shared" si="5"/>
        <v>5x17F</v>
      </c>
      <c r="C45" s="157" t="str">
        <f t="shared" si="6"/>
        <v>EUR5x17F_SYNTH1Y_Quote</v>
      </c>
      <c r="D45" s="157" t="str">
        <f>_xll.qlSimpleQuote(C45,,RateTickValue,Permanent,Trigger,ObjectOverwrite)</f>
        <v>EUR5x17F_SYNTH1Y_Quote#0002</v>
      </c>
      <c r="E45" s="161" t="str">
        <f>_xll.ohRangeRetrieveError(D45)</f>
        <v/>
      </c>
      <c r="F45" s="10">
        <v>5</v>
      </c>
      <c r="G45" s="150" t="str">
        <f t="shared" si="7"/>
        <v>5x17F</v>
      </c>
      <c r="H45" s="151">
        <f>SynthFra!G8</f>
        <v>1.4899999999999998E-3</v>
      </c>
      <c r="I45" s="19"/>
      <c r="J45" s="133">
        <v>1.4899999999999998E-3</v>
      </c>
      <c r="K45" s="19"/>
      <c r="L45" s="125">
        <v>1.4899999999999998E-3</v>
      </c>
      <c r="M45" s="126">
        <f>_xll.qlSimpleQuoteSetValue(D45,ROUND(L45,6),EvaluationDate)</f>
        <v>0</v>
      </c>
      <c r="N45" s="108"/>
    </row>
    <row r="46" spans="1:14" x14ac:dyDescent="0.2">
      <c r="A46" s="110">
        <v>6</v>
      </c>
      <c r="B46" s="156" t="str">
        <f t="shared" si="5"/>
        <v>6x18F</v>
      </c>
      <c r="C46" s="157" t="str">
        <f t="shared" si="6"/>
        <v>EUR6x18F_SYNTH1Y_Quote</v>
      </c>
      <c r="D46" s="157" t="str">
        <f>_xll.qlSimpleQuote(C46,,RateTickValue,Permanent,Trigger,ObjectOverwrite)</f>
        <v>EUR6x18F_SYNTH1Y_Quote#0002</v>
      </c>
      <c r="E46" s="161" t="str">
        <f>_xll.ohRangeRetrieveError(D46)</f>
        <v/>
      </c>
      <c r="F46" s="10">
        <v>6</v>
      </c>
      <c r="G46" s="150" t="str">
        <f t="shared" si="7"/>
        <v>6x18F</v>
      </c>
      <c r="H46" s="151">
        <f>SynthFra!G9</f>
        <v>1.5499999999999999E-3</v>
      </c>
      <c r="I46" s="19"/>
      <c r="J46" s="133">
        <v>1.5499999999999999E-3</v>
      </c>
      <c r="K46" s="19"/>
      <c r="L46" s="125">
        <v>1.5499999999999999E-3</v>
      </c>
      <c r="M46" s="126">
        <f>_xll.qlSimpleQuoteSetValue(D46,ROUND(L46,6),EvaluationDate)</f>
        <v>0</v>
      </c>
      <c r="N46" s="108"/>
    </row>
    <row r="47" spans="1:14" x14ac:dyDescent="0.2">
      <c r="A47" s="110">
        <v>7</v>
      </c>
      <c r="B47" s="156" t="str">
        <f t="shared" si="5"/>
        <v>7x19F</v>
      </c>
      <c r="C47" s="157" t="str">
        <f t="shared" si="6"/>
        <v>EUR7x19F_SYNTH1Y_Quote</v>
      </c>
      <c r="D47" s="157" t="str">
        <f>_xll.qlSimpleQuote(C47,,RateTickValue,Permanent,Trigger,ObjectOverwrite)</f>
        <v>EUR7x19F_SYNTH1Y_Quote#0002</v>
      </c>
      <c r="E47" s="161" t="str">
        <f>_xll.ohRangeRetrieveError(D47)</f>
        <v/>
      </c>
      <c r="F47" s="10">
        <v>7</v>
      </c>
      <c r="G47" s="150" t="str">
        <f t="shared" si="7"/>
        <v>7x19F</v>
      </c>
      <c r="H47" s="151">
        <f>SynthFra!G10</f>
        <v>1.6099999999999997E-3</v>
      </c>
      <c r="I47" s="19"/>
      <c r="J47" s="133">
        <v>1.6099999999999997E-3</v>
      </c>
      <c r="K47" s="19"/>
      <c r="L47" s="125">
        <v>1.6099999999999997E-3</v>
      </c>
      <c r="M47" s="126">
        <f>_xll.qlSimpleQuoteSetValue(D47,ROUND(L47,6),EvaluationDate)</f>
        <v>0</v>
      </c>
      <c r="N47" s="108"/>
    </row>
    <row r="48" spans="1:14" x14ac:dyDescent="0.2">
      <c r="A48" s="110">
        <v>8</v>
      </c>
      <c r="B48" s="156" t="str">
        <f t="shared" si="5"/>
        <v>8x20F</v>
      </c>
      <c r="C48" s="157" t="str">
        <f t="shared" si="6"/>
        <v>EUR8x20F_SYNTH1Y_Quote</v>
      </c>
      <c r="D48" s="157" t="str">
        <f>_xll.qlSimpleQuote(C48,,RateTickValue,Permanent,Trigger,ObjectOverwrite)</f>
        <v>EUR8x20F_SYNTH1Y_Quote#0002</v>
      </c>
      <c r="E48" s="161" t="str">
        <f>_xll.ohRangeRetrieveError(D48)</f>
        <v/>
      </c>
      <c r="F48" s="10">
        <v>8</v>
      </c>
      <c r="G48" s="150" t="str">
        <f t="shared" si="7"/>
        <v>8x20F</v>
      </c>
      <c r="H48" s="151">
        <f>SynthFra!G11</f>
        <v>1.6699999999999998E-3</v>
      </c>
      <c r="I48" s="19"/>
      <c r="J48" s="133">
        <v>1.6699999999999998E-3</v>
      </c>
      <c r="K48" s="19"/>
      <c r="L48" s="125">
        <v>1.6699999999999998E-3</v>
      </c>
      <c r="M48" s="126">
        <f>_xll.qlSimpleQuoteSetValue(D48,ROUND(L48,6),EvaluationDate)</f>
        <v>0</v>
      </c>
      <c r="N48" s="108"/>
    </row>
    <row r="49" spans="1:14" x14ac:dyDescent="0.2">
      <c r="A49" s="110">
        <v>9</v>
      </c>
      <c r="B49" s="156" t="str">
        <f t="shared" si="5"/>
        <v>9x21F</v>
      </c>
      <c r="C49" s="157" t="str">
        <f t="shared" si="6"/>
        <v>EUR9x21F_SYNTH1Y_Quote</v>
      </c>
      <c r="D49" s="157" t="str">
        <f>_xll.qlSimpleQuote(C49,,RateTickValue,Permanent,Trigger,ObjectOverwrite)</f>
        <v>EUR9x21F_SYNTH1Y_Quote#0002</v>
      </c>
      <c r="E49" s="161" t="str">
        <f>_xll.ohRangeRetrieveError(D49)</f>
        <v/>
      </c>
      <c r="F49" s="10">
        <v>9</v>
      </c>
      <c r="G49" s="150" t="str">
        <f t="shared" si="7"/>
        <v>9x21F</v>
      </c>
      <c r="H49" s="151">
        <f>SynthFra!G12</f>
        <v>1.7499999999999996E-3</v>
      </c>
      <c r="I49" s="19"/>
      <c r="J49" s="133">
        <v>1.7499999999999996E-3</v>
      </c>
      <c r="K49" s="19"/>
      <c r="L49" s="125">
        <v>1.7499999999999996E-3</v>
      </c>
      <c r="M49" s="126">
        <f>_xll.qlSimpleQuoteSetValue(D49,ROUND(L49,6),EvaluationDate)</f>
        <v>0</v>
      </c>
      <c r="N49" s="108"/>
    </row>
    <row r="50" spans="1:14" x14ac:dyDescent="0.2">
      <c r="A50" s="110">
        <v>10</v>
      </c>
      <c r="B50" s="156" t="str">
        <f t="shared" si="5"/>
        <v>10x22F</v>
      </c>
      <c r="C50" s="157" t="str">
        <f t="shared" si="6"/>
        <v>EUR10x22F_SYNTH1Y_Quote</v>
      </c>
      <c r="D50" s="157" t="str">
        <f>_xll.qlSimpleQuote(C50,,RateTickValue,Permanent,Trigger,ObjectOverwrite)</f>
        <v>EUR10x22F_SYNTH1Y_Quote#0002</v>
      </c>
      <c r="E50" s="161" t="str">
        <f>_xll.ohRangeRetrieveError(D50)</f>
        <v/>
      </c>
      <c r="F50" s="10">
        <v>10</v>
      </c>
      <c r="G50" s="150" t="str">
        <f t="shared" si="7"/>
        <v>10x22F</v>
      </c>
      <c r="H50" s="151">
        <f>SynthFra!G13</f>
        <v>1.83E-3</v>
      </c>
      <c r="I50" s="19"/>
      <c r="J50" s="133">
        <v>1.83E-3</v>
      </c>
      <c r="K50" s="19"/>
      <c r="L50" s="125">
        <v>1.83E-3</v>
      </c>
      <c r="M50" s="126">
        <f>_xll.qlSimpleQuoteSetValue(D50,ROUND(L50,6),EvaluationDate)</f>
        <v>0</v>
      </c>
      <c r="N50" s="108"/>
    </row>
    <row r="51" spans="1:14" x14ac:dyDescent="0.2">
      <c r="A51" s="110">
        <v>11</v>
      </c>
      <c r="B51" s="156" t="str">
        <f t="shared" si="5"/>
        <v>11x23F</v>
      </c>
      <c r="C51" s="157" t="str">
        <f t="shared" si="6"/>
        <v>EUR11x23F_SYNTH1Y_Quote</v>
      </c>
      <c r="D51" s="157" t="str">
        <f>_xll.qlSimpleQuote(C51,,RateTickValue,Permanent,Trigger,ObjectOverwrite)</f>
        <v>EUR11x23F_SYNTH1Y_Quote#0002</v>
      </c>
      <c r="E51" s="161" t="str">
        <f>_xll.ohRangeRetrieveError(D51)</f>
        <v/>
      </c>
      <c r="F51" s="10">
        <v>11</v>
      </c>
      <c r="G51" s="150" t="str">
        <f t="shared" si="7"/>
        <v>11x23F</v>
      </c>
      <c r="H51" s="151">
        <f>SynthFra!G14</f>
        <v>1.9199999999999998E-3</v>
      </c>
      <c r="I51" s="19"/>
      <c r="J51" s="133">
        <v>1.9199999999999998E-3</v>
      </c>
      <c r="K51" s="19"/>
      <c r="L51" s="125">
        <v>1.9199999999999998E-3</v>
      </c>
      <c r="M51" s="126">
        <f>_xll.qlSimpleQuoteSetValue(D51,ROUND(L51,6),EvaluationDate)</f>
        <v>0</v>
      </c>
      <c r="N51" s="108"/>
    </row>
    <row r="52" spans="1:14" x14ac:dyDescent="0.2">
      <c r="A52" s="110">
        <v>13</v>
      </c>
      <c r="B52" s="156" t="str">
        <f t="shared" si="5"/>
        <v>13x25F</v>
      </c>
      <c r="C52" s="157" t="str">
        <f t="shared" si="6"/>
        <v>EUR13x25F_SYNTH1Y_Quote</v>
      </c>
      <c r="D52" s="157" t="str">
        <f>_xll.qlSimpleQuote(C52,,RateTickValue,Permanent,Trigger,ObjectOverwrite)</f>
        <v>EUR13x25F_SYNTH1Y_Quote#0002</v>
      </c>
      <c r="E52" s="161" t="str">
        <f>_xll.ohRangeRetrieveError(D52)</f>
        <v/>
      </c>
      <c r="F52" s="10">
        <v>13</v>
      </c>
      <c r="G52" s="150" t="str">
        <f t="shared" si="7"/>
        <v>13x25F</v>
      </c>
      <c r="H52" s="151">
        <f>SynthFra!G16</f>
        <v>2.1517531953002779E-3</v>
      </c>
      <c r="I52" s="19"/>
      <c r="J52" s="133">
        <v>2.1517531953002779E-3</v>
      </c>
      <c r="K52" s="19"/>
      <c r="L52" s="125">
        <v>2.1517531953002779E-3</v>
      </c>
      <c r="M52" s="126">
        <f>_xll.qlSimpleQuoteSetValue(D52,ROUND(L52,6),EvaluationDate)</f>
        <v>0</v>
      </c>
      <c r="N52" s="108"/>
    </row>
    <row r="53" spans="1:14" x14ac:dyDescent="0.2">
      <c r="A53" s="110">
        <v>14</v>
      </c>
      <c r="B53" s="156" t="str">
        <f t="shared" si="5"/>
        <v>14x26F</v>
      </c>
      <c r="C53" s="157" t="str">
        <f t="shared" si="6"/>
        <v>EUR14x26F_SYNTH1Y_Quote</v>
      </c>
      <c r="D53" s="157" t="str">
        <f>_xll.qlSimpleQuote(C53,,RateTickValue,Permanent,Trigger,ObjectOverwrite)</f>
        <v>EUR14x26F_SYNTH1Y_Quote#0002</v>
      </c>
      <c r="E53" s="161" t="str">
        <f>_xll.ohRangeRetrieveError(D53)</f>
        <v/>
      </c>
      <c r="F53" s="10">
        <v>14</v>
      </c>
      <c r="G53" s="150" t="str">
        <f t="shared" si="7"/>
        <v>14x26F</v>
      </c>
      <c r="H53" s="151">
        <f>SynthFra!G17</f>
        <v>2.284267302278127E-3</v>
      </c>
      <c r="I53" s="19"/>
      <c r="J53" s="133">
        <v>2.284267302278127E-3</v>
      </c>
      <c r="K53" s="19"/>
      <c r="L53" s="125">
        <v>2.284267302278127E-3</v>
      </c>
      <c r="M53" s="126">
        <f>_xll.qlSimpleQuoteSetValue(D53,ROUND(L53,6),EvaluationDate)</f>
        <v>-1.9999999999998318E-6</v>
      </c>
      <c r="N53" s="108"/>
    </row>
    <row r="54" spans="1:14" x14ac:dyDescent="0.2">
      <c r="A54" s="110">
        <v>15</v>
      </c>
      <c r="B54" s="156" t="str">
        <f t="shared" si="5"/>
        <v>15x27F</v>
      </c>
      <c r="C54" s="157" t="str">
        <f t="shared" si="6"/>
        <v>EUR15x27F_SYNTH1Y_Quote</v>
      </c>
      <c r="D54" s="157" t="str">
        <f>_xll.qlSimpleQuote(C54,,RateTickValue,Permanent,Trigger,ObjectOverwrite)</f>
        <v>EUR15x27F_SYNTH1Y_Quote#0002</v>
      </c>
      <c r="E54" s="161" t="str">
        <f>_xll.ohRangeRetrieveError(D54)</f>
        <v/>
      </c>
      <c r="F54" s="10">
        <v>15</v>
      </c>
      <c r="G54" s="150" t="str">
        <f t="shared" si="7"/>
        <v>15x27F</v>
      </c>
      <c r="H54" s="151">
        <f>SynthFra!G18</f>
        <v>2.4186588575187814E-3</v>
      </c>
      <c r="I54" s="19"/>
      <c r="J54" s="133">
        <v>2.4186588575187814E-3</v>
      </c>
      <c r="K54" s="19"/>
      <c r="L54" s="125">
        <v>2.4186588575187814E-3</v>
      </c>
      <c r="M54" s="126">
        <f>_xll.qlSimpleQuoteSetValue(D54,ROUND(L54,6),EvaluationDate)</f>
        <v>1.0000000000001327E-6</v>
      </c>
      <c r="N54" s="108"/>
    </row>
    <row r="55" spans="1:14" x14ac:dyDescent="0.2">
      <c r="A55" s="110">
        <v>16</v>
      </c>
      <c r="B55" s="156" t="str">
        <f t="shared" si="5"/>
        <v>16x28F</v>
      </c>
      <c r="C55" s="157" t="str">
        <f t="shared" si="6"/>
        <v>EUR16x28F_SYNTH1Y_Quote</v>
      </c>
      <c r="D55" s="157" t="str">
        <f>_xll.qlSimpleQuote(C55,,RateTickValue,Permanent,Trigger,ObjectOverwrite)</f>
        <v>EUR16x28F_SYNTH1Y_Quote#0002</v>
      </c>
      <c r="E55" s="161" t="str">
        <f>_xll.ohRangeRetrieveError(D55)</f>
        <v/>
      </c>
      <c r="F55" s="10">
        <v>16</v>
      </c>
      <c r="G55" s="150" t="str">
        <f t="shared" si="7"/>
        <v>16x28F</v>
      </c>
      <c r="H55" s="151">
        <f>SynthFra!G19</f>
        <v>2.5706199629160769E-3</v>
      </c>
      <c r="I55" s="19"/>
      <c r="J55" s="133">
        <v>2.5706199629160769E-3</v>
      </c>
      <c r="K55" s="19"/>
      <c r="L55" s="125">
        <v>2.5706199629160769E-3</v>
      </c>
      <c r="M55" s="126">
        <f>_xll.qlSimpleQuoteSetValue(D55,ROUND(L55,6),EvaluationDate)</f>
        <v>1.9999999999998318E-6</v>
      </c>
      <c r="N55" s="108"/>
    </row>
    <row r="56" spans="1:14" x14ac:dyDescent="0.2">
      <c r="A56" s="110">
        <v>17</v>
      </c>
      <c r="B56" s="156" t="str">
        <f t="shared" si="5"/>
        <v>17x29F</v>
      </c>
      <c r="C56" s="157" t="str">
        <f t="shared" si="6"/>
        <v>EUR17x29F_SYNTH1Y_Quote</v>
      </c>
      <c r="D56" s="157" t="str">
        <f>_xll.qlSimpleQuote(C56,,RateTickValue,Permanent,Trigger,ObjectOverwrite)</f>
        <v>EUR17x29F_SYNTH1Y_Quote#0002</v>
      </c>
      <c r="E56" s="161" t="str">
        <f>_xll.ohRangeRetrieveError(D56)</f>
        <v/>
      </c>
      <c r="F56" s="10">
        <v>17</v>
      </c>
      <c r="G56" s="150" t="str">
        <f t="shared" si="7"/>
        <v>17x29F</v>
      </c>
      <c r="H56" s="151">
        <f>SynthFra!G20</f>
        <v>2.7128984030866865E-3</v>
      </c>
      <c r="I56" s="19"/>
      <c r="J56" s="133">
        <v>2.7128984030866865E-3</v>
      </c>
      <c r="K56" s="19"/>
      <c r="L56" s="125">
        <v>2.7128984030866865E-3</v>
      </c>
      <c r="M56" s="126">
        <f>_xll.qlSimpleQuoteSetValue(D56,ROUND(L56,6),EvaluationDate)</f>
        <v>1.0000000000001327E-6</v>
      </c>
      <c r="N56" s="108"/>
    </row>
    <row r="57" spans="1:14" x14ac:dyDescent="0.2">
      <c r="A57" s="110">
        <v>18</v>
      </c>
      <c r="B57" s="156" t="str">
        <f t="shared" si="5"/>
        <v>18x30F</v>
      </c>
      <c r="C57" s="157" t="str">
        <f t="shared" si="6"/>
        <v>EUR18x30F_SYNTH1Y_Quote</v>
      </c>
      <c r="D57" s="157" t="str">
        <f>_xll.qlSimpleQuote(C57,,RateTickValue,Permanent,Trigger,ObjectOverwrite)</f>
        <v>EUR18x30F_SYNTH1Y_Quote#0002</v>
      </c>
      <c r="E57" s="161" t="str">
        <f>_xll.ohRangeRetrieveError(D57)</f>
        <v/>
      </c>
      <c r="F57" s="10">
        <v>18</v>
      </c>
      <c r="G57" s="150" t="str">
        <f t="shared" si="7"/>
        <v>18x30F</v>
      </c>
      <c r="H57" s="151">
        <f>SynthFra!G21</f>
        <v>2.8835488976694783E-3</v>
      </c>
      <c r="I57" s="19"/>
      <c r="J57" s="133">
        <v>2.8835488976694783E-3</v>
      </c>
      <c r="K57" s="19"/>
      <c r="L57" s="125">
        <v>2.8835488976694783E-3</v>
      </c>
      <c r="M57" s="126">
        <f>_xll.qlSimpleQuoteSetValue(D57,ROUND(L57,6),EvaluationDate)</f>
        <v>-1.0000000000001327E-6</v>
      </c>
      <c r="N57" s="108"/>
    </row>
    <row r="58" spans="1:14" x14ac:dyDescent="0.2">
      <c r="A58" s="110">
        <v>19</v>
      </c>
      <c r="B58" s="156" t="str">
        <f t="shared" si="5"/>
        <v>19x31F</v>
      </c>
      <c r="C58" s="157" t="str">
        <f t="shared" si="6"/>
        <v>EUR19x31F_SYNTH1Y_Quote</v>
      </c>
      <c r="D58" s="157" t="str">
        <f>_xll.qlSimpleQuote(C58,,RateTickValue,Permanent,Trigger,ObjectOverwrite)</f>
        <v>EUR19x31F_SYNTH1Y_Quote#0002</v>
      </c>
      <c r="E58" s="161" t="str">
        <f>_xll.ohRangeRetrieveError(D58)</f>
        <v/>
      </c>
      <c r="F58" s="10">
        <v>19</v>
      </c>
      <c r="G58" s="150" t="str">
        <f t="shared" si="7"/>
        <v>19x31F</v>
      </c>
      <c r="H58" s="151">
        <f>SynthFra!G22</f>
        <v>3.0476134537888167E-3</v>
      </c>
      <c r="I58" s="19"/>
      <c r="J58" s="133">
        <v>3.0476134537888167E-3</v>
      </c>
      <c r="K58" s="19"/>
      <c r="L58" s="125">
        <v>3.0476134537888167E-3</v>
      </c>
      <c r="M58" s="126">
        <f>_xll.qlSimpleQuoteSetValue(D58,ROUND(L58,6),EvaluationDate)</f>
        <v>-2.0000000000002655E-6</v>
      </c>
      <c r="N58" s="108"/>
    </row>
    <row r="59" spans="1:14" x14ac:dyDescent="0.2">
      <c r="A59" s="110">
        <v>20</v>
      </c>
      <c r="B59" s="156" t="str">
        <f t="shared" si="5"/>
        <v>20x32F</v>
      </c>
      <c r="C59" s="157" t="str">
        <f t="shared" si="6"/>
        <v>EUR20x32F_SYNTH1Y_Quote</v>
      </c>
      <c r="D59" s="157" t="str">
        <f>_xll.qlSimpleQuote(C59,,RateTickValue,Permanent,Trigger,ObjectOverwrite)</f>
        <v>EUR20x32F_SYNTH1Y_Quote#0002</v>
      </c>
      <c r="E59" s="161" t="str">
        <f>_xll.ohRangeRetrieveError(D59)</f>
        <v/>
      </c>
      <c r="F59" s="10">
        <v>20</v>
      </c>
      <c r="G59" s="150" t="str">
        <f t="shared" si="7"/>
        <v>20x32F</v>
      </c>
      <c r="H59" s="151">
        <f>SynthFra!G23</f>
        <v>3.238755932861105E-3</v>
      </c>
      <c r="I59" s="19"/>
      <c r="J59" s="133">
        <v>3.238755932861105E-3</v>
      </c>
      <c r="K59" s="19"/>
      <c r="L59" s="125">
        <v>3.238755932861105E-3</v>
      </c>
      <c r="M59" s="126">
        <f>_xll.qlSimpleQuoteSetValue(D59,ROUND(L59,6),EvaluationDate)</f>
        <v>-9.9999999999969905E-7</v>
      </c>
      <c r="N59" s="108"/>
    </row>
    <row r="60" spans="1:14" x14ac:dyDescent="0.2">
      <c r="A60" s="110">
        <v>21</v>
      </c>
      <c r="B60" s="156" t="str">
        <f t="shared" si="5"/>
        <v>21x33F</v>
      </c>
      <c r="C60" s="157" t="str">
        <f t="shared" si="6"/>
        <v>EUR21x33F_SYNTH1Y_Quote</v>
      </c>
      <c r="D60" s="157" t="str">
        <f>_xll.qlSimpleQuote(C60,,RateTickValue,Permanent,Trigger,ObjectOverwrite)</f>
        <v>EUR21x33F_SYNTH1Y_Quote#0002</v>
      </c>
      <c r="E60" s="161" t="str">
        <f>_xll.ohRangeRetrieveError(D60)</f>
        <v/>
      </c>
      <c r="F60" s="10">
        <v>21</v>
      </c>
      <c r="G60" s="150" t="str">
        <f t="shared" si="7"/>
        <v>21x33F</v>
      </c>
      <c r="H60" s="151">
        <f>SynthFra!G24</f>
        <v>3.4281888904609242E-3</v>
      </c>
      <c r="I60" s="19"/>
      <c r="J60" s="133">
        <v>3.4281888904609242E-3</v>
      </c>
      <c r="K60" s="19"/>
      <c r="L60" s="125">
        <v>3.4281888904609242E-3</v>
      </c>
      <c r="M60" s="126">
        <f>_xll.qlSimpleQuoteSetValue(D60,ROUND(L60,6),EvaluationDate)</f>
        <v>-1.0000000000001327E-6</v>
      </c>
      <c r="N60" s="108"/>
    </row>
    <row r="61" spans="1:14" x14ac:dyDescent="0.2">
      <c r="A61" s="110">
        <v>22</v>
      </c>
      <c r="B61" s="156" t="str">
        <f t="shared" si="5"/>
        <v>22x34F</v>
      </c>
      <c r="C61" s="157" t="str">
        <f t="shared" si="6"/>
        <v>EUR22x34F_SYNTH1Y_Quote</v>
      </c>
      <c r="D61" s="157" t="str">
        <f>_xll.qlSimpleQuote(C61,,RateTickValue,Permanent,Trigger,ObjectOverwrite)</f>
        <v>EUR22x34F_SYNTH1Y_Quote#0002</v>
      </c>
      <c r="E61" s="161" t="str">
        <f>_xll.ohRangeRetrieveError(D61)</f>
        <v/>
      </c>
      <c r="F61" s="10">
        <v>22</v>
      </c>
      <c r="G61" s="150" t="str">
        <f t="shared" si="7"/>
        <v>22x34F</v>
      </c>
      <c r="H61" s="151">
        <f>SynthFra!G25</f>
        <v>3.6255904080987863E-3</v>
      </c>
      <c r="I61" s="19"/>
      <c r="J61" s="133">
        <v>3.6255904080987863E-3</v>
      </c>
      <c r="K61" s="19"/>
      <c r="L61" s="125">
        <v>3.6255904080987863E-3</v>
      </c>
      <c r="M61" s="126">
        <f>_xll.qlSimpleQuoteSetValue(D61,ROUND(L61,6),EvaluationDate)</f>
        <v>0</v>
      </c>
      <c r="N61" s="108"/>
    </row>
    <row r="62" spans="1:14" x14ac:dyDescent="0.2">
      <c r="A62" s="110">
        <v>23</v>
      </c>
      <c r="B62" s="156" t="str">
        <f t="shared" si="5"/>
        <v>23x35F</v>
      </c>
      <c r="C62" s="157" t="str">
        <f t="shared" si="6"/>
        <v>EUR23x35F_SYNTH1Y_Quote</v>
      </c>
      <c r="D62" s="157" t="str">
        <f>_xll.qlSimpleQuote(C62,,RateTickValue,Permanent,Trigger,ObjectOverwrite)</f>
        <v>EUR23x35F_SYNTH1Y_Quote#0002</v>
      </c>
      <c r="E62" s="161" t="str">
        <f>_xll.ohRangeRetrieveError(D62)</f>
        <v/>
      </c>
      <c r="F62" s="10">
        <v>23</v>
      </c>
      <c r="G62" s="150" t="str">
        <f t="shared" si="7"/>
        <v>23x35F</v>
      </c>
      <c r="H62" s="151">
        <f>SynthFra!G26</f>
        <v>3.8516237544132912E-3</v>
      </c>
      <c r="I62" s="19"/>
      <c r="J62" s="133">
        <v>3.8516237544132912E-3</v>
      </c>
      <c r="K62" s="19"/>
      <c r="L62" s="125">
        <v>3.8516237544132912E-3</v>
      </c>
      <c r="M62" s="126">
        <f>_xll.qlSimpleQuoteSetValue(D62,ROUND(L62,6),EvaluationDate)</f>
        <v>1.0000000000001327E-6</v>
      </c>
      <c r="N62" s="108"/>
    </row>
    <row r="63" spans="1:14" x14ac:dyDescent="0.2">
      <c r="A63" s="111">
        <v>24</v>
      </c>
      <c r="B63" s="158" t="str">
        <f t="shared" si="5"/>
        <v>24x36F</v>
      </c>
      <c r="C63" s="159" t="str">
        <f t="shared" si="6"/>
        <v>EUR24x36F_SYNTH1Y_Quote</v>
      </c>
      <c r="D63" s="159" t="str">
        <f>_xll.qlSimpleQuote(C63,,RateTickValue,Permanent,Trigger,ObjectOverwrite)</f>
        <v>EUR24x36F_SYNTH1Y_Quote#0002</v>
      </c>
      <c r="E63" s="162" t="str">
        <f>_xll.ohRangeRetrieveError(D63)</f>
        <v/>
      </c>
      <c r="F63" s="10">
        <v>24</v>
      </c>
      <c r="G63" s="152" t="str">
        <f t="shared" ref="G63" si="8">F63&amp;"x"&amp;(F63+Months12M)&amp;"F"</f>
        <v>24x36F</v>
      </c>
      <c r="H63" s="153">
        <f>SynthFra!G27</f>
        <v>4.0500000000000006E-3</v>
      </c>
      <c r="I63" s="19"/>
      <c r="J63" s="134">
        <v>4.0500000000000006E-3</v>
      </c>
      <c r="K63" s="19"/>
      <c r="L63" s="127">
        <v>4.0500000000000006E-3</v>
      </c>
      <c r="M63" s="128">
        <f>_xll.qlSimpleQuoteSetValue(D63,ROUND(L63,6),EvaluationDate)</f>
        <v>0</v>
      </c>
      <c r="N63" s="108"/>
    </row>
    <row r="64" spans="1:14" x14ac:dyDescent="0.2">
      <c r="A64" s="112"/>
      <c r="B64" s="113"/>
      <c r="C64" s="114"/>
      <c r="D64" s="114"/>
      <c r="E64" s="114"/>
      <c r="F64" s="115"/>
      <c r="G64" s="115"/>
      <c r="H64" s="115"/>
      <c r="I64" s="115"/>
      <c r="J64" s="115"/>
      <c r="K64" s="115"/>
      <c r="L64" s="115"/>
      <c r="M64" s="115"/>
      <c r="N64" s="11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2015-11-11T17:44:29Z</dcterms:modified>
</cp:coreProperties>
</file>