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18600" windowHeight="13635" firstSheet="1" activeTab="6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'3MSynthDepo'!$T$13:$T$17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'3MSynthDepo'!$R$18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L3" i="33" l="1" a="1"/>
  <c r="G63" i="33" l="1"/>
  <c r="Q3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2"/>
  <c r="R3" i="40"/>
  <c r="R3" i="51"/>
  <c r="D7" i="52" l="1"/>
  <c r="A8" i="52"/>
  <c r="C8" i="52" s="1"/>
  <c r="A7" i="51"/>
  <c r="C7" i="51" s="1"/>
  <c r="C6" i="51"/>
  <c r="D6" i="5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K1" i="45"/>
  <c r="J5" i="45" l="1"/>
  <c r="J6" i="45"/>
  <c r="J7" i="45"/>
  <c r="J8" i="45"/>
  <c r="J9" i="45"/>
  <c r="J4" i="45"/>
  <c r="K4" i="45"/>
  <c r="L1" i="45"/>
  <c r="K5" i="45"/>
  <c r="K7" i="45"/>
  <c r="L7" i="45" s="1"/>
  <c r="K6" i="45"/>
  <c r="K8" i="45"/>
  <c r="L8" i="45" s="1"/>
  <c r="L6" i="45"/>
  <c r="K9" i="45"/>
  <c r="D6" i="40" l="1"/>
  <c r="D5" i="40"/>
  <c r="A7" i="40"/>
  <c r="L9" i="45"/>
  <c r="L5" i="45"/>
  <c r="L4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E8" i="52"/>
  <c r="U12" i="45"/>
  <c r="E7" i="51"/>
  <c r="H30" i="40"/>
  <c r="E13" i="52"/>
  <c r="G35" i="52"/>
  <c r="E6" i="52"/>
  <c r="F6" i="52" s="1"/>
  <c r="G32" i="40"/>
  <c r="E9" i="52"/>
  <c r="H22" i="52"/>
  <c r="R6" i="45"/>
  <c r="G34" i="52"/>
  <c r="G27" i="51"/>
  <c r="G34" i="40"/>
  <c r="H28" i="52"/>
  <c r="H29" i="52"/>
  <c r="H23" i="52"/>
  <c r="G20" i="52"/>
  <c r="R7" i="45"/>
  <c r="G26" i="40"/>
  <c r="H26" i="51"/>
  <c r="E14" i="52"/>
  <c r="R5" i="45"/>
  <c r="U11" i="45"/>
  <c r="G30" i="51"/>
  <c r="G29" i="40"/>
  <c r="G31" i="51"/>
  <c r="H25" i="40"/>
  <c r="H21" i="52"/>
  <c r="G26" i="51"/>
  <c r="H27" i="40"/>
  <c r="M13" i="52"/>
  <c r="G25" i="51"/>
  <c r="E15" i="52"/>
  <c r="G29" i="51"/>
  <c r="H29" i="40"/>
  <c r="G30" i="40"/>
  <c r="T14" i="45"/>
  <c r="G26" i="52"/>
  <c r="G31" i="52"/>
  <c r="H32" i="40"/>
  <c r="E9" i="51"/>
  <c r="F9" i="51" s="1"/>
  <c r="H28" i="51"/>
  <c r="H25" i="52"/>
  <c r="H27" i="51"/>
  <c r="E12" i="52"/>
  <c r="F12" i="52" s="1"/>
  <c r="G28" i="40"/>
  <c r="H24" i="52"/>
  <c r="T15" i="45"/>
  <c r="G27" i="52"/>
  <c r="H26" i="52"/>
  <c r="G21" i="52"/>
  <c r="E16" i="52"/>
  <c r="G22" i="52"/>
  <c r="M12" i="52"/>
  <c r="H29" i="51"/>
  <c r="M8" i="52"/>
  <c r="H30" i="52"/>
  <c r="E7" i="52"/>
  <c r="F7" i="52" s="1"/>
  <c r="H26" i="40"/>
  <c r="G33" i="40"/>
  <c r="T11" i="45"/>
  <c r="U14" i="45"/>
  <c r="U13" i="45"/>
  <c r="H34" i="52"/>
  <c r="T12" i="45"/>
  <c r="H32" i="52"/>
  <c r="G23" i="52"/>
  <c r="H35" i="52"/>
  <c r="M9" i="52"/>
  <c r="G32" i="52"/>
  <c r="G28" i="52"/>
  <c r="G33" i="52"/>
  <c r="H30" i="51"/>
  <c r="H31" i="51"/>
  <c r="H28" i="40"/>
  <c r="H20" i="52"/>
  <c r="G25" i="52"/>
  <c r="C11" i="51"/>
  <c r="E5" i="51"/>
  <c r="G27" i="40"/>
  <c r="E5" i="52"/>
  <c r="F5" i="52" s="1"/>
  <c r="H34" i="40"/>
  <c r="M7" i="52"/>
  <c r="G30" i="52"/>
  <c r="E11" i="52"/>
  <c r="H27" i="52"/>
  <c r="E6" i="51"/>
  <c r="E10" i="52"/>
  <c r="R8" i="45"/>
  <c r="H31" i="40"/>
  <c r="G31" i="40"/>
  <c r="L9" i="51"/>
  <c r="M5" i="52"/>
  <c r="M6" i="52"/>
  <c r="E8" i="51"/>
  <c r="G28" i="51"/>
  <c r="U15" i="45"/>
  <c r="L7" i="51"/>
  <c r="E17" i="52"/>
  <c r="H33" i="40"/>
  <c r="H31" i="52"/>
  <c r="T13" i="45"/>
  <c r="G24" i="52"/>
  <c r="G25" i="40"/>
  <c r="E10" i="51"/>
  <c r="H33" i="52"/>
  <c r="G29" i="52"/>
  <c r="H25" i="51"/>
  <c r="M14" i="52"/>
  <c r="F15" i="52"/>
  <c r="M15" i="52"/>
  <c r="M16" i="52"/>
  <c r="E11" i="51"/>
  <c r="C12" i="51"/>
  <c r="L5" i="51"/>
  <c r="F11" i="52"/>
  <c r="M11" i="52"/>
  <c r="L6" i="51"/>
  <c r="F6" i="51"/>
  <c r="M10" i="52"/>
  <c r="F10" i="52"/>
  <c r="L8" i="51"/>
  <c r="F8" i="51"/>
  <c r="M17" i="52"/>
  <c r="F17" i="52"/>
  <c r="L10" i="51"/>
  <c r="L11" i="51"/>
  <c r="F11" i="51"/>
  <c r="E12" i="51"/>
  <c r="C13" i="51"/>
  <c r="L12" i="51"/>
  <c r="F12" i="51"/>
  <c r="C14" i="51"/>
  <c r="E13" i="51"/>
  <c r="E14" i="51"/>
  <c r="C15" i="51"/>
  <c r="L13" i="51"/>
  <c r="F13" i="51"/>
  <c r="L14" i="51"/>
  <c r="F14" i="51"/>
  <c r="C16" i="51"/>
  <c r="E15" i="51"/>
  <c r="C17" i="51"/>
  <c r="E16" i="51"/>
  <c r="L15" i="51"/>
  <c r="F15" i="51"/>
  <c r="E17" i="51"/>
  <c r="C18" i="51"/>
  <c r="F16" i="51"/>
  <c r="L16" i="51"/>
  <c r="L17" i="51"/>
  <c r="F17" i="51"/>
  <c r="C19" i="51"/>
  <c r="E18" i="51"/>
  <c r="C20" i="51"/>
  <c r="E19" i="51"/>
  <c r="L18" i="51"/>
  <c r="F18" i="51"/>
  <c r="E20" i="51"/>
  <c r="C21" i="51"/>
  <c r="L19" i="51"/>
  <c r="F19" i="51"/>
  <c r="L20" i="51"/>
  <c r="F20" i="51"/>
  <c r="C22" i="51"/>
  <c r="E21" i="51"/>
  <c r="L21" i="51"/>
  <c r="F21" i="51"/>
  <c r="R4" i="45" l="1"/>
  <c r="E3" i="40"/>
  <c r="R3" i="45"/>
  <c r="D22" i="51"/>
  <c r="D21" i="51"/>
  <c r="D20" i="51"/>
  <c r="D19" i="51"/>
  <c r="D18" i="51"/>
  <c r="D17" i="51"/>
  <c r="D16" i="51"/>
  <c r="D15" i="51"/>
  <c r="D14" i="51"/>
  <c r="D13" i="51"/>
  <c r="D12" i="51"/>
  <c r="D11" i="51"/>
  <c r="E3" i="52"/>
  <c r="E4" i="52"/>
  <c r="E4" i="51"/>
  <c r="E3" i="51"/>
  <c r="D14" i="40"/>
  <c r="E4" i="40"/>
  <c r="C15" i="40"/>
  <c r="A16" i="40"/>
  <c r="C2" i="33"/>
  <c r="A9" i="33"/>
  <c r="E22" i="51"/>
  <c r="F8" i="52"/>
  <c r="F4" i="52"/>
  <c r="F10" i="51"/>
  <c r="L4" i="40"/>
  <c r="F5" i="51"/>
  <c r="Z4" i="45"/>
  <c r="M3" i="52"/>
  <c r="F16" i="52"/>
  <c r="F4" i="51"/>
  <c r="F3" i="52"/>
  <c r="Z3" i="45"/>
  <c r="F9" i="52"/>
  <c r="L3" i="51"/>
  <c r="M4" i="52"/>
  <c r="F3" i="51"/>
  <c r="F14" i="52"/>
  <c r="L4" i="51"/>
  <c r="F13" i="52"/>
  <c r="F7" i="51"/>
  <c r="L22" i="51"/>
  <c r="F22" i="51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46" i="33"/>
  <c r="D52" i="33"/>
  <c r="D43" i="33"/>
  <c r="D47" i="33"/>
  <c r="D53" i="33"/>
  <c r="D57" i="33"/>
  <c r="D49" i="33"/>
  <c r="D59" i="33"/>
  <c r="D56" i="33"/>
  <c r="D54" i="33"/>
  <c r="D41" i="33"/>
  <c r="D51" i="33"/>
  <c r="D44" i="33"/>
  <c r="D61" i="33"/>
  <c r="D48" i="33"/>
  <c r="D55" i="33"/>
  <c r="D42" i="33"/>
  <c r="D62" i="33"/>
  <c r="D63" i="33"/>
  <c r="D60" i="33"/>
  <c r="D45" i="33"/>
  <c r="D50" i="33"/>
  <c r="D58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57" i="33"/>
  <c r="E46" i="33"/>
  <c r="E47" i="33"/>
  <c r="E60" i="33"/>
  <c r="E43" i="33"/>
  <c r="E53" i="33"/>
  <c r="E62" i="33"/>
  <c r="E48" i="33"/>
  <c r="E45" i="33"/>
  <c r="E41" i="33"/>
  <c r="E63" i="33"/>
  <c r="E42" i="33"/>
  <c r="E56" i="33"/>
  <c r="E51" i="33"/>
  <c r="E61" i="33"/>
  <c r="E59" i="33"/>
  <c r="E52" i="33"/>
  <c r="E50" i="33"/>
  <c r="E49" i="33"/>
  <c r="E44" i="33"/>
  <c r="E55" i="33"/>
  <c r="E54" i="33"/>
  <c r="E58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" i="33"/>
  <c r="D22" i="40" l="1"/>
  <c r="D3" i="33"/>
  <c r="C21" i="35"/>
  <c r="E11" i="40"/>
  <c r="D33" i="33"/>
  <c r="D23" i="33"/>
  <c r="D10" i="33"/>
  <c r="D39" i="33"/>
  <c r="C26" i="35"/>
  <c r="C5" i="35"/>
  <c r="C19" i="35"/>
  <c r="D19" i="35"/>
  <c r="D14" i="33"/>
  <c r="C22" i="35"/>
  <c r="E22" i="40"/>
  <c r="D24" i="33"/>
  <c r="C13" i="35"/>
  <c r="D31" i="33"/>
  <c r="E7" i="40"/>
  <c r="B1" i="29"/>
  <c r="C9" i="35"/>
  <c r="C4" i="35"/>
  <c r="D13" i="35"/>
  <c r="D8" i="33"/>
  <c r="D34" i="33"/>
  <c r="D30" i="33"/>
  <c r="C24" i="35"/>
  <c r="F4" i="40"/>
  <c r="F7" i="40"/>
  <c r="D21" i="33"/>
  <c r="C23" i="35"/>
  <c r="C20" i="35"/>
  <c r="K3" i="45"/>
  <c r="E12" i="40"/>
  <c r="B22" i="35"/>
  <c r="C8" i="35"/>
  <c r="B8" i="35" s="1"/>
  <c r="D22" i="35"/>
  <c r="D23" i="35"/>
  <c r="F3" i="40"/>
  <c r="C6" i="35"/>
  <c r="D9" i="35"/>
  <c r="C7" i="35"/>
  <c r="C27" i="35"/>
  <c r="B27" i="35" s="1"/>
  <c r="C25" i="35"/>
  <c r="D25" i="35" s="1"/>
  <c r="D12" i="33"/>
  <c r="E21" i="40"/>
  <c r="F21" i="40" s="1"/>
  <c r="E19" i="40"/>
  <c r="D5" i="35"/>
  <c r="E14" i="40"/>
  <c r="F14" i="40" s="1"/>
  <c r="D16" i="33"/>
  <c r="D6" i="33"/>
  <c r="G13" i="45" a="1"/>
  <c r="D9" i="33"/>
  <c r="D7" i="35"/>
  <c r="E18" i="40"/>
  <c r="B6" i="35"/>
  <c r="B21" i="35"/>
  <c r="D11" i="33"/>
  <c r="D26" i="33"/>
  <c r="D13" i="33"/>
  <c r="D20" i="35"/>
  <c r="E13" i="40"/>
  <c r="F22" i="40"/>
  <c r="D28" i="33"/>
  <c r="B19" i="35"/>
  <c r="C12" i="35"/>
  <c r="B12" i="35" s="1"/>
  <c r="D12" i="35"/>
  <c r="D32" i="33"/>
  <c r="B24" i="35"/>
  <c r="D26" i="35"/>
  <c r="D38" i="33"/>
  <c r="E20" i="40"/>
  <c r="B7" i="35"/>
  <c r="E9" i="40"/>
  <c r="E15" i="40"/>
  <c r="B13" i="35"/>
  <c r="B26" i="35"/>
  <c r="D37" i="33"/>
  <c r="D25" i="33"/>
  <c r="E8" i="40"/>
  <c r="F8" i="40" s="1"/>
  <c r="D27" i="33"/>
  <c r="E10" i="40"/>
  <c r="D15" i="33"/>
  <c r="C15" i="35"/>
  <c r="D22" i="33"/>
  <c r="C3" i="35"/>
  <c r="D3" i="35" s="1"/>
  <c r="D19" i="33"/>
  <c r="C18" i="35"/>
  <c r="C10" i="35"/>
  <c r="B23" i="35"/>
  <c r="C14" i="35"/>
  <c r="D14" i="35" s="1"/>
  <c r="B9" i="35"/>
  <c r="F9" i="40"/>
  <c r="L3" i="45"/>
  <c r="B25" i="35"/>
  <c r="D20" i="33"/>
  <c r="C16" i="35"/>
  <c r="D5" i="33"/>
  <c r="D7" i="33"/>
  <c r="D10" i="35"/>
  <c r="B10" i="35"/>
  <c r="D40" i="33"/>
  <c r="B4" i="35"/>
  <c r="B14" i="35"/>
  <c r="D35" i="33"/>
  <c r="C17" i="35"/>
  <c r="E6" i="40"/>
  <c r="F6" i="40" s="1"/>
  <c r="E17" i="40"/>
  <c r="E5" i="40"/>
  <c r="D17" i="33"/>
  <c r="B5" i="35"/>
  <c r="D4" i="33"/>
  <c r="C11" i="35"/>
  <c r="D18" i="33"/>
  <c r="B3" i="35"/>
  <c r="D29" i="33"/>
  <c r="F5" i="40"/>
  <c r="D8" i="35"/>
  <c r="D36" i="33"/>
  <c r="E16" i="40"/>
  <c r="D27" i="35"/>
  <c r="F15" i="40"/>
  <c r="L15" i="40"/>
  <c r="B15" i="35"/>
  <c r="D15" i="35"/>
  <c r="D18" i="35"/>
  <c r="B16" i="35"/>
  <c r="D17" i="35"/>
  <c r="B11" i="35"/>
  <c r="G20" i="45" l="1"/>
  <c r="G16" i="45"/>
  <c r="G17" i="45"/>
  <c r="G14" i="45"/>
  <c r="G13" i="45"/>
  <c r="G18" i="45"/>
  <c r="G19" i="45"/>
  <c r="G21" i="45"/>
  <c r="G15" i="45"/>
  <c r="D11" i="35"/>
  <c r="F18" i="40"/>
  <c r="E36" i="33"/>
  <c r="K13" i="45"/>
  <c r="H16" i="45"/>
  <c r="F11" i="40"/>
  <c r="H19" i="45"/>
  <c r="I16" i="45"/>
  <c r="L11" i="40"/>
  <c r="L13" i="45"/>
  <c r="I21" i="45"/>
  <c r="J19" i="45"/>
  <c r="Z8" i="45"/>
  <c r="L16" i="45"/>
  <c r="F17" i="40"/>
  <c r="F19" i="40"/>
  <c r="L20" i="45"/>
  <c r="E31" i="33"/>
  <c r="E26" i="33"/>
  <c r="J14" i="45"/>
  <c r="Z7" i="45"/>
  <c r="L6" i="40"/>
  <c r="H13" i="45"/>
  <c r="H21" i="45"/>
  <c r="L21" i="40"/>
  <c r="I18" i="45"/>
  <c r="L10" i="40"/>
  <c r="I13" i="45"/>
  <c r="B17" i="35"/>
  <c r="D6" i="35"/>
  <c r="L18" i="45"/>
  <c r="E28" i="33"/>
  <c r="L8" i="40"/>
  <c r="I20" i="45"/>
  <c r="H18" i="45"/>
  <c r="H15" i="45"/>
  <c r="J20" i="45"/>
  <c r="F16" i="40"/>
  <c r="E33" i="33"/>
  <c r="E27" i="33"/>
  <c r="L7" i="40"/>
  <c r="E18" i="33"/>
  <c r="D16" i="35"/>
  <c r="J15" i="45"/>
  <c r="E5" i="33"/>
  <c r="J17" i="45"/>
  <c r="L18" i="40"/>
  <c r="E19" i="33"/>
  <c r="L22" i="40"/>
  <c r="L17" i="40"/>
  <c r="D34" i="29"/>
  <c r="C37" i="29" s="1"/>
  <c r="Z6" i="45"/>
  <c r="E30" i="33"/>
  <c r="F20" i="40"/>
  <c r="E4" i="33"/>
  <c r="K20" i="45"/>
  <c r="E3" i="33"/>
  <c r="D24" i="35"/>
  <c r="J16" i="45"/>
  <c r="E40" i="33"/>
  <c r="K21" i="45"/>
  <c r="I17" i="45"/>
  <c r="I19" i="45"/>
  <c r="E29" i="33"/>
  <c r="D28" i="29"/>
  <c r="E25" i="33"/>
  <c r="L9" i="40"/>
  <c r="E16" i="33"/>
  <c r="E32" i="33"/>
  <c r="L13" i="40"/>
  <c r="I15" i="45"/>
  <c r="J18" i="45"/>
  <c r="S4" i="45"/>
  <c r="F13" i="40"/>
  <c r="E22" i="33"/>
  <c r="K19" i="45"/>
  <c r="L19" i="45"/>
  <c r="E38" i="33"/>
  <c r="L14" i="45"/>
  <c r="E23" i="33"/>
  <c r="C38" i="29"/>
  <c r="D38" i="29"/>
  <c r="E34" i="33"/>
  <c r="K15" i="45"/>
  <c r="S7" i="45"/>
  <c r="F12" i="40"/>
  <c r="L20" i="40"/>
  <c r="E17" i="33"/>
  <c r="K14" i="45"/>
  <c r="E6" i="33"/>
  <c r="J13" i="45"/>
  <c r="S6" i="45"/>
  <c r="B18" i="35"/>
  <c r="B20" i="35"/>
  <c r="I14" i="45"/>
  <c r="E7" i="33"/>
  <c r="E24" i="33"/>
  <c r="E15" i="33"/>
  <c r="L12" i="40"/>
  <c r="E35" i="33"/>
  <c r="D35" i="29"/>
  <c r="F10" i="40"/>
  <c r="H20" i="45"/>
  <c r="L21" i="45"/>
  <c r="E37" i="33"/>
  <c r="L19" i="40"/>
  <c r="K18" i="45"/>
  <c r="K16" i="45"/>
  <c r="S5" i="45"/>
  <c r="D4" i="35"/>
  <c r="E21" i="33"/>
  <c r="L17" i="45"/>
  <c r="K17" i="45"/>
  <c r="E39" i="33"/>
  <c r="L15" i="45"/>
  <c r="L14" i="40"/>
  <c r="D37" i="29"/>
  <c r="D21" i="35"/>
  <c r="H17" i="45"/>
  <c r="E20" i="33"/>
  <c r="J21" i="45"/>
  <c r="L16" i="40"/>
  <c r="H14" i="45"/>
  <c r="L5" i="40"/>
  <c r="S3" i="45"/>
  <c r="S8" i="45"/>
  <c r="I19" i="29" l="1"/>
  <c r="I20" i="29"/>
  <c r="E17" i="35"/>
  <c r="G20" i="51"/>
  <c r="AA5" i="45"/>
  <c r="G17" i="52"/>
  <c r="G5" i="40"/>
  <c r="H12" i="40"/>
  <c r="H13" i="51"/>
  <c r="H14" i="51"/>
  <c r="T3" i="45"/>
  <c r="N15" i="40"/>
  <c r="G10" i="40"/>
  <c r="U6" i="45"/>
  <c r="E10" i="35"/>
  <c r="E19" i="35"/>
  <c r="E4" i="35"/>
  <c r="U5" i="45"/>
  <c r="N9" i="52"/>
  <c r="H16" i="52"/>
  <c r="H14" i="52"/>
  <c r="G7" i="52"/>
  <c r="G12" i="52"/>
  <c r="H20" i="51"/>
  <c r="H22" i="40"/>
  <c r="N8" i="51"/>
  <c r="N19" i="51"/>
  <c r="H15" i="40"/>
  <c r="H11" i="51"/>
  <c r="N15" i="51"/>
  <c r="H10" i="51"/>
  <c r="H7" i="40"/>
  <c r="H22" i="51"/>
  <c r="G17" i="40"/>
  <c r="T7" i="45"/>
  <c r="G19" i="40"/>
  <c r="H5" i="52"/>
  <c r="G12" i="40"/>
  <c r="E21" i="35"/>
  <c r="H16" i="51"/>
  <c r="E15" i="35"/>
  <c r="G10" i="52"/>
  <c r="H19" i="40"/>
  <c r="N5" i="51"/>
  <c r="G13" i="40"/>
  <c r="N22" i="40"/>
  <c r="N13" i="51"/>
  <c r="H21" i="51"/>
  <c r="G5" i="51"/>
  <c r="N20" i="51"/>
  <c r="H4" i="40"/>
  <c r="T6" i="45"/>
  <c r="G21" i="51"/>
  <c r="N10" i="40"/>
  <c r="E23" i="35"/>
  <c r="G8" i="40"/>
  <c r="N5" i="52"/>
  <c r="N4" i="40"/>
  <c r="G14" i="40"/>
  <c r="H17" i="40"/>
  <c r="N17" i="51"/>
  <c r="N11" i="51"/>
  <c r="N10" i="51"/>
  <c r="G13" i="51"/>
  <c r="T8" i="45"/>
  <c r="N7" i="51"/>
  <c r="E27" i="35"/>
  <c r="H8" i="52"/>
  <c r="G19" i="51"/>
  <c r="H9" i="51"/>
  <c r="H17" i="51"/>
  <c r="H15" i="51"/>
  <c r="N6" i="51"/>
  <c r="E20" i="35"/>
  <c r="H15" i="52"/>
  <c r="G22" i="51"/>
  <c r="G10" i="51"/>
  <c r="AA7" i="45"/>
  <c r="AA4" i="45"/>
  <c r="N16" i="52"/>
  <c r="H10" i="40"/>
  <c r="G16" i="40"/>
  <c r="E6" i="35"/>
  <c r="H4" i="52"/>
  <c r="G5" i="52"/>
  <c r="N22" i="51"/>
  <c r="H8" i="51"/>
  <c r="H20" i="40"/>
  <c r="G22" i="40"/>
  <c r="U7" i="45"/>
  <c r="E7" i="35"/>
  <c r="E26" i="35"/>
  <c r="E22" i="35"/>
  <c r="N4" i="52"/>
  <c r="N10" i="52"/>
  <c r="H12" i="52"/>
  <c r="N13" i="52"/>
  <c r="G16" i="52"/>
  <c r="G6" i="52"/>
  <c r="N14" i="51"/>
  <c r="N5" i="40"/>
  <c r="G9" i="40"/>
  <c r="N16" i="40"/>
  <c r="H5" i="40"/>
  <c r="G6" i="51"/>
  <c r="N14" i="40"/>
  <c r="N21" i="51"/>
  <c r="N9" i="51"/>
  <c r="N7" i="40"/>
  <c r="H6" i="40"/>
  <c r="T5" i="45"/>
  <c r="E24" i="35"/>
  <c r="N15" i="52"/>
  <c r="G9" i="52"/>
  <c r="H9" i="40"/>
  <c r="H16" i="40"/>
  <c r="H18" i="40"/>
  <c r="N9" i="40"/>
  <c r="N8" i="52"/>
  <c r="H7" i="52"/>
  <c r="H5" i="51"/>
  <c r="H19" i="51"/>
  <c r="G18" i="40"/>
  <c r="E16" i="35"/>
  <c r="H9" i="52"/>
  <c r="N18" i="51"/>
  <c r="H21" i="40"/>
  <c r="E14" i="35"/>
  <c r="N17" i="52"/>
  <c r="N16" i="51"/>
  <c r="G8" i="51"/>
  <c r="H12" i="51"/>
  <c r="H11" i="40"/>
  <c r="H18" i="51"/>
  <c r="U8" i="45"/>
  <c r="E5" i="35"/>
  <c r="E13" i="35"/>
  <c r="E3" i="35"/>
  <c r="AA3" i="45"/>
  <c r="N14" i="52"/>
  <c r="N6" i="52"/>
  <c r="N7" i="52"/>
  <c r="G11" i="52"/>
  <c r="G14" i="52"/>
  <c r="N8" i="40"/>
  <c r="G7" i="40"/>
  <c r="G16" i="51"/>
  <c r="N20" i="40"/>
  <c r="N17" i="40"/>
  <c r="G18" i="51"/>
  <c r="N12" i="51"/>
  <c r="N6" i="40"/>
  <c r="G9" i="51"/>
  <c r="N11" i="40"/>
  <c r="H7" i="51"/>
  <c r="E9" i="35"/>
  <c r="H13" i="52"/>
  <c r="G15" i="40"/>
  <c r="M12" i="45" a="1"/>
  <c r="G21" i="40"/>
  <c r="N12" i="52"/>
  <c r="H6" i="51"/>
  <c r="G6" i="40"/>
  <c r="N19" i="40"/>
  <c r="E11" i="35"/>
  <c r="H11" i="52"/>
  <c r="G13" i="52"/>
  <c r="G17" i="51"/>
  <c r="AA8" i="45"/>
  <c r="E8" i="35"/>
  <c r="H10" i="52"/>
  <c r="G8" i="52"/>
  <c r="H14" i="40"/>
  <c r="N4" i="51"/>
  <c r="G11" i="40"/>
  <c r="N21" i="40"/>
  <c r="AA6" i="45"/>
  <c r="E18" i="35"/>
  <c r="E25" i="35"/>
  <c r="E12" i="35"/>
  <c r="U4" i="45"/>
  <c r="H6" i="52"/>
  <c r="N11" i="52"/>
  <c r="H17" i="52"/>
  <c r="G15" i="52"/>
  <c r="G11" i="51"/>
  <c r="N12" i="40"/>
  <c r="N13" i="40"/>
  <c r="G12" i="51"/>
  <c r="H13" i="40"/>
  <c r="H4" i="51"/>
  <c r="G14" i="51"/>
  <c r="G7" i="51"/>
  <c r="G20" i="40"/>
  <c r="G15" i="51"/>
  <c r="H8" i="40"/>
  <c r="N18" i="40"/>
  <c r="T4" i="45"/>
  <c r="G4" i="40"/>
  <c r="G4" i="51"/>
  <c r="G4" i="52"/>
  <c r="I4" i="52" l="1"/>
  <c r="I4" i="51"/>
  <c r="I4" i="40"/>
  <c r="V4" i="45"/>
  <c r="I15" i="51"/>
  <c r="I20" i="40"/>
  <c r="I7" i="51"/>
  <c r="I14" i="51"/>
  <c r="I12" i="51"/>
  <c r="I11" i="51"/>
  <c r="I15" i="52"/>
  <c r="I11" i="40"/>
  <c r="I8" i="52"/>
  <c r="I17" i="51"/>
  <c r="I13" i="52"/>
  <c r="I6" i="40"/>
  <c r="I21" i="40"/>
  <c r="M13" i="45"/>
  <c r="M16" i="45"/>
  <c r="M18" i="45"/>
  <c r="M21" i="45"/>
  <c r="M15" i="45"/>
  <c r="M17" i="45"/>
  <c r="M14" i="45"/>
  <c r="M20" i="45"/>
  <c r="M19" i="45"/>
  <c r="M12" i="45"/>
  <c r="I15" i="40"/>
  <c r="I9" i="51"/>
  <c r="I18" i="51"/>
  <c r="I16" i="51"/>
  <c r="I7" i="40"/>
  <c r="I14" i="52"/>
  <c r="I11" i="52"/>
  <c r="I8" i="51"/>
  <c r="I18" i="40"/>
  <c r="I9" i="52"/>
  <c r="V5" i="45"/>
  <c r="I6" i="51"/>
  <c r="I9" i="40"/>
  <c r="I6" i="52"/>
  <c r="I16" i="52"/>
  <c r="I22" i="40"/>
  <c r="I5" i="52"/>
  <c r="I16" i="40"/>
  <c r="I10" i="51"/>
  <c r="I22" i="51"/>
  <c r="I19" i="51"/>
  <c r="V8" i="45"/>
  <c r="I13" i="51"/>
  <c r="I14" i="40"/>
  <c r="I8" i="40"/>
  <c r="I21" i="51"/>
  <c r="V6" i="45"/>
  <c r="I5" i="51"/>
  <c r="I13" i="40"/>
  <c r="I10" i="52"/>
  <c r="I12" i="40"/>
  <c r="I19" i="40"/>
  <c r="V7" i="45"/>
  <c r="I17" i="40"/>
  <c r="I12" i="52"/>
  <c r="I7" i="52"/>
  <c r="I10" i="40"/>
  <c r="I5" i="40"/>
  <c r="I17" i="52"/>
  <c r="I20" i="51"/>
  <c r="D19" i="29" l="1"/>
  <c r="F24" i="35"/>
  <c r="F11" i="35"/>
  <c r="F3" i="35"/>
  <c r="F25" i="35"/>
  <c r="R6" i="52"/>
  <c r="F4" i="35"/>
  <c r="F22" i="35"/>
  <c r="F19" i="35"/>
  <c r="R10" i="52"/>
  <c r="F23" i="35"/>
  <c r="F17" i="35"/>
  <c r="F21" i="35"/>
  <c r="R9" i="52"/>
  <c r="R7" i="52"/>
  <c r="R6" i="40"/>
  <c r="F7" i="35"/>
  <c r="F6" i="35"/>
  <c r="F27" i="35"/>
  <c r="F9" i="35"/>
  <c r="R6" i="51"/>
  <c r="R8" i="51"/>
  <c r="F20" i="35"/>
  <c r="F16" i="35"/>
  <c r="F13" i="35"/>
  <c r="F18" i="35"/>
  <c r="F15" i="35"/>
  <c r="F26" i="35"/>
  <c r="F10" i="35"/>
  <c r="R8" i="52"/>
  <c r="F14" i="35"/>
  <c r="F5" i="35"/>
  <c r="F12" i="35"/>
  <c r="R9" i="51"/>
  <c r="F8" i="35"/>
  <c r="AE6" i="45"/>
  <c r="AE7" i="45"/>
  <c r="R9" i="40"/>
  <c r="R7" i="40"/>
  <c r="R10" i="40"/>
  <c r="R8" i="40"/>
  <c r="R10" i="51"/>
  <c r="R7" i="51"/>
  <c r="AE10" i="45"/>
  <c r="AE13" i="45" a="1"/>
  <c r="AE9" i="45"/>
  <c r="AE8" i="45"/>
  <c r="AE13" i="45"/>
  <c r="AE14" i="45"/>
  <c r="AE15" i="45"/>
  <c r="AE16" i="45"/>
  <c r="AE17" i="45"/>
  <c r="R13" i="51" a="1"/>
  <c r="R13" i="52" a="1"/>
  <c r="R13" i="40" a="1"/>
  <c r="R13" i="40"/>
  <c r="R16" i="52"/>
  <c r="R17" i="52"/>
  <c r="R17" i="40"/>
  <c r="R14" i="40"/>
  <c r="R17" i="51"/>
  <c r="R13" i="51"/>
  <c r="R13" i="52"/>
  <c r="R14" i="52"/>
  <c r="R15" i="51"/>
  <c r="R16" i="40"/>
  <c r="R15" i="40"/>
  <c r="R14" i="51"/>
  <c r="R15" i="52"/>
  <c r="R16" i="51"/>
  <c r="G5" i="35"/>
  <c r="H42" i="33" s="1"/>
  <c r="L42" i="33" s="1"/>
  <c r="M42" i="33"/>
  <c r="G12" i="35"/>
  <c r="H49" i="33" s="1"/>
  <c r="L49" i="33" s="1"/>
  <c r="M49" i="33"/>
  <c r="G11" i="35"/>
  <c r="H48" i="33" s="1"/>
  <c r="L48" i="33" s="1"/>
  <c r="M48" i="33"/>
  <c r="G6" i="35"/>
  <c r="H43" i="33" s="1"/>
  <c r="L43" i="33" s="1"/>
  <c r="M43" i="33"/>
  <c r="G17" i="35"/>
  <c r="H53" i="33" s="1"/>
  <c r="L53" i="33" s="1"/>
  <c r="M53" i="33"/>
  <c r="G25" i="35"/>
  <c r="H61" i="33" s="1"/>
  <c r="L61" i="33" s="1"/>
  <c r="M61" i="33"/>
  <c r="G14" i="35"/>
  <c r="H51" i="33" s="1"/>
  <c r="L51" i="33" s="1"/>
  <c r="M51" i="33"/>
  <c r="G15" i="35"/>
  <c r="G4" i="35"/>
  <c r="H41" i="33" s="1"/>
  <c r="L41" i="33" s="1"/>
  <c r="M41" i="33"/>
  <c r="G18" i="35"/>
  <c r="H54" i="33" s="1"/>
  <c r="L54" i="33" s="1"/>
  <c r="M54" i="33"/>
  <c r="G16" i="35"/>
  <c r="H52" i="33" s="1"/>
  <c r="L52" i="33" s="1"/>
  <c r="M52" i="33"/>
  <c r="G21" i="35"/>
  <c r="H57" i="33" s="1"/>
  <c r="L57" i="33" s="1"/>
  <c r="M57" i="33"/>
  <c r="G19" i="35"/>
  <c r="H55" i="33" s="1"/>
  <c r="L55" i="33" s="1"/>
  <c r="M55" i="33"/>
  <c r="G22" i="35"/>
  <c r="H58" i="33" s="1"/>
  <c r="L58" i="33" s="1"/>
  <c r="M58" i="33"/>
  <c r="G23" i="35"/>
  <c r="H59" i="33" s="1"/>
  <c r="L59" i="33" s="1"/>
  <c r="M59" i="33"/>
  <c r="G10" i="35"/>
  <c r="H47" i="33" s="1"/>
  <c r="L47" i="33" s="1"/>
  <c r="M47" i="33"/>
  <c r="G26" i="35"/>
  <c r="H62" i="33" s="1"/>
  <c r="L62" i="33" s="1"/>
  <c r="M62" i="33"/>
  <c r="G20" i="35"/>
  <c r="H56" i="33" s="1"/>
  <c r="L56" i="33" s="1"/>
  <c r="M56" i="33"/>
  <c r="G8" i="35"/>
  <c r="H45" i="33" s="1"/>
  <c r="L45" i="33" s="1"/>
  <c r="M45" i="33"/>
  <c r="G3" i="35"/>
  <c r="G24" i="35"/>
  <c r="H60" i="33" s="1"/>
  <c r="L60" i="33" s="1"/>
  <c r="M60" i="33"/>
  <c r="G7" i="35"/>
  <c r="H44" i="33" s="1"/>
  <c r="L44" i="33" s="1"/>
  <c r="M44" i="33"/>
  <c r="G9" i="35"/>
  <c r="H46" i="33" s="1"/>
  <c r="L46" i="33" s="1"/>
  <c r="M46" i="33"/>
  <c r="G13" i="35"/>
  <c r="H50" i="33" s="1"/>
  <c r="L50" i="33" s="1"/>
  <c r="M50" i="33"/>
  <c r="G27" i="35"/>
  <c r="H63" i="33" s="1"/>
  <c r="L63" i="33" s="1"/>
  <c r="M63" i="33"/>
  <c r="N41" i="33" l="1"/>
  <c r="AE18" i="45"/>
  <c r="W7" i="45"/>
  <c r="Y7" i="45"/>
  <c r="X7" i="45" s="1"/>
  <c r="W4" i="45"/>
  <c r="Y4" i="45"/>
  <c r="X4" i="45" s="1"/>
  <c r="W6" i="45"/>
  <c r="Y6" i="45"/>
  <c r="X6" i="45" s="1"/>
  <c r="W3" i="45"/>
  <c r="V14" i="45"/>
  <c r="H6" i="33"/>
  <c r="L6" i="33" s="1"/>
  <c r="M6" i="33"/>
  <c r="V12" i="45"/>
  <c r="H4" i="33"/>
  <c r="L4" i="33" s="1"/>
  <c r="M4" i="33"/>
  <c r="W5" i="45"/>
  <c r="Y5" i="45"/>
  <c r="X5" i="45" s="1"/>
  <c r="V13" i="45"/>
  <c r="H5" i="33"/>
  <c r="L5" i="33" s="1"/>
  <c r="M5" i="33"/>
  <c r="V15" i="45"/>
  <c r="H7" i="33"/>
  <c r="L7" i="33" s="1"/>
  <c r="M7" i="33"/>
  <c r="W8" i="45"/>
  <c r="Y8" i="45"/>
  <c r="X8" i="45" s="1"/>
  <c r="V11" i="45"/>
  <c r="H3" i="33"/>
  <c r="L3" i="33" s="1"/>
  <c r="M3" i="33"/>
  <c r="N2" i="33"/>
  <c r="R18" i="51"/>
  <c r="J22" i="51"/>
  <c r="M22" i="51"/>
  <c r="K22" i="51" s="1"/>
  <c r="J6" i="51"/>
  <c r="M6" i="51"/>
  <c r="K6" i="51" s="1"/>
  <c r="I30" i="51"/>
  <c r="H13" i="33"/>
  <c r="L13" i="33" s="1"/>
  <c r="M13" i="33"/>
  <c r="J13" i="51"/>
  <c r="M13" i="51"/>
  <c r="K13" i="51" s="1"/>
  <c r="I25" i="51"/>
  <c r="H8" i="33"/>
  <c r="L8" i="33" s="1"/>
  <c r="M8" i="33"/>
  <c r="I31" i="51"/>
  <c r="H14" i="33"/>
  <c r="L14" i="33" s="1"/>
  <c r="M14" i="33"/>
  <c r="J19" i="51"/>
  <c r="M19" i="51"/>
  <c r="K19" i="51" s="1"/>
  <c r="J4" i="51"/>
  <c r="M4" i="51"/>
  <c r="K4" i="51" s="1"/>
  <c r="I29" i="51"/>
  <c r="H12" i="33"/>
  <c r="L12" i="33" s="1"/>
  <c r="M12" i="33"/>
  <c r="I28" i="51"/>
  <c r="H11" i="33"/>
  <c r="L11" i="33" s="1"/>
  <c r="M11" i="33"/>
  <c r="J7" i="51"/>
  <c r="M7" i="51"/>
  <c r="K7" i="51" s="1"/>
  <c r="J8" i="51"/>
  <c r="M8" i="51"/>
  <c r="K8" i="51" s="1"/>
  <c r="I26" i="51"/>
  <c r="H9" i="33"/>
  <c r="L9" i="33" s="1"/>
  <c r="M9" i="33"/>
  <c r="I27" i="51"/>
  <c r="H10" i="33"/>
  <c r="L10" i="33" s="1"/>
  <c r="M10" i="33"/>
  <c r="N8" i="33"/>
  <c r="J3" i="51"/>
  <c r="G3" i="51"/>
  <c r="J9" i="51"/>
  <c r="M9" i="51"/>
  <c r="K9" i="51" s="1"/>
  <c r="J17" i="51"/>
  <c r="M17" i="51"/>
  <c r="K17" i="51" s="1"/>
  <c r="J16" i="51"/>
  <c r="M16" i="51"/>
  <c r="K16" i="51" s="1"/>
  <c r="J18" i="51"/>
  <c r="M18" i="51"/>
  <c r="K18" i="51" s="1"/>
  <c r="J20" i="51"/>
  <c r="M20" i="51"/>
  <c r="K20" i="51" s="1"/>
  <c r="J11" i="51"/>
  <c r="M11" i="51"/>
  <c r="K11" i="51" s="1"/>
  <c r="J5" i="51"/>
  <c r="M5" i="51"/>
  <c r="K5" i="51" s="1"/>
  <c r="J12" i="51"/>
  <c r="M12" i="51"/>
  <c r="K12" i="51" s="1"/>
  <c r="J10" i="51"/>
  <c r="M10" i="51"/>
  <c r="K10" i="51" s="1"/>
  <c r="J15" i="51"/>
  <c r="M15" i="51"/>
  <c r="K15" i="51" s="1"/>
  <c r="J14" i="51"/>
  <c r="M14" i="51"/>
  <c r="K14" i="51" s="1"/>
  <c r="J21" i="51"/>
  <c r="M21" i="51"/>
  <c r="K21" i="51" s="1"/>
  <c r="R18" i="40"/>
  <c r="J12" i="40"/>
  <c r="M12" i="40"/>
  <c r="K12" i="40" s="1"/>
  <c r="J20" i="40"/>
  <c r="M20" i="40"/>
  <c r="K20" i="40" s="1"/>
  <c r="I30" i="40"/>
  <c r="H20" i="33"/>
  <c r="L20" i="33" s="1"/>
  <c r="M20" i="33"/>
  <c r="J17" i="40"/>
  <c r="M17" i="40"/>
  <c r="K17" i="40" s="1"/>
  <c r="J4" i="40"/>
  <c r="M4" i="40"/>
  <c r="K4" i="40" s="1"/>
  <c r="I28" i="40"/>
  <c r="H18" i="33"/>
  <c r="L18" i="33" s="1"/>
  <c r="M18" i="33"/>
  <c r="I34" i="40"/>
  <c r="H24" i="33"/>
  <c r="L24" i="33" s="1"/>
  <c r="M24" i="33"/>
  <c r="J18" i="40"/>
  <c r="M18" i="40"/>
  <c r="K18" i="40" s="1"/>
  <c r="J9" i="40"/>
  <c r="M9" i="40"/>
  <c r="K9" i="40" s="1"/>
  <c r="J16" i="40"/>
  <c r="M16" i="40"/>
  <c r="K16" i="40" s="1"/>
  <c r="J10" i="40"/>
  <c r="M10" i="40"/>
  <c r="K10" i="40" s="1"/>
  <c r="J19" i="40"/>
  <c r="M19" i="40"/>
  <c r="K19" i="40" s="1"/>
  <c r="I32" i="40"/>
  <c r="H22" i="33"/>
  <c r="L22" i="33" s="1"/>
  <c r="M22" i="33"/>
  <c r="J13" i="40"/>
  <c r="M13" i="40"/>
  <c r="K13" i="40" s="1"/>
  <c r="J14" i="40"/>
  <c r="M14" i="40"/>
  <c r="K14" i="40" s="1"/>
  <c r="J5" i="40"/>
  <c r="M5" i="40"/>
  <c r="K5" i="40" s="1"/>
  <c r="I25" i="40"/>
  <c r="H15" i="33"/>
  <c r="L15" i="33" s="1"/>
  <c r="M15" i="33"/>
  <c r="I33" i="40"/>
  <c r="H23" i="33"/>
  <c r="L23" i="33" s="1"/>
  <c r="M23" i="33"/>
  <c r="J15" i="40"/>
  <c r="M15" i="40"/>
  <c r="K15" i="40" s="1"/>
  <c r="J11" i="40"/>
  <c r="M11" i="40"/>
  <c r="K11" i="40" s="1"/>
  <c r="I29" i="40"/>
  <c r="H19" i="33"/>
  <c r="L19" i="33" s="1"/>
  <c r="M19" i="33"/>
  <c r="I27" i="40"/>
  <c r="H17" i="33"/>
  <c r="L17" i="33" s="1"/>
  <c r="M17" i="33"/>
  <c r="J22" i="40"/>
  <c r="M22" i="40"/>
  <c r="K22" i="40" s="1"/>
  <c r="I26" i="40"/>
  <c r="H16" i="33"/>
  <c r="L16" i="33" s="1"/>
  <c r="M16" i="33"/>
  <c r="J21" i="40"/>
  <c r="M21" i="40"/>
  <c r="K21" i="40" s="1"/>
  <c r="J8" i="40"/>
  <c r="M8" i="40"/>
  <c r="K8" i="40" s="1"/>
  <c r="J6" i="40"/>
  <c r="M6" i="40"/>
  <c r="K6" i="40" s="1"/>
  <c r="J7" i="40"/>
  <c r="M7" i="40"/>
  <c r="K7" i="40" s="1"/>
  <c r="I31" i="40"/>
  <c r="H21" i="33"/>
  <c r="L21" i="33" s="1"/>
  <c r="M21" i="33"/>
  <c r="J3" i="40"/>
  <c r="G3" i="40"/>
  <c r="N15" i="33"/>
  <c r="R18" i="52"/>
  <c r="J11" i="52"/>
  <c r="L11" i="52"/>
  <c r="K11" i="52" s="1"/>
  <c r="J5" i="52"/>
  <c r="L5" i="52"/>
  <c r="K5" i="52"/>
  <c r="J7" i="52"/>
  <c r="L7" i="52"/>
  <c r="K7" i="52" s="1"/>
  <c r="I30" i="52"/>
  <c r="H35" i="33"/>
  <c r="L35" i="33" s="1"/>
  <c r="M35" i="33"/>
  <c r="I27" i="52"/>
  <c r="H32" i="33"/>
  <c r="L32" i="33" s="1"/>
  <c r="M32" i="33"/>
  <c r="J13" i="52"/>
  <c r="L13" i="52"/>
  <c r="K13" i="52" s="1"/>
  <c r="I35" i="52"/>
  <c r="H40" i="33"/>
  <c r="L40" i="33"/>
  <c r="M40" i="33"/>
  <c r="J3" i="52"/>
  <c r="G3" i="52"/>
  <c r="J4" i="52"/>
  <c r="L4" i="52"/>
  <c r="K4" i="52" s="1"/>
  <c r="I29" i="52"/>
  <c r="H34" i="33"/>
  <c r="L34" i="33" s="1"/>
  <c r="M34" i="33"/>
  <c r="J10" i="52"/>
  <c r="L10" i="52"/>
  <c r="K10" i="52" s="1"/>
  <c r="I34" i="52"/>
  <c r="H39" i="33"/>
  <c r="L39" i="33" s="1"/>
  <c r="M39" i="33"/>
  <c r="J12" i="52"/>
  <c r="L12" i="52"/>
  <c r="K12" i="52" s="1"/>
  <c r="I21" i="52"/>
  <c r="H26" i="33"/>
  <c r="L26" i="33"/>
  <c r="M26" i="33"/>
  <c r="I22" i="52"/>
  <c r="H27" i="33"/>
  <c r="L27" i="33" s="1"/>
  <c r="M27" i="33"/>
  <c r="J9" i="52"/>
  <c r="L9" i="52"/>
  <c r="K9" i="52" s="1"/>
  <c r="I31" i="52"/>
  <c r="H36" i="33"/>
  <c r="L36" i="33"/>
  <c r="M36" i="33"/>
  <c r="I24" i="52"/>
  <c r="H29" i="33"/>
  <c r="L29" i="33" s="1"/>
  <c r="M29" i="33"/>
  <c r="I20" i="52"/>
  <c r="H25" i="33"/>
  <c r="L25" i="33" s="1"/>
  <c r="M25" i="33"/>
  <c r="I23" i="52"/>
  <c r="H28" i="33"/>
  <c r="L28" i="33" s="1"/>
  <c r="M28" i="33"/>
  <c r="I25" i="52"/>
  <c r="H30" i="33"/>
  <c r="L30" i="33"/>
  <c r="M30" i="33"/>
  <c r="I26" i="52"/>
  <c r="H31" i="33"/>
  <c r="L31" i="33"/>
  <c r="M31" i="33"/>
  <c r="I28" i="52"/>
  <c r="H33" i="33"/>
  <c r="L33" i="33" s="1"/>
  <c r="M33" i="33"/>
  <c r="I32" i="52"/>
  <c r="H37" i="33"/>
  <c r="L37" i="33" s="1"/>
  <c r="M37" i="33"/>
  <c r="I33" i="52"/>
  <c r="H38" i="33"/>
  <c r="L38" i="33" s="1"/>
  <c r="M38" i="33"/>
  <c r="N25" i="33"/>
  <c r="J6" i="52"/>
  <c r="L6" i="52"/>
  <c r="K6" i="52"/>
  <c r="J16" i="52"/>
  <c r="L16" i="52"/>
  <c r="K16" i="52"/>
  <c r="J8" i="52"/>
  <c r="L8" i="52"/>
  <c r="K8" i="52" s="1"/>
  <c r="J17" i="52"/>
  <c r="L17" i="52"/>
  <c r="K17" i="52" s="1"/>
  <c r="J14" i="52"/>
  <c r="L14" i="52"/>
  <c r="K14" i="52" s="1"/>
  <c r="J15" i="52"/>
  <c r="L15" i="52"/>
  <c r="K15" i="52" s="1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<sst xmlns="http://schemas.openxmlformats.org/spreadsheetml/2006/main" count="406" uniqueCount="139">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</sst>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  <numFmt numFmtId="179" formatCode="dd\-mmm\-yy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11" fillId="8" borderId="12" xfId="14" applyFont="1" applyFill="1" applyBorder="1"/>
    <xf numFmtId="0" fontId="11" fillId="8" borderId="3" xfId="14" applyFont="1" applyFill="1" applyBorder="1"/>
    <xf numFmtId="0" fontId="22" fillId="8" borderId="2" xfId="14" applyFont="1" applyFill="1" applyBorder="1" applyAlignment="1">
      <alignment horizontal="left"/>
    </xf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79" fontId="11" fillId="10" borderId="2" xfId="0" applyNumberFormat="1" applyFont="1" applyFill="1" applyBorder="1"/>
    <xf numFmtId="179" fontId="11" fillId="10" borderId="9" xfId="0" applyNumberFormat="1" applyFont="1" applyFill="1" applyBorder="1"/>
    <xf numFmtId="179" fontId="11" fillId="10" borderId="4" xfId="0" applyNumberFormat="1" applyFont="1" applyFill="1" applyBorder="1"/>
    <xf numFmtId="179" fontId="11" fillId="10" borderId="11" xfId="0" applyNumberFormat="1" applyFont="1" applyFill="1" applyBorder="1"/>
    <xf numFmtId="179" fontId="11" fillId="10" borderId="9" xfId="0" applyNumberFormat="1" applyFont="1" applyFill="1" applyBorder="1" applyAlignment="1"/>
    <xf numFmtId="179" fontId="11" fillId="10" borderId="4" xfId="0" applyNumberFormat="1" applyFont="1" applyFill="1" applyBorder="1" applyAlignment="1"/>
    <xf numFmtId="179" fontId="11" fillId="10" borderId="25" xfId="0" applyNumberFormat="1" applyFont="1" applyFill="1" applyBorder="1" applyAlignment="1"/>
    <xf numFmtId="179" fontId="11" fillId="10" borderId="25" xfId="0" applyNumberFormat="1" applyFont="1" applyFill="1" applyBorder="1"/>
    <xf numFmtId="179" fontId="11" fillId="10" borderId="11" xfId="0" applyNumberFormat="1" applyFont="1" applyFill="1" applyBorder="1" applyAlignment="1"/>
    <xf numFmtId="179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79" fontId="11" fillId="10" borderId="4" xfId="14" applyNumberFormat="1" applyFont="1" applyFill="1" applyBorder="1"/>
    <xf numFmtId="179" fontId="11" fillId="10" borderId="11" xfId="14" applyNumberFormat="1" applyFont="1" applyFill="1" applyBorder="1"/>
    <xf numFmtId="179" fontId="21" fillId="10" borderId="4" xfId="43" applyNumberFormat="1" applyFont="1" applyFill="1" applyBorder="1"/>
    <xf numFmtId="179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49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M5</v>
          </cell>
        </row>
        <row r="7">
          <cell r="D7" t="str">
            <v>N5</v>
          </cell>
        </row>
      </sheetData>
      <sheetData sheetId="10">
        <row r="6">
          <cell r="D6" t="str">
            <v>Future Code</v>
          </cell>
        </row>
        <row r="7">
          <cell r="D7" t="str">
            <v>M5</v>
          </cell>
        </row>
      </sheetData>
      <sheetData sheetId="11">
        <row r="6">
          <cell r="D6" t="str">
            <v>M5</v>
          </cell>
        </row>
        <row r="7">
          <cell r="D7" t="str">
            <v>N5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Z5</v>
          </cell>
        </row>
        <row r="7">
          <cell r="D7" t="str">
            <v>H6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42157</v>
          </cell>
        </row>
        <row r="7">
          <cell r="D7">
            <v>42156</v>
          </cell>
        </row>
      </sheetData>
      <sheetData sheetId="29">
        <row r="6">
          <cell r="D6">
            <v>42157</v>
          </cell>
        </row>
        <row r="7">
          <cell r="D7">
            <v>42156</v>
          </cell>
        </row>
      </sheetData>
      <sheetData sheetId="30">
        <row r="6">
          <cell r="D6">
            <v>42158</v>
          </cell>
        </row>
        <row r="7">
          <cell r="D7">
            <v>42157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1.6.0 - MS VC++ (version unknown) - Multithreaded Dynamic Runtime library - Release Configuration - Jun  1 2015 10:45:27</v>
      </c>
    </row>
    <row r="2" spans="1:34" ht="19.5" thickBot="1" x14ac:dyDescent="0.25">
      <c r="B2" s="208" t="s">
        <v>0</v>
      </c>
      <c r="C2" s="209"/>
      <c r="D2" s="209"/>
      <c r="E2" s="210"/>
      <c r="G2" s="208" t="s">
        <v>106</v>
      </c>
      <c r="H2" s="209"/>
      <c r="I2" s="209"/>
      <c r="J2" s="210"/>
    </row>
    <row r="3" spans="1:34" x14ac:dyDescent="0.2">
      <c r="B3" s="211"/>
      <c r="C3" s="1"/>
      <c r="D3" s="1"/>
      <c r="E3" s="212"/>
      <c r="G3" s="219"/>
      <c r="H3" s="5"/>
      <c r="I3" s="5"/>
      <c r="J3" s="220"/>
    </row>
    <row r="4" spans="1:34" x14ac:dyDescent="0.2">
      <c r="B4" s="211"/>
      <c r="C4" s="2" t="s">
        <v>1</v>
      </c>
      <c r="D4" s="3" t="s">
        <v>2</v>
      </c>
      <c r="E4" s="212"/>
      <c r="G4" s="219"/>
      <c r="H4" s="7" t="s">
        <v>8</v>
      </c>
      <c r="I4" s="47" t="b">
        <v>1</v>
      </c>
      <c r="J4" s="221"/>
    </row>
    <row r="5" spans="1:34" s="45" customFormat="1" x14ac:dyDescent="0.2">
      <c r="A5" s="44"/>
      <c r="B5" s="211"/>
      <c r="C5" s="2" t="s">
        <v>3</v>
      </c>
      <c r="D5" s="4" t="s">
        <v>4</v>
      </c>
      <c r="E5" s="212"/>
      <c r="F5" s="44"/>
      <c r="G5" s="219"/>
      <c r="H5" s="7" t="s">
        <v>9</v>
      </c>
      <c r="I5" s="47" t="b">
        <v>1</v>
      </c>
      <c r="J5" s="22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11"/>
      <c r="C6" s="2" t="s">
        <v>5</v>
      </c>
      <c r="D6" s="4" t="str">
        <f>IF(UPPER(Currency)&lt;&gt;"EUR","L","")&amp;"ibor"</f>
        <v>ibor</v>
      </c>
      <c r="E6" s="212"/>
      <c r="F6" s="44"/>
      <c r="G6" s="219"/>
      <c r="H6" s="7" t="s">
        <v>11</v>
      </c>
      <c r="I6" s="47" t="b">
        <v>0</v>
      </c>
      <c r="J6" s="221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11"/>
      <c r="C7" s="2" t="s">
        <v>6</v>
      </c>
      <c r="D7" s="6" t="s">
        <v>7</v>
      </c>
      <c r="E7" s="212"/>
      <c r="G7" s="219"/>
      <c r="H7" s="7" t="s">
        <v>12</v>
      </c>
      <c r="I7" s="48"/>
      <c r="J7" s="221"/>
    </row>
    <row r="8" spans="1:34" x14ac:dyDescent="0.2">
      <c r="B8" s="211"/>
      <c r="C8" s="2" t="s">
        <v>94</v>
      </c>
      <c r="D8" s="9" t="s">
        <v>95</v>
      </c>
      <c r="E8" s="212"/>
      <c r="G8" s="219"/>
      <c r="H8" s="7" t="s">
        <v>13</v>
      </c>
      <c r="I8" s="49" t="b">
        <v>1</v>
      </c>
      <c r="J8" s="221"/>
    </row>
    <row r="9" spans="1:34" x14ac:dyDescent="0.2">
      <c r="B9" s="211"/>
      <c r="C9" s="2" t="s">
        <v>108</v>
      </c>
      <c r="D9" s="9" t="s">
        <v>14</v>
      </c>
      <c r="E9" s="212"/>
      <c r="G9" s="219"/>
      <c r="H9" s="5"/>
      <c r="I9" s="5"/>
      <c r="J9" s="220"/>
    </row>
    <row r="10" spans="1:34" x14ac:dyDescent="0.2">
      <c r="B10" s="213"/>
      <c r="C10" s="214"/>
      <c r="D10" s="214"/>
      <c r="E10" s="212"/>
      <c r="G10" s="219"/>
      <c r="H10" s="7" t="s">
        <v>15</v>
      </c>
      <c r="I10" s="49" t="s">
        <v>16</v>
      </c>
      <c r="J10" s="221"/>
    </row>
    <row r="11" spans="1:34" x14ac:dyDescent="0.2">
      <c r="B11" s="211"/>
      <c r="C11" s="30" t="s">
        <v>19</v>
      </c>
      <c r="D11" s="31">
        <v>42121.73238425926</v>
      </c>
      <c r="E11" s="212"/>
      <c r="G11" s="219"/>
      <c r="H11" s="7" t="s">
        <v>17</v>
      </c>
      <c r="I11" s="50">
        <v>1E-4</v>
      </c>
      <c r="J11" s="221"/>
    </row>
    <row r="12" spans="1:34" x14ac:dyDescent="0.2">
      <c r="B12" s="211"/>
      <c r="C12" s="30" t="s">
        <v>20</v>
      </c>
      <c r="D12" s="32" t="b">
        <v>1</v>
      </c>
      <c r="E12" s="212"/>
      <c r="G12" s="219"/>
      <c r="H12" s="7" t="s">
        <v>18</v>
      </c>
      <c r="I12" s="51">
        <v>-0.01</v>
      </c>
      <c r="J12" s="221"/>
    </row>
    <row r="13" spans="1:34" x14ac:dyDescent="0.2">
      <c r="B13" s="215"/>
      <c r="C13" s="216"/>
      <c r="D13" s="217"/>
      <c r="E13" s="218"/>
      <c r="G13" s="222"/>
      <c r="H13" s="223"/>
      <c r="I13" s="223"/>
      <c r="J13" s="224"/>
    </row>
    <row r="14" spans="1:34" x14ac:dyDescent="0.2">
      <c r="C14" s="46"/>
      <c r="D14" s="46"/>
      <c r="E14" s="46"/>
    </row>
    <row r="15" spans="1:34" ht="18.75" x14ac:dyDescent="0.2">
      <c r="B15" s="230" t="s">
        <v>138</v>
      </c>
      <c r="C15" s="231"/>
      <c r="D15" s="231"/>
      <c r="E15" s="232"/>
      <c r="G15" s="230" t="s">
        <v>90</v>
      </c>
      <c r="H15" s="231"/>
      <c r="I15" s="231"/>
      <c r="J15" s="232"/>
    </row>
    <row r="16" spans="1:34" x14ac:dyDescent="0.2">
      <c r="B16" s="213"/>
      <c r="C16" s="20"/>
      <c r="D16" s="21"/>
      <c r="E16" s="227"/>
      <c r="G16" s="225"/>
      <c r="H16" s="10"/>
      <c r="I16" s="10"/>
      <c r="J16" s="111"/>
    </row>
    <row r="17" spans="2:10" x14ac:dyDescent="0.2">
      <c r="B17" s="211"/>
      <c r="C17" s="24" t="s">
        <v>10</v>
      </c>
      <c r="D17" s="8">
        <f>_xll.qlCalendarAdvance(Calendar,_xll.qlCalendarAdjust(Calendar,EvaluationDate,"f",Trigger),"2D","f")</f>
        <v>42160</v>
      </c>
      <c r="E17" s="212"/>
      <c r="G17" s="225"/>
      <c r="H17" s="2" t="s">
        <v>21</v>
      </c>
      <c r="I17" s="233">
        <v>42158.73951388889</v>
      </c>
      <c r="J17" s="111"/>
    </row>
    <row r="18" spans="2:10" x14ac:dyDescent="0.2">
      <c r="B18" s="211"/>
      <c r="C18" s="2" t="s">
        <v>85</v>
      </c>
      <c r="D18" s="23" t="s">
        <v>87</v>
      </c>
      <c r="E18" s="212"/>
      <c r="G18" s="225"/>
      <c r="H18" s="2" t="s">
        <v>22</v>
      </c>
      <c r="I18" s="33">
        <f>_xll.qlSettingsEvaluationDate(Trigger)</f>
        <v>42158</v>
      </c>
      <c r="J18" s="111"/>
    </row>
    <row r="19" spans="2:10" x14ac:dyDescent="0.2">
      <c r="B19" s="211"/>
      <c r="C19" s="2" t="s">
        <v>86</v>
      </c>
      <c r="D19" s="25" t="str">
        <f>_xll.qlInterpolation(,BasisInterpolation,'1YSynthDepo'!E5:E17,'1YSynthDepo'!I5:I17)</f>
        <v>obj_005dd#0048</v>
      </c>
      <c r="E19" s="212"/>
      <c r="G19" s="225"/>
      <c r="H19" s="2" t="s">
        <v>23</v>
      </c>
      <c r="I19" s="34">
        <f>[1]!TriggerCounter</f>
        <v>49</v>
      </c>
      <c r="J19" s="111"/>
    </row>
    <row r="20" spans="2:10" x14ac:dyDescent="0.2">
      <c r="B20" s="211"/>
      <c r="C20" s="343"/>
      <c r="D20" s="343"/>
      <c r="E20" s="212"/>
      <c r="G20" s="225"/>
      <c r="H20" s="2" t="s">
        <v>24</v>
      </c>
      <c r="I20" s="35">
        <f>[1]!LastFixingsTrigger</f>
        <v>1</v>
      </c>
      <c r="J20" s="111"/>
    </row>
    <row r="21" spans="2:10" x14ac:dyDescent="0.2">
      <c r="B21" s="211"/>
      <c r="C21" s="343"/>
      <c r="D21" s="343"/>
      <c r="E21" s="212"/>
      <c r="G21" s="225"/>
      <c r="H21" s="2" t="s">
        <v>27</v>
      </c>
      <c r="I21" s="3">
        <f>_xll.ohTrigger(Contribution!U16,Contribution!U22,Contribution!U29,Contribution!U39,Contribution!U55)</f>
        <v>0</v>
      </c>
      <c r="J21" s="111"/>
    </row>
    <row r="22" spans="2:10" x14ac:dyDescent="0.2">
      <c r="B22" s="215"/>
      <c r="C22" s="228"/>
      <c r="D22" s="228"/>
      <c r="E22" s="218"/>
      <c r="G22" s="226"/>
      <c r="H22" s="118"/>
      <c r="I22" s="118"/>
      <c r="J22" s="119"/>
    </row>
    <row r="24" spans="2:10" ht="18.75" x14ac:dyDescent="0.2">
      <c r="B24" s="230" t="str">
        <f>D26&amp;" Curve Settings"</f>
        <v>1M Curve Settings</v>
      </c>
      <c r="C24" s="231"/>
      <c r="D24" s="231"/>
      <c r="E24" s="232"/>
    </row>
    <row r="25" spans="2:10" x14ac:dyDescent="0.2">
      <c r="B25" s="211"/>
      <c r="C25" s="1"/>
      <c r="D25" s="1"/>
      <c r="E25" s="212"/>
    </row>
    <row r="26" spans="2:10" x14ac:dyDescent="0.2">
      <c r="B26" s="211"/>
      <c r="C26" s="24" t="s">
        <v>25</v>
      </c>
      <c r="D26" s="3" t="s">
        <v>35</v>
      </c>
      <c r="E26" s="212"/>
    </row>
    <row r="27" spans="2:10" x14ac:dyDescent="0.2">
      <c r="B27" s="211"/>
      <c r="C27" s="24" t="s">
        <v>28</v>
      </c>
      <c r="D27" s="22">
        <v>2</v>
      </c>
      <c r="E27" s="212"/>
    </row>
    <row r="28" spans="2:10" x14ac:dyDescent="0.2">
      <c r="B28" s="211"/>
      <c r="C28" s="2" t="s">
        <v>84</v>
      </c>
      <c r="D28" s="36" t="str">
        <f>_xll.qlEuribor(,"1M",D34,,Trigger)</f>
        <v>obj_005dc#0000</v>
      </c>
      <c r="E28" s="212"/>
    </row>
    <row r="29" spans="2:10" x14ac:dyDescent="0.2">
      <c r="B29" s="213"/>
      <c r="C29" s="214"/>
      <c r="D29" s="214"/>
      <c r="E29" s="227"/>
    </row>
    <row r="30" spans="2:10" x14ac:dyDescent="0.2">
      <c r="B30" s="211"/>
      <c r="C30" s="24" t="s">
        <v>29</v>
      </c>
      <c r="D30" s="4" t="e">
        <v>#N/A</v>
      </c>
      <c r="E30" s="212"/>
    </row>
    <row r="31" spans="2:10" x14ac:dyDescent="0.2">
      <c r="B31" s="211"/>
      <c r="C31" s="24" t="s">
        <v>30</v>
      </c>
      <c r="D31" s="6" t="s">
        <v>31</v>
      </c>
      <c r="E31" s="212"/>
    </row>
    <row r="32" spans="2:10" x14ac:dyDescent="0.2">
      <c r="B32" s="211"/>
      <c r="C32" s="24" t="s">
        <v>32</v>
      </c>
      <c r="D32" s="9" t="s">
        <v>105</v>
      </c>
      <c r="E32" s="212"/>
    </row>
    <row r="33" spans="2:5" x14ac:dyDescent="0.2">
      <c r="B33" s="213"/>
      <c r="C33" s="42"/>
      <c r="D33" s="43"/>
      <c r="E33" s="212"/>
    </row>
    <row r="34" spans="2:5" x14ac:dyDescent="0.2">
      <c r="B34" s="211"/>
      <c r="C34" s="28" t="s">
        <v>88</v>
      </c>
      <c r="D34" s="52" t="str">
        <f>_xll.qlPiecewiseYieldCurve(,2,Calendar,_xll.ohPack('1MSynthDepo'!G13:G21),"actual/365",,,,D31,D32,,Trigger)</f>
        <v>obj_005db#0000</v>
      </c>
      <c r="E34" s="212"/>
    </row>
    <row r="35" spans="2:5" x14ac:dyDescent="0.2">
      <c r="B35" s="211"/>
      <c r="C35" s="29" t="s">
        <v>89</v>
      </c>
      <c r="D35" s="53" t="str">
        <f>_xll.ohRangeRetrieveError($D$34)</f>
        <v/>
      </c>
      <c r="E35" s="229"/>
    </row>
    <row r="36" spans="2:5" x14ac:dyDescent="0.2">
      <c r="B36" s="213"/>
      <c r="C36" s="214"/>
      <c r="D36" s="214"/>
      <c r="E36" s="229"/>
    </row>
    <row r="37" spans="2:5" x14ac:dyDescent="0.2">
      <c r="B37" s="211"/>
      <c r="C37" s="26">
        <f>_xll.qlTermStructureReferenceDate(D34)</f>
        <v>42160</v>
      </c>
      <c r="D37" s="37">
        <f>_xll.qlYieldTSDiscount(D34,C37,,Trigger)</f>
        <v>1</v>
      </c>
      <c r="E37" s="229"/>
    </row>
    <row r="38" spans="2:5" x14ac:dyDescent="0.2">
      <c r="B38" s="211"/>
      <c r="C38" s="27">
        <f>_xll.qlTermStructureMaxDate(D34)</f>
        <v>42374</v>
      </c>
      <c r="D38" s="38">
        <f>_xll.qlYieldTSDiscount(D34,C38,,Trigger)</f>
        <v>1.0003746866902303</v>
      </c>
      <c r="E38" s="229"/>
    </row>
    <row r="39" spans="2:5" x14ac:dyDescent="0.2">
      <c r="B39" s="215"/>
      <c r="C39" s="228"/>
      <c r="D39" s="228"/>
      <c r="E39" s="2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S1" sqref="S1"/>
    </sheetView>
  </sheetViews>
  <sheetFormatPr defaultRowHeight="11.25" outlineLevelCol="1" x14ac:dyDescent="0.2"/>
  <cols>
    <col min="1" max="1" width="3.1640625" style="167" hidden="1" customWidth="1" outlineLevel="1"/>
    <col min="2" max="2" width="7" style="167" hidden="1" customWidth="1" outlineLevel="1"/>
    <col min="3" max="3" width="3.5" style="167" hidden="1" customWidth="1" outlineLevel="1"/>
    <col min="4" max="4" width="2.33203125" style="179" hidden="1" customWidth="1" outlineLevel="1"/>
    <col min="5" max="5" width="4.6640625" style="179" hidden="1" customWidth="1" outlineLevel="1"/>
    <col min="6" max="6" width="8.1640625" style="167" hidden="1" customWidth="1" outlineLevel="1"/>
    <col min="7" max="7" width="22.6640625" style="167" hidden="1" customWidth="1" outlineLevel="1"/>
    <col min="8" max="8" width="23" style="167" hidden="1" customWidth="1" outlineLevel="1"/>
    <col min="9" max="9" width="10.5" style="167" hidden="1" customWidth="1" outlineLevel="1"/>
    <col min="10" max="10" width="16.1640625" style="167" hidden="1" customWidth="1" outlineLevel="1"/>
    <col min="11" max="11" width="17.83203125" style="181" hidden="1" customWidth="1" outlineLevel="1"/>
    <col min="12" max="12" width="14.1640625" style="167" hidden="1" customWidth="1" outlineLevel="1"/>
    <col min="13" max="13" width="19" style="167" hidden="1" customWidth="1" outlineLevel="1"/>
    <col min="14" max="14" width="7" style="167" customWidth="1" collapsed="1"/>
    <col min="15" max="15" width="2.33203125" style="167" bestFit="1" customWidth="1"/>
    <col min="16" max="16" width="3.5" style="167" customWidth="1"/>
    <col min="17" max="17" width="22.83203125" style="167" customWidth="1"/>
    <col min="18" max="18" width="12.83203125" style="167" bestFit="1" customWidth="1"/>
    <col min="19" max="19" width="12.83203125" style="167" customWidth="1"/>
    <col min="20" max="21" width="11.33203125" style="167" customWidth="1"/>
    <col min="22" max="22" width="12.83203125" style="167" bestFit="1" customWidth="1"/>
    <col min="23" max="23" width="9.33203125" style="167" bestFit="1" customWidth="1"/>
    <col min="24" max="24" width="10.5" style="167" customWidth="1"/>
    <col min="25" max="25" width="9.33203125" style="167" hidden="1" customWidth="1" outlineLevel="1"/>
    <col min="26" max="26" width="8.1640625" style="167" hidden="1" customWidth="1" outlineLevel="1"/>
    <col min="27" max="27" width="8.1640625" style="167" bestFit="1" customWidth="1" collapsed="1"/>
    <col min="28" max="28" width="11.5" style="167" customWidth="1"/>
    <col min="29" max="29" width="2.83203125" style="167" customWidth="1"/>
    <col min="30" max="30" width="15.33203125" style="167" customWidth="1"/>
    <col min="31" max="31" width="17" style="167" customWidth="1"/>
    <col min="32" max="32" width="9.33203125" style="167"/>
    <col min="33" max="33" width="10.5" style="167" bestFit="1" customWidth="1"/>
    <col min="34" max="16384" width="9.33203125" style="167"/>
  </cols>
  <sheetData>
    <row r="1" spans="1:33" ht="11.25" customHeight="1" x14ac:dyDescent="0.2">
      <c r="D1" s="167"/>
      <c r="E1" s="167"/>
      <c r="K1" s="167" t="str">
        <f>_xll.qlEuribor(,S1,,,Trigger)</f>
        <v>obj_00596#0000</v>
      </c>
      <c r="L1" s="167" t="str">
        <f>_xll.ohRangeRetrieveError(K1)</f>
        <v/>
      </c>
      <c r="R1" s="328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5"/>
      <c r="B2" s="168" t="s">
        <v>96</v>
      </c>
      <c r="C2" s="168"/>
      <c r="D2" s="169"/>
      <c r="E2" s="169"/>
      <c r="F2" s="168" t="s">
        <v>97</v>
      </c>
      <c r="G2" s="168" t="s">
        <v>98</v>
      </c>
      <c r="H2" s="168" t="s">
        <v>99</v>
      </c>
      <c r="I2" s="168" t="s">
        <v>100</v>
      </c>
      <c r="J2" s="168" t="s">
        <v>72</v>
      </c>
      <c r="K2" s="168" t="s">
        <v>73</v>
      </c>
      <c r="L2" s="170" t="s">
        <v>33</v>
      </c>
      <c r="M2" s="171" t="s">
        <v>74</v>
      </c>
      <c r="N2" s="178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6"/>
      <c r="B3" s="304" t="s">
        <v>102</v>
      </c>
      <c r="C3" s="305"/>
      <c r="D3" s="306"/>
      <c r="E3" s="306"/>
      <c r="F3" s="307"/>
      <c r="G3" s="307"/>
      <c r="H3" s="307"/>
      <c r="I3" s="308"/>
      <c r="J3" s="309" t="str">
        <f>PROPER((Currency))&amp;IborType&amp;S1&amp;"LastFixing"&amp;QuoteSuffix</f>
        <v>Euribor1MLastFixing_Quote</v>
      </c>
      <c r="K3" s="310" t="str">
        <f>_xll.qlDepositRateHelper(,J3,K1,,Trigger)</f>
        <v>obj_005c0#0000</v>
      </c>
      <c r="L3" s="309" t="str">
        <f>_xll.ohRangeRetrieveError(K3)</f>
        <v/>
      </c>
      <c r="M3" s="333" t="b">
        <v>1</v>
      </c>
      <c r="N3" s="167">
        <v>0</v>
      </c>
      <c r="O3" s="167" t="s">
        <v>34</v>
      </c>
      <c r="P3" s="167">
        <v>1</v>
      </c>
      <c r="Q3" s="204" t="str">
        <f>Currency&amp;N3&amp;O3&amp;P3&amp;"F_Estimated"</f>
        <v>EUR0x1F_Estimated</v>
      </c>
      <c r="R3" s="331">
        <f>SettlementDate</f>
        <v>42160</v>
      </c>
      <c r="S3" s="331">
        <f>_xll.qlInterestRateIndexMaturity(iborindex1M,R3,Trigger)</f>
        <v>42191</v>
      </c>
      <c r="T3" s="62">
        <f>_xll.qlIndexFixing(iborindex1M,_xll.qlInterestRateIndexFixingDate(iborindex1M,R3,Trigger),TRUE,AllTriggers)</f>
        <v>-6.1000000000103083E-4</v>
      </c>
      <c r="U3" s="239"/>
      <c r="V3" s="239"/>
      <c r="W3" s="190">
        <f>_xll.qlTenorBasisValue(TenorBasis1M,R3,Trigger)</f>
        <v>5.7933786369105289E-4</v>
      </c>
      <c r="X3" s="239"/>
      <c r="Y3" s="239"/>
      <c r="Z3" s="59">
        <f>_xll.qlDayCounterYearFraction("actual/365 (fixed)",SettlementDate,R3,,,Trigger)</f>
        <v>0</v>
      </c>
      <c r="AA3" s="59">
        <f>_xll.qlYieldTSDiscount(Discounting,R3,,AllTriggers)</f>
        <v>1.0000066667000043</v>
      </c>
      <c r="AB3" s="257"/>
      <c r="AD3" s="277" t="s">
        <v>135</v>
      </c>
      <c r="AE3" s="190" t="str">
        <f>_xll.qlIborIndex(,,S1,2,Currency,Calendar,"mf",TRUE,DayCounter,Discounting,,Trigger)</f>
        <v>obj_00592#0000</v>
      </c>
      <c r="AF3" s="54"/>
      <c r="AG3" s="54"/>
    </row>
    <row r="4" spans="1:33" ht="11.25" customHeight="1" x14ac:dyDescent="0.2">
      <c r="A4" s="176"/>
      <c r="B4" s="311" t="s">
        <v>102</v>
      </c>
      <c r="C4" s="312" t="s">
        <v>42</v>
      </c>
      <c r="D4" s="313">
        <v>2</v>
      </c>
      <c r="E4" s="313" t="s">
        <v>103</v>
      </c>
      <c r="F4" s="311" t="s">
        <v>104</v>
      </c>
      <c r="G4" s="314" t="s">
        <v>101</v>
      </c>
      <c r="H4" s="314" t="s">
        <v>14</v>
      </c>
      <c r="I4" s="315">
        <v>0</v>
      </c>
      <c r="J4" s="316" t="str">
        <f t="shared" ref="J4:J9" si="0">Currency&amp;$D4&amp;$E4&amp;"_Quote"</f>
        <v>EUR2X1S_Quote</v>
      </c>
      <c r="K4" s="158" t="str">
        <f>_xll.qlSwapRateHelper2(,$J4,,C4,Calendar,$F4,$G4,$H4,$K$1,$I4,B4,Discounting,Permanent,Trigger,ObjectOverwrite)</f>
        <v>obj_00597#0000</v>
      </c>
      <c r="L4" s="309" t="str">
        <f>_xll.ohRangeRetrieveError(K4)</f>
        <v/>
      </c>
      <c r="M4" s="334" t="b">
        <v>1</v>
      </c>
      <c r="N4" s="254">
        <v>1</v>
      </c>
      <c r="O4" s="255" t="s">
        <v>34</v>
      </c>
      <c r="P4" s="256">
        <v>2</v>
      </c>
      <c r="Q4" s="247" t="str">
        <f>PROPER((Currency))&amp;IborType&amp;S1&amp;"LastFixing"&amp;QuoteSuffix</f>
        <v>Euribor1MLastFixing_Quote</v>
      </c>
      <c r="R4" s="294">
        <f>SettlementDate</f>
        <v>42160</v>
      </c>
      <c r="S4" s="294">
        <f>_xll.qlInterestRateIndexMaturity(iborindex1M,R4,Trigger)</f>
        <v>42191</v>
      </c>
      <c r="T4" s="190">
        <f>_xll.qlQuoteValue(Q4,LastFixingsTrigger)</f>
        <v>-6.0999999999999997E-4</v>
      </c>
      <c r="U4" s="190">
        <f>_xll.qlIndexFixing(ON_1M_index,_xll.qlInterestRateIndexFixingDate(ON_1M_index,R4),,AllTriggers)</f>
        <v>-1.1893378636920837E-3</v>
      </c>
      <c r="V4" s="258">
        <f>T4-U4</f>
        <v>5.7933786369208375E-4</v>
      </c>
      <c r="W4" s="186">
        <f>_xll.qlTenorBasisValue(TenorBasis1M,R4,Trigger)</f>
        <v>5.7933786369105289E-4</v>
      </c>
      <c r="X4" s="187">
        <f>Y4*10000</f>
        <v>1.0308594255992176E-11</v>
      </c>
      <c r="Y4" s="278">
        <f>V4-W4</f>
        <v>1.0308594255992176E-15</v>
      </c>
      <c r="Z4" s="284">
        <f>_xll.qlDayCounterYearFraction("actual/365 (fixed)",SettlementDate,R4,,,Trigger)</f>
        <v>0</v>
      </c>
      <c r="AA4" s="336">
        <f>_xll.qlYieldTSDiscount(Discounting,R4,,AllTriggers)</f>
        <v>1.0000066667000043</v>
      </c>
      <c r="AB4" s="241" t="b">
        <v>0</v>
      </c>
      <c r="AD4" s="54"/>
      <c r="AE4" s="54"/>
      <c r="AF4" s="54"/>
      <c r="AG4" s="54"/>
    </row>
    <row r="5" spans="1:33" ht="11.25" customHeight="1" x14ac:dyDescent="0.2">
      <c r="A5" s="176"/>
      <c r="B5" s="304" t="s">
        <v>102</v>
      </c>
      <c r="C5" s="317" t="s">
        <v>36</v>
      </c>
      <c r="D5" s="318">
        <v>3</v>
      </c>
      <c r="E5" s="318" t="s">
        <v>103</v>
      </c>
      <c r="F5" s="304" t="s">
        <v>104</v>
      </c>
      <c r="G5" s="319" t="s">
        <v>101</v>
      </c>
      <c r="H5" s="319" t="s">
        <v>14</v>
      </c>
      <c r="I5" s="320">
        <v>0</v>
      </c>
      <c r="J5" s="321" t="str">
        <f t="shared" si="0"/>
        <v>EUR3X1S_Quote</v>
      </c>
      <c r="K5" s="160" t="str">
        <f>_xll.qlSwapRateHelper2(,$J5,,C5,Calendar,$F5,$G5,$H5,$K$1,$I5,B5,Discounting,Permanent,Trigger,ObjectOverwrite)</f>
        <v>obj_00598#0000</v>
      </c>
      <c r="L5" s="202" t="str">
        <f>_xll.ohRangeRetrieveError(K5)</f>
        <v/>
      </c>
      <c r="M5" s="334" t="b">
        <v>1</v>
      </c>
      <c r="N5" s="167">
        <v>0</v>
      </c>
      <c r="O5" s="167" t="s">
        <v>34</v>
      </c>
      <c r="P5" s="167">
        <f>N5+SUBSTITUTE($S$1,"M","")</f>
        <v>1</v>
      </c>
      <c r="Q5" s="204" t="str">
        <f>Currency&amp;N5&amp;O5&amp;P5&amp;"F"</f>
        <v>EUR0x1F</v>
      </c>
      <c r="R5" s="331">
        <f>_xll.qlCalendarAdvance("target",SettlementDate,N5&amp;"M","mf",,Trigger)</f>
        <v>42160</v>
      </c>
      <c r="S5" s="331">
        <f>_xll.qlInterestRateIndexMaturity(iborindex1M,R5,Trigger)</f>
        <v>42191</v>
      </c>
      <c r="T5" s="62">
        <f>_xll.qlIndexFixing(iborindex1M,_xll.qlInterestRateIndexFixingDate(iborindex1M,R5,Trigger),TRUE,AllTriggers)</f>
        <v>-6.1000000000103083E-4</v>
      </c>
      <c r="U5" s="62">
        <f>_xll.qlIndexFixing(ON_1M_index,_xll.qlInterestRateIndexFixingDate(ON_1M_index,R5),,AllTriggers)</f>
        <v>-1.1893378636920837E-3</v>
      </c>
      <c r="V5" s="265">
        <f>T5-U5</f>
        <v>5.7933786369105289E-4</v>
      </c>
      <c r="W5" s="67">
        <f>_xll.qlTenorBasisValue(TenorBasis1M,R5,Trigger)</f>
        <v>5.7933786369105289E-4</v>
      </c>
      <c r="X5" s="240">
        <f>Y5*10000</f>
        <v>0</v>
      </c>
      <c r="Y5" s="234">
        <f>V5-W5</f>
        <v>0</v>
      </c>
      <c r="Z5" s="59">
        <f>_xll.qlDayCounterYearFraction("actual/365 (fixed)",SettlementDate,R5,,,Trigger)</f>
        <v>0</v>
      </c>
      <c r="AA5" s="59">
        <f>_xll.qlYieldTSDiscount(Discounting,R5,,AllTriggers)</f>
        <v>1.0000066667000043</v>
      </c>
      <c r="AB5" s="241" t="b">
        <v>1</v>
      </c>
      <c r="AD5" s="261" t="s">
        <v>125</v>
      </c>
      <c r="AE5" s="262"/>
      <c r="AF5" s="54"/>
      <c r="AG5" s="55"/>
    </row>
    <row r="6" spans="1:33" ht="11.25" customHeight="1" x14ac:dyDescent="0.2">
      <c r="A6" s="175"/>
      <c r="B6" s="304" t="s">
        <v>102</v>
      </c>
      <c r="C6" s="317" t="s">
        <v>43</v>
      </c>
      <c r="D6" s="318">
        <v>4</v>
      </c>
      <c r="E6" s="318" t="s">
        <v>103</v>
      </c>
      <c r="F6" s="304" t="s">
        <v>104</v>
      </c>
      <c r="G6" s="319" t="s">
        <v>101</v>
      </c>
      <c r="H6" s="319" t="s">
        <v>14</v>
      </c>
      <c r="I6" s="320">
        <v>0</v>
      </c>
      <c r="J6" s="321" t="str">
        <f t="shared" si="0"/>
        <v>EUR4X1S_Quote</v>
      </c>
      <c r="K6" s="160" t="str">
        <f>_xll.qlSwapRateHelper2(,$J6,,C6,Calendar,$F6,$G6,$H6,$K$1,$I6,B6,Discounting,Permanent,Trigger,ObjectOverwrite)</f>
        <v>obj_0059a#0000</v>
      </c>
      <c r="L6" s="202" t="str">
        <f>_xll.ohRangeRetrieveError(K6)</f>
        <v/>
      </c>
      <c r="M6" s="334" t="b">
        <v>1</v>
      </c>
      <c r="N6" s="167">
        <v>1</v>
      </c>
      <c r="O6" s="167" t="s">
        <v>34</v>
      </c>
      <c r="P6" s="167">
        <f>N6+SUBSTITUTE($S$1,"M","")</f>
        <v>2</v>
      </c>
      <c r="Q6" s="204" t="str">
        <f>Currency&amp;N6&amp;O6&amp;P6&amp;"F"</f>
        <v>EUR1x2F</v>
      </c>
      <c r="R6" s="331">
        <f>_xll.qlCalendarAdvance("target",SettlementDate,N6&amp;"M","mf",,Trigger)</f>
        <v>42191</v>
      </c>
      <c r="S6" s="331">
        <f>_xll.qlInterestRateIndexMaturity(iborindex1M,R6,Trigger)</f>
        <v>42222</v>
      </c>
      <c r="T6" s="62">
        <f>_xll.qlIndexFixing(iborindex1M,_xll.qlInterestRateIndexFixingDate(iborindex1M,R6,Trigger),TRUE,AllTriggers)</f>
        <v>-7.1282420212546234E-4</v>
      </c>
      <c r="U6" s="62">
        <f>_xll.qlIndexFixing(ON_1M_index,_xll.qlInterestRateIndexFixingDate(ON_1M_index,R6),,AllTriggers)</f>
        <v>-1.251363903573116E-3</v>
      </c>
      <c r="V6" s="265">
        <f>T6-U6</f>
        <v>5.3853970144765364E-4</v>
      </c>
      <c r="W6" s="62">
        <f>_xll.qlTenorBasisValue(TenorBasis1M,R6,Trigger)</f>
        <v>5.3853970144765353E-4</v>
      </c>
      <c r="X6" s="188">
        <f t="shared" ref="X6:X8" si="1">Y6*10000</f>
        <v>0</v>
      </c>
      <c r="Y6" s="234">
        <f t="shared" ref="Y6:Y8" si="2">V6-W6</f>
        <v>0</v>
      </c>
      <c r="Z6" s="59">
        <f>_xll.qlDayCounterYearFraction("actual/365 (fixed)",SettlementDate,R6,,,Trigger)</f>
        <v>8.4931506849315067E-2</v>
      </c>
      <c r="AA6" s="59">
        <f>_xll.qlYieldTSDiscount(Discounting,R6,,AllTriggers)</f>
        <v>1.0001090930777232</v>
      </c>
      <c r="AB6" s="237" t="b">
        <v>1</v>
      </c>
      <c r="AD6" s="277" t="s">
        <v>126</v>
      </c>
      <c r="AE6" s="282" t="str">
        <f>_xll.qlPolynomialCalibration(,_xll.ohFilter($Z$5:$Z$8,$AB$5:$AB$8),_xll.ohFilter($V$5:$V$8,$AB$5:$AB$8),_xll.ohFilter($AA$5:$AA$8,$AB$5:$AB$8),_xll.ohFilter(AG13:AG17,AF13:AF17),,,,,Trigger)</f>
        <v>obj_005e0#0048</v>
      </c>
      <c r="AF6" s="54"/>
      <c r="AG6" s="55"/>
    </row>
    <row r="7" spans="1:33" ht="11.25" customHeight="1" x14ac:dyDescent="0.2">
      <c r="A7" s="175"/>
      <c r="B7" s="304" t="s">
        <v>102</v>
      </c>
      <c r="C7" s="317" t="s">
        <v>44</v>
      </c>
      <c r="D7" s="318">
        <v>5</v>
      </c>
      <c r="E7" s="318" t="s">
        <v>103</v>
      </c>
      <c r="F7" s="304" t="s">
        <v>104</v>
      </c>
      <c r="G7" s="319" t="s">
        <v>101</v>
      </c>
      <c r="H7" s="319" t="s">
        <v>14</v>
      </c>
      <c r="I7" s="320">
        <v>0</v>
      </c>
      <c r="J7" s="321" t="str">
        <f t="shared" si="0"/>
        <v>EUR5X1S_Quote</v>
      </c>
      <c r="K7" s="160" t="str">
        <f>_xll.qlSwapRateHelper2(,$J7,,C7,Calendar,$F7,$G7,$H7,$K$1,$I7,B7,Discounting,Permanent,Trigger,ObjectOverwrite)</f>
        <v>obj_00599#0000</v>
      </c>
      <c r="L7" s="202" t="str">
        <f>_xll.ohRangeRetrieveError(K7)</f>
        <v/>
      </c>
      <c r="M7" s="334" t="b">
        <v>1</v>
      </c>
      <c r="N7" s="167">
        <v>2</v>
      </c>
      <c r="O7" s="167" t="s">
        <v>34</v>
      </c>
      <c r="P7" s="167">
        <f>N7+SUBSTITUTE($S$1,"M","")</f>
        <v>3</v>
      </c>
      <c r="Q7" s="204" t="str">
        <f>Currency&amp;N7&amp;O7&amp;P7&amp;"F"</f>
        <v>EUR2x3F</v>
      </c>
      <c r="R7" s="331">
        <f>_xll.qlCalendarAdvance("target",SettlementDate,N7&amp;"M","mf",,Trigger)</f>
        <v>42221</v>
      </c>
      <c r="S7" s="331">
        <f>_xll.qlInterestRateIndexMaturity(iborindex1M,R7,Trigger)</f>
        <v>42254</v>
      </c>
      <c r="T7" s="62">
        <f>_xll.qlIndexFixing(iborindex1M,_xll.qlInterestRateIndexFixingDate(iborindex1M,R7,Trigger),TRUE,AllTriggers)</f>
        <v>-7.456017740039365E-4</v>
      </c>
      <c r="U7" s="62">
        <f>_xll.qlIndexFixing(ON_1M_index,_xll.qlInterestRateIndexFixingDate(ON_1M_index,R7),,AllTriggers)</f>
        <v>-1.316499709901432E-3</v>
      </c>
      <c r="V7" s="265">
        <f>T7-U7</f>
        <v>5.7089793589749547E-4</v>
      </c>
      <c r="W7" s="62">
        <f>_xll.qlTenorBasisValue(TenorBasis1M,R7,Trigger)</f>
        <v>5.7089793589749558E-4</v>
      </c>
      <c r="X7" s="188">
        <f t="shared" si="1"/>
        <v>0</v>
      </c>
      <c r="Y7" s="234">
        <f t="shared" si="2"/>
        <v>0</v>
      </c>
      <c r="Z7" s="59">
        <f>_xll.qlDayCounterYearFraction("actual/365 (fixed)",SettlementDate,R7,,,Trigger)</f>
        <v>0.16712328767123288</v>
      </c>
      <c r="AA7" s="59">
        <f>_xll.qlYieldTSDiscount(Discounting,R7,,AllTriggers)</f>
        <v>1.0002131875539613</v>
      </c>
      <c r="AB7" s="237" t="b">
        <v>1</v>
      </c>
      <c r="AD7" s="277" t="s">
        <v>127</v>
      </c>
      <c r="AE7" s="282" t="b">
        <f>_xll.qlPolynomialCalibrationCompute($AE$6)</f>
        <v>1</v>
      </c>
      <c r="AF7" s="54"/>
      <c r="AG7" s="55"/>
    </row>
    <row r="8" spans="1:33" ht="11.25" customHeight="1" x14ac:dyDescent="0.2">
      <c r="A8" s="175"/>
      <c r="B8" s="304" t="s">
        <v>102</v>
      </c>
      <c r="C8" s="317" t="s">
        <v>37</v>
      </c>
      <c r="D8" s="318">
        <v>6</v>
      </c>
      <c r="E8" s="318" t="s">
        <v>103</v>
      </c>
      <c r="F8" s="304" t="s">
        <v>104</v>
      </c>
      <c r="G8" s="319" t="s">
        <v>101</v>
      </c>
      <c r="H8" s="319" t="s">
        <v>14</v>
      </c>
      <c r="I8" s="320">
        <v>0</v>
      </c>
      <c r="J8" s="321" t="str">
        <f t="shared" si="0"/>
        <v>EUR6X1S_Quote</v>
      </c>
      <c r="K8" s="160" t="str">
        <f>_xll.qlSwapRateHelper2(,$J8,,C8,Calendar,$F8,$G8,$H8,$K$1,$I8,B8,Discounting,Permanent,Trigger,ObjectOverwrite)</f>
        <v>obj_0059b#0000</v>
      </c>
      <c r="L8" s="202" t="str">
        <f>_xll.ohRangeRetrieveError(K8)</f>
        <v/>
      </c>
      <c r="M8" s="334" t="b">
        <v>1</v>
      </c>
      <c r="N8" s="167">
        <v>3</v>
      </c>
      <c r="O8" s="167" t="s">
        <v>34</v>
      </c>
      <c r="P8" s="167">
        <f>N8+SUBSTITUTE($S$1,"M","")</f>
        <v>4</v>
      </c>
      <c r="Q8" s="205" t="str">
        <f>Currency&amp;N8&amp;O8&amp;P8&amp;"F"</f>
        <v>EUR3x4F</v>
      </c>
      <c r="R8" s="332">
        <f>_xll.qlCalendarAdvance("target",SettlementDate,N8&amp;"M","mf",,Trigger)</f>
        <v>42254</v>
      </c>
      <c r="S8" s="332">
        <f>_xll.qlInterestRateIndexMaturity(iborindex1M,R8,Trigger)</f>
        <v>42284</v>
      </c>
      <c r="T8" s="65">
        <f>_xll.qlIndexFixing(iborindex1M,_xll.qlInterestRateIndexFixingDate(iborindex1M,R8,Trigger),TRUE,AllTriggers)</f>
        <v>-6.8694351185794034E-4</v>
      </c>
      <c r="U8" s="65">
        <f>_xll.qlIndexFixing(ON_1M_index,_xll.qlInterestRateIndexFixingDate(ON_1M_index,R8),,AllTriggers)</f>
        <v>-1.281663742396244E-3</v>
      </c>
      <c r="V8" s="260">
        <f>T8-U8</f>
        <v>5.947202305383037E-4</v>
      </c>
      <c r="W8" s="65">
        <f>_xll.qlTenorBasisValue(TenorBasis1M,R8,Trigger)</f>
        <v>5.9472023053830402E-4</v>
      </c>
      <c r="X8" s="189">
        <f t="shared" si="1"/>
        <v>0</v>
      </c>
      <c r="Y8" s="235">
        <f t="shared" si="2"/>
        <v>0</v>
      </c>
      <c r="Z8" s="60">
        <f>_xll.qlDayCounterYearFraction("actual/365 (fixed)",SettlementDate,R8,,,Trigger)</f>
        <v>0.25753424657534246</v>
      </c>
      <c r="AA8" s="60">
        <f>_xll.qlYieldTSDiscount(Discounting,R8,,AllTriggers)</f>
        <v>1.000333906989644</v>
      </c>
      <c r="AB8" s="238" t="b">
        <v>1</v>
      </c>
      <c r="AD8" s="277" t="s">
        <v>128</v>
      </c>
      <c r="AE8" s="282" t="str">
        <f>_xll.qlPolynomialCalibrationEndCriteria(AE6,)</f>
        <v>StationaryFunctionValue</v>
      </c>
      <c r="AF8" s="54"/>
      <c r="AG8" s="55"/>
    </row>
    <row r="9" spans="1:33" ht="11.25" customHeight="1" x14ac:dyDescent="0.2">
      <c r="B9" s="322" t="s">
        <v>102</v>
      </c>
      <c r="C9" s="323" t="s">
        <v>45</v>
      </c>
      <c r="D9" s="324">
        <v>7</v>
      </c>
      <c r="E9" s="324" t="s">
        <v>103</v>
      </c>
      <c r="F9" s="322" t="s">
        <v>104</v>
      </c>
      <c r="G9" s="325" t="s">
        <v>101</v>
      </c>
      <c r="H9" s="325" t="s">
        <v>14</v>
      </c>
      <c r="I9" s="326">
        <v>0</v>
      </c>
      <c r="J9" s="327" t="str">
        <f t="shared" si="0"/>
        <v>EUR7X1S_Quote</v>
      </c>
      <c r="K9" s="162" t="str">
        <f>_xll.qlSwapRateHelper2(,$J9,,C9,Calendar,$F9,$G9,$H9,$K$1,$I9,B9,Discounting,Permanent,Trigger,ObjectOverwrite)</f>
        <v>obj_0059c#0000</v>
      </c>
      <c r="L9" s="203" t="str">
        <f>_xll.ohRangeRetrieveError(K9)</f>
        <v/>
      </c>
      <c r="M9" s="335" t="b">
        <v>1</v>
      </c>
      <c r="AD9" s="277" t="s">
        <v>89</v>
      </c>
      <c r="AE9" s="190">
        <f>_xll.qlPolynomialCalibrationError(AE6,)</f>
        <v>2.0762310571429667E-19</v>
      </c>
      <c r="AF9" s="54"/>
      <c r="AG9" s="55"/>
    </row>
    <row r="10" spans="1:33" ht="11.25" customHeight="1" thickBot="1" x14ac:dyDescent="0.25">
      <c r="D10" s="167"/>
      <c r="E10" s="167"/>
      <c r="K10" s="167"/>
      <c r="L10" s="177"/>
      <c r="S10" s="58" t="s">
        <v>91</v>
      </c>
      <c r="T10" s="58" t="s">
        <v>80</v>
      </c>
      <c r="U10" s="58" t="s">
        <v>81</v>
      </c>
      <c r="V10" s="286" t="s">
        <v>129</v>
      </c>
      <c r="AD10" s="277" t="s">
        <v>124</v>
      </c>
      <c r="AE10" s="190">
        <f>_xll.qlPolynomialCalibrationMaxError(AE6,)</f>
        <v>3.2526065174565133E-19</v>
      </c>
      <c r="AF10" s="54"/>
      <c r="AG10" s="55"/>
    </row>
    <row r="11" spans="1:33" x14ac:dyDescent="0.2">
      <c r="G11" s="179"/>
      <c r="H11" s="172" t="str">
        <f>S1&amp;" "&amp;PROPER(Currency)&amp;IborType&amp;" Curve"</f>
        <v>1M Euribor Curve</v>
      </c>
      <c r="I11" s="173"/>
      <c r="J11" s="173"/>
      <c r="K11" s="173"/>
      <c r="L11" s="173"/>
      <c r="M11" s="174" t="s">
        <v>110</v>
      </c>
      <c r="S11" s="61" t="s">
        <v>38</v>
      </c>
      <c r="T11" s="268">
        <f>_xll.qlCalendarAdvance(Calendar,SettlementDate,0&amp;"M","mf",TRUE,Trigger)</f>
        <v>42160</v>
      </c>
      <c r="U11" s="269">
        <f>_xll.qlCalendarAdvance(Calendar,SettlementDate,S11,"Following",,Trigger)</f>
        <v>42163</v>
      </c>
      <c r="V11" s="287">
        <f>_xll.qlTenorBasisForwardRate2(TenorBasis1M,T11,U11,AllTriggers)</f>
        <v>-5.8082196471076486E-4</v>
      </c>
      <c r="AD11" s="54"/>
      <c r="AE11" s="54"/>
      <c r="AF11" s="54"/>
      <c r="AG11" s="55"/>
    </row>
    <row r="12" spans="1:33" ht="11.25" customHeight="1" x14ac:dyDescent="0.2">
      <c r="G12" s="171" t="s">
        <v>137</v>
      </c>
      <c r="H12" s="171" t="s">
        <v>77</v>
      </c>
      <c r="I12" s="171" t="s">
        <v>78</v>
      </c>
      <c r="J12" s="171" t="s">
        <v>100</v>
      </c>
      <c r="K12" s="171" t="s">
        <v>75</v>
      </c>
      <c r="L12" s="171" t="s">
        <v>76</v>
      </c>
      <c r="M12" s="201">
        <f t="array" ref="M12:M21">_xll.qlPiecewiseYieldCurveData('General Settings'!D34,InterestRatesTrigger)</f>
        <v>1</v>
      </c>
      <c r="S12" s="63" t="s">
        <v>39</v>
      </c>
      <c r="T12" s="270">
        <f>_xll.qlCalendarAdvance(Calendar,SettlementDate,0&amp;"M","mf",TRUE,Trigger)</f>
        <v>42160</v>
      </c>
      <c r="U12" s="271">
        <f>_xll.qlCalendarAdvance(Calendar,SettlementDate,S12,"Following",,Trigger)</f>
        <v>42167</v>
      </c>
      <c r="V12" s="288">
        <f>_xll.qlTenorBasisForwardRate2(TenorBasis1M,T12,U12,AllTriggers)</f>
        <v>-5.9187099444381525E-4</v>
      </c>
      <c r="AD12" s="261" t="s">
        <v>111</v>
      </c>
      <c r="AE12" s="262"/>
      <c r="AF12" s="263" t="s">
        <v>122</v>
      </c>
      <c r="AG12" s="262" t="s">
        <v>133</v>
      </c>
    </row>
    <row r="13" spans="1:33" ht="11.25" customHeight="1" x14ac:dyDescent="0.2">
      <c r="G13" s="309" t="str">
        <f t="array" ref="G13:G21">_xll.ohFilter(K3:K9,M3:M9)</f>
        <v>obj_005c0#0000</v>
      </c>
      <c r="H13" s="193" t="str">
        <f>_xll.qlRateHelperQuoteName(G13,Trigger)</f>
        <v>Euribor1MLastFixing_Quote</v>
      </c>
      <c r="I13" s="194">
        <f>_xll.qlRateHelperRate(G13,Trigger)</f>
        <v>-4.8000000000000001E-4</v>
      </c>
      <c r="J13" s="195" t="str">
        <f>IFERROR(_xll.qlSwapRateHelperSpread(G13),"--")</f>
        <v>--</v>
      </c>
      <c r="K13" s="329">
        <f>_xll.qlRateHelperEarliestDate(G13,Trigger)</f>
        <v>42160</v>
      </c>
      <c r="L13" s="329">
        <f>_xll.qlRateHelperLatestDate(G13,Trigger)</f>
        <v>42191</v>
      </c>
      <c r="M13" s="196">
        <v>1.0000525305370902</v>
      </c>
      <c r="S13" s="63" t="s">
        <v>40</v>
      </c>
      <c r="T13" s="270">
        <f>_xll.qlCalendarAdvance(Calendar,SettlementDate,0&amp;"M","mf",TRUE,Trigger)</f>
        <v>42160</v>
      </c>
      <c r="U13" s="271">
        <f>_xll.qlCalendarAdvance(Calendar,SettlementDate,S13,"Following",,Trigger)</f>
        <v>42174</v>
      </c>
      <c r="V13" s="288">
        <f>_xll.qlTenorBasisForwardRate2(TenorBasis1M,T13,U13,AllTriggers)</f>
        <v>-5.7876069573716189E-4</v>
      </c>
      <c r="AD13" s="277" t="s">
        <v>113</v>
      </c>
      <c r="AE13" s="190">
        <f t="array" ref="AE13:AE17">_xll.qlPolynomialCalibrationCoefficients($AE$6,$AE$6)</f>
        <v>5.7933786369105289E-4</v>
      </c>
      <c r="AF13" s="190" t="b">
        <v>1</v>
      </c>
      <c r="AG13" s="190">
        <v>5.9000000185571722E-4</v>
      </c>
    </row>
    <row r="14" spans="1:33" ht="11.25" customHeight="1" x14ac:dyDescent="0.2">
      <c r="G14" s="202" t="str">
        <v>obj_00597#0000</v>
      </c>
      <c r="H14" s="193" t="str">
        <f>_xll.qlRateHelperQuoteName(G14,Trigger)</f>
        <v>EUR2X1S_Quote</v>
      </c>
      <c r="I14" s="194">
        <f>_xll.qlRateHelperRate(G14,Trigger)</f>
        <v>-5.5000000000000003E-4</v>
      </c>
      <c r="J14" s="195">
        <f>IFERROR(_xll.qlSwapRateHelperSpread(G14),"--")</f>
        <v>0</v>
      </c>
      <c r="K14" s="329">
        <f>_xll.qlRateHelperEarliestDate(G14,Trigger)</f>
        <v>42160</v>
      </c>
      <c r="L14" s="329">
        <f>_xll.qlRateHelperLatestDate(G14,Trigger)</f>
        <v>42221</v>
      </c>
      <c r="M14" s="196">
        <v>1.0001118481931626</v>
      </c>
      <c r="S14" s="63" t="s">
        <v>41</v>
      </c>
      <c r="T14" s="270">
        <f>_xll.qlCalendarAdvance(Calendar,SettlementDate,0&amp;"M","mf",TRUE,Trigger)</f>
        <v>42160</v>
      </c>
      <c r="U14" s="271">
        <f>_xll.qlCalendarAdvance(Calendar,SettlementDate,S14,"Following",,Trigger)</f>
        <v>42181</v>
      </c>
      <c r="V14" s="288">
        <f>_xll.qlTenorBasisForwardRate2(TenorBasis1M,T14,U14,AllTriggers)</f>
        <v>-5.9272830149202454E-4</v>
      </c>
      <c r="AD14" s="277" t="s">
        <v>114</v>
      </c>
      <c r="AE14" s="190">
        <v>-1.2543875443594731E-3</v>
      </c>
      <c r="AF14" s="190" t="b">
        <v>1</v>
      </c>
      <c r="AG14" s="190">
        <v>1.0608355953064148E-3</v>
      </c>
    </row>
    <row r="15" spans="1:33" ht="11.25" customHeight="1" thickBot="1" x14ac:dyDescent="0.25">
      <c r="G15" s="202" t="str">
        <v>obj_00598#0000</v>
      </c>
      <c r="H15" s="193" t="str">
        <f>_xll.qlRateHelperQuoteName(G15,Trigger)</f>
        <v>EUR3X1S_Quote</v>
      </c>
      <c r="I15" s="194">
        <f>_xll.qlRateHelperRate(G15,Trigger)</f>
        <v>-5.8E-4</v>
      </c>
      <c r="J15" s="195">
        <f>IFERROR(_xll.qlSwapRateHelperSpread(G15),"--")</f>
        <v>0</v>
      </c>
      <c r="K15" s="329">
        <f>_xll.qlRateHelperEarliestDate(G15,Trigger)</f>
        <v>42160</v>
      </c>
      <c r="L15" s="329">
        <f>_xll.qlRateHelperLatestDate(G15,Trigger)</f>
        <v>42254</v>
      </c>
      <c r="M15" s="196">
        <v>1.0001802073390464</v>
      </c>
      <c r="S15" s="267" t="s">
        <v>35</v>
      </c>
      <c r="T15" s="276">
        <f>_xll.qlCalendarAdvance(Calendar,SettlementDate,0&amp;"M","mf",TRUE,Trigger)</f>
        <v>42160</v>
      </c>
      <c r="U15" s="337">
        <f>_xll.qlCalendarAdvance(Calendar,SettlementDate,S15,"mf",TRUE,Trigger)</f>
        <v>42191</v>
      </c>
      <c r="V15" s="338">
        <f>_xll.qlTenorBasisForwardRate2(TenorBasis1M,T15,U15,AllTriggers)</f>
        <v>-6.1743165474681752E-4</v>
      </c>
      <c r="AD15" s="277" t="s">
        <v>115</v>
      </c>
      <c r="AE15" s="190">
        <v>1.1087052969944142E-2</v>
      </c>
      <c r="AF15" s="190" t="b">
        <v>1</v>
      </c>
      <c r="AG15" s="190">
        <v>-1.3619500903228911E-2</v>
      </c>
    </row>
    <row r="16" spans="1:33" ht="11.25" customHeight="1" x14ac:dyDescent="0.2">
      <c r="G16" s="202" t="str">
        <v>obj_0059a#0000</v>
      </c>
      <c r="H16" s="193" t="str">
        <f>_xll.qlRateHelperQuoteName(G16,Trigger)</f>
        <v>EUR4X1S_Quote</v>
      </c>
      <c r="I16" s="194">
        <f>_xll.qlRateHelperRate(G16,Trigger)</f>
        <v>-5.8999999999999992E-4</v>
      </c>
      <c r="J16" s="195">
        <f>IFERROR(_xll.qlSwapRateHelperSpread(G16),"--")</f>
        <v>0</v>
      </c>
      <c r="K16" s="329">
        <f>_xll.qlRateHelperEarliestDate(G16,Trigger)</f>
        <v>42160</v>
      </c>
      <c r="L16" s="329">
        <f>_xll.qlRateHelperLatestDate(G16,Trigger)</f>
        <v>42282</v>
      </c>
      <c r="M16" s="196">
        <v>1.0002339044989244</v>
      </c>
      <c r="AD16" s="277" t="s">
        <v>116</v>
      </c>
      <c r="AE16" s="190">
        <v>-2.3237161279127921E-2</v>
      </c>
      <c r="AF16" s="190" t="b">
        <v>1</v>
      </c>
      <c r="AG16" s="190">
        <v>3.957968823756635E-2</v>
      </c>
    </row>
    <row r="17" spans="4:33" ht="11.25" customHeight="1" x14ac:dyDescent="0.2">
      <c r="G17" s="202" t="str">
        <v>obj_00599#0000</v>
      </c>
      <c r="H17" s="193" t="str">
        <f>_xll.qlRateHelperQuoteName(G17,Trigger)</f>
        <v>EUR5X1S_Quote</v>
      </c>
      <c r="I17" s="194">
        <f>_xll.qlRateHelperRate(G17,Trigger)</f>
        <v>-5.9999999999999995E-4</v>
      </c>
      <c r="J17" s="195">
        <f>IFERROR(_xll.qlSwapRateHelperSpread(G17),"--")</f>
        <v>0</v>
      </c>
      <c r="K17" s="329">
        <f>_xll.qlRateHelperEarliestDate(G17,Trigger)</f>
        <v>42160</v>
      </c>
      <c r="L17" s="329">
        <f>_xll.qlRateHelperLatestDate(G17,Trigger)</f>
        <v>42313</v>
      </c>
      <c r="M17" s="196">
        <v>1.0002891126864983</v>
      </c>
      <c r="AD17" s="277" t="s">
        <v>117</v>
      </c>
      <c r="AE17" s="190" t="e">
        <v>#N/A</v>
      </c>
      <c r="AF17" s="190" t="b">
        <v>0</v>
      </c>
      <c r="AG17" s="190">
        <v>0</v>
      </c>
    </row>
    <row r="18" spans="4:33" ht="11.25" customHeight="1" x14ac:dyDescent="0.2">
      <c r="G18" s="202" t="str">
        <v>obj_0059b#0000</v>
      </c>
      <c r="H18" s="193" t="str">
        <f>_xll.qlRateHelperQuoteName(G18,Trigger)</f>
        <v>EUR6X1S_Quote</v>
      </c>
      <c r="I18" s="194">
        <f>_xll.qlRateHelperRate(G18,Trigger)</f>
        <v>-5.9999999999999995E-4</v>
      </c>
      <c r="J18" s="195">
        <f>IFERROR(_xll.qlSwapRateHelperSpread(G18),"--")</f>
        <v>0</v>
      </c>
      <c r="K18" s="329">
        <f>_xll.qlRateHelperEarliestDate(G18,Trigger)</f>
        <v>42160</v>
      </c>
      <c r="L18" s="329">
        <f>_xll.qlRateHelperLatestDate(G18,Trigger)</f>
        <v>42345</v>
      </c>
      <c r="M18" s="196">
        <v>1.0003547518051366</v>
      </c>
      <c r="AD18" s="277" t="s">
        <v>118</v>
      </c>
      <c r="AE18" s="190" t="str">
        <f>_xll.qlPolynomialTenorBasis(,PROPER(Currency)&amp;IborType&amp;$S1,Discounting,SettlementDate,TRUE,_xll.ohFilter(AE13:AE17,AF13:AF17),,Trigger)</f>
        <v>obj_00842#0035</v>
      </c>
      <c r="AF18" s="54"/>
      <c r="AG18" s="55"/>
    </row>
    <row r="19" spans="4:33" ht="11.25" customHeight="1" x14ac:dyDescent="0.2">
      <c r="G19" s="202" t="str">
        <v>obj_0059c#0000</v>
      </c>
      <c r="H19" s="193" t="str">
        <f>_xll.qlRateHelperQuoteName(G19,Trigger)</f>
        <v>EUR7X1S_Quote</v>
      </c>
      <c r="I19" s="194">
        <f>_xll.qlRateHelperRate(G19,Trigger)</f>
        <v>-6.3000000000000003E-4</v>
      </c>
      <c r="J19" s="195">
        <f>IFERROR(_xll.qlSwapRateHelperSpread(G19),"--")</f>
        <v>0</v>
      </c>
      <c r="K19" s="329">
        <f>_xll.qlRateHelperEarliestDate(G19,Trigger)</f>
        <v>42160</v>
      </c>
      <c r="L19" s="329">
        <f>_xll.qlRateHelperLatestDate(G19,Trigger)</f>
        <v>42374</v>
      </c>
      <c r="M19" s="196">
        <v>1.0003925463393821</v>
      </c>
      <c r="X19" s="54"/>
      <c r="Y19" s="54"/>
      <c r="Z19" s="54"/>
      <c r="AA19" s="55"/>
      <c r="AB19" s="54"/>
    </row>
    <row r="20" spans="4:33" ht="11.25" customHeight="1" x14ac:dyDescent="0.2">
      <c r="D20" s="167"/>
      <c r="E20" s="167"/>
      <c r="G20" s="202" t="e">
        <v>#N/A</v>
      </c>
      <c r="H20" s="193" t="e">
        <f>_xll.qlRateHelperQuoteName(G20,Trigger)</f>
        <v>#VALUE!</v>
      </c>
      <c r="I20" s="194" t="e">
        <f>_xll.qlRateHelperRate(G20,Trigger)</f>
        <v>#VALUE!</v>
      </c>
      <c r="J20" s="195" t="str">
        <f>IFERROR(_xll.qlSwapRateHelperSpread(G20),"--")</f>
        <v>--</v>
      </c>
      <c r="K20" s="329" t="e">
        <f>_xll.qlRateHelperEarliestDate(G20,Trigger)</f>
        <v>#VALUE!</v>
      </c>
      <c r="L20" s="329" t="e">
        <f>_xll.qlRateHelperLatestDate(G20,Trigger)</f>
        <v>#VALUE!</v>
      </c>
      <c r="M20" s="196" t="e">
        <v>#N/A</v>
      </c>
      <c r="X20" s="54"/>
      <c r="Y20" s="54"/>
      <c r="Z20" s="54"/>
      <c r="AA20" s="54"/>
      <c r="AB20" s="54"/>
    </row>
    <row r="21" spans="4:33" ht="11.25" customHeight="1" x14ac:dyDescent="0.2">
      <c r="G21" s="203" t="e">
        <v>#N/A</v>
      </c>
      <c r="H21" s="197" t="e">
        <f>_xll.qlRateHelperQuoteName(G21,Trigger)</f>
        <v>#VALUE!</v>
      </c>
      <c r="I21" s="198" t="e">
        <f>_xll.qlRateHelperRate(G21,Trigger)</f>
        <v>#VALUE!</v>
      </c>
      <c r="J21" s="199" t="str">
        <f>IFERROR(_xll.qlSwapRateHelperSpread(G21),"--")</f>
        <v>--</v>
      </c>
      <c r="K21" s="330" t="e">
        <f>_xll.qlRateHelperEarliestDate(G21,Trigger)</f>
        <v>#VALUE!</v>
      </c>
      <c r="L21" s="330" t="e">
        <f>_xll.qlRateHelperLatestDate(G21,Trigger)</f>
        <v>#VALUE!</v>
      </c>
      <c r="M21" s="200" t="e">
        <v>#N/A</v>
      </c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80"/>
      <c r="J35" s="180"/>
    </row>
    <row r="37" spans="9:10" x14ac:dyDescent="0.2">
      <c r="I37" s="180"/>
      <c r="J37" s="180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3" t="s">
        <v>91</v>
      </c>
      <c r="F1" s="264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4">
        <v>0</v>
      </c>
      <c r="B3" s="255" t="s">
        <v>34</v>
      </c>
      <c r="C3" s="256" t="str">
        <f>SUBSTITUTE($F$1,"M","")</f>
        <v>3</v>
      </c>
      <c r="D3" s="259" t="str">
        <f>Currency&amp;A4&amp;B4&amp;C4&amp;"F"&amp;"_Estimated"</f>
        <v>EUR0x3F_Estimated</v>
      </c>
      <c r="E3" s="294">
        <f>SettlementDate</f>
        <v>42160</v>
      </c>
      <c r="F3" s="294">
        <f>_xll.qlInterestRateIndexMaturity(PROPER(Currency)&amp;"ibor"&amp;$F$1,E3)</f>
        <v>42254</v>
      </c>
      <c r="G3" s="258">
        <f>J3+$H$4</f>
        <v>-7.5316707330642593E-5</v>
      </c>
      <c r="H3" s="239"/>
      <c r="I3" s="239"/>
      <c r="J3" s="190">
        <f>_xll.qlTenorBasisValue($R$18,E3,Trigger)</f>
        <v>1.1775256435781487E-3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130</v>
      </c>
      <c r="R3" s="190" t="str">
        <f>_xll.qlIborIndex(,,F1,2,Currency,Calendar,"mf",TRUE,DayCounter,Discounting,,Trigger)</f>
        <v>obj_00595#0000</v>
      </c>
      <c r="X3" s="57"/>
    </row>
    <row r="4" spans="1:24" ht="11.25" customHeight="1" x14ac:dyDescent="0.2">
      <c r="A4" s="254">
        <v>0</v>
      </c>
      <c r="B4" s="255" t="s">
        <v>34</v>
      </c>
      <c r="C4" s="256" t="str">
        <f>SUBSTITUTE($F$1,"M","")</f>
        <v>3</v>
      </c>
      <c r="D4" s="247" t="str">
        <f>PROPER(Currency&amp;IborType)&amp;F1&amp;"LastFixing"&amp;QuoteSuffix</f>
        <v>Euribor3MLastFixing_Quote</v>
      </c>
      <c r="E4" s="294">
        <f>SettlementDate</f>
        <v>42160</v>
      </c>
      <c r="F4" s="294">
        <f>_xll.qlInterestRateIndexMaturity(ON_6M_index,E4)</f>
        <v>42345</v>
      </c>
      <c r="G4" s="190">
        <f>_xll.qlQuoteValue(D4,LastFixingsTrigger)</f>
        <v>-1.3999999999999999E-4</v>
      </c>
      <c r="H4" s="190">
        <f>_xll.qlIndexFixing(ON_3M_index,_xll.qlInterestRateIndexFixingDate(ON_3M_index,E4),,AllTriggers)</f>
        <v>-1.2528423509087913E-3</v>
      </c>
      <c r="I4" s="258">
        <f t="shared" ref="I4:I22" si="0">G4-H4</f>
        <v>1.1128423509087913E-3</v>
      </c>
      <c r="J4" s="186">
        <f>_xll.qlTenorBasisValue($R$18,E4,Trigger)</f>
        <v>1.1775256435781487E-3</v>
      </c>
      <c r="K4" s="187">
        <f>M4*10000</f>
        <v>-0.6468329266935734</v>
      </c>
      <c r="L4" s="284">
        <f>_xll.qlDayCounterYearFraction("actual/365 (fixed)",SettlementDate,E4,,,Trigger)</f>
        <v>0</v>
      </c>
      <c r="M4" s="278">
        <f t="shared" ref="M4:M22" si="1">I4-J4</f>
        <v>-6.468329266935734E-5</v>
      </c>
      <c r="N4" s="281">
        <f>_xll.qlYieldTSDiscount(Discounting,E4,,AllTriggers)</f>
        <v>1.0000066667000043</v>
      </c>
      <c r="O4" s="236" t="b">
        <v>0</v>
      </c>
      <c r="X4" s="57"/>
    </row>
    <row r="5" spans="1:24" ht="11.25" customHeight="1" x14ac:dyDescent="0.2">
      <c r="A5" s="244">
        <v>1</v>
      </c>
      <c r="B5" s="56" t="s">
        <v>34</v>
      </c>
      <c r="C5" s="251">
        <f t="shared" ref="C5:C10" si="2">A5+SUBSTITUTE($F$1,"M","")</f>
        <v>4</v>
      </c>
      <c r="D5" s="248" t="str">
        <f t="shared" ref="D5:D10" si="3">Currency&amp;A5&amp;B5&amp;C5&amp;"F"&amp;QuoteSuffix</f>
        <v>EUR1x4F_Quote</v>
      </c>
      <c r="E5" s="295">
        <f>_xll.qlCalendarAdvance("target",SettlementDate,A5&amp;"M","mf",,Trigger)</f>
        <v>42191</v>
      </c>
      <c r="F5" s="295">
        <f>_xll.qlInterestRateIndexMaturity(ON_6M_index,E5)</f>
        <v>42375</v>
      </c>
      <c r="G5" s="67">
        <f>_xll.qlQuoteValue(D5,AllTriggers)</f>
        <v>-4.9999999999999996E-5</v>
      </c>
      <c r="H5" s="67">
        <f>_xll.qlIndexFixing(ON_3M_index,_xll.qlInterestRateIndexFixingDate(ON_3M_index,E5),,AllTriggers)</f>
        <v>-1.2830668792568577E-3</v>
      </c>
      <c r="I5" s="280">
        <f t="shared" si="0"/>
        <v>1.2330668792568578E-3</v>
      </c>
      <c r="J5" s="67">
        <f>_xll.qlTenorBasisValue($R$18,E5,Trigger)</f>
        <v>1.2282383897058507E-3</v>
      </c>
      <c r="K5" s="240">
        <f t="shared" ref="K5:K22" si="4">M5*10000</f>
        <v>4.8284895510070612E-2</v>
      </c>
      <c r="L5" s="285">
        <f>_xll.qlDayCounterYearFraction("actual/365 (fixed)",SettlementDate,E5,,,Trigger)</f>
        <v>8.4931506849315067E-2</v>
      </c>
      <c r="M5" s="279">
        <f t="shared" si="1"/>
        <v>4.8284895510070612E-6</v>
      </c>
      <c r="N5" s="183">
        <f>_xll.qlYieldTSDiscount(Discounting,E5,,AllTriggers)</f>
        <v>1.0001090930777232</v>
      </c>
      <c r="O5" s="241" t="b">
        <v>0</v>
      </c>
      <c r="Q5" s="261" t="s">
        <v>125</v>
      </c>
      <c r="R5" s="262"/>
      <c r="T5" s="55"/>
      <c r="X5" s="57"/>
    </row>
    <row r="6" spans="1:24" ht="11.25" customHeight="1" x14ac:dyDescent="0.2">
      <c r="A6" s="244">
        <v>2</v>
      </c>
      <c r="B6" s="56" t="s">
        <v>34</v>
      </c>
      <c r="C6" s="251">
        <f t="shared" si="2"/>
        <v>5</v>
      </c>
      <c r="D6" s="249" t="str">
        <f t="shared" si="3"/>
        <v>EUR2x5F_Quote</v>
      </c>
      <c r="E6" s="296">
        <f>_xll.qlCalendarAdvance("target",SettlementDate,A6&amp;"M","mf",,Trigger)</f>
        <v>42221</v>
      </c>
      <c r="F6" s="296">
        <f>_xll.qlInterestRateIndexMaturity(ON_6M_index,E6)</f>
        <v>42405</v>
      </c>
      <c r="G6" s="62">
        <f>_xll.qlQuoteValue(D6,AllTriggers)</f>
        <v>1.0000000000000009E-5</v>
      </c>
      <c r="H6" s="62">
        <f>_xll.qlIndexFixing(ON_3M_index,_xll.qlInterestRateIndexFixingDate(ON_3M_index,E6),,AllTriggers)</f>
        <v>-1.2894354805701254E-3</v>
      </c>
      <c r="I6" s="265">
        <f t="shared" si="0"/>
        <v>1.2994354805701254E-3</v>
      </c>
      <c r="J6" s="62">
        <f>_xll.qlTenorBasisValue($R$18,E6,Trigger)</f>
        <v>1.2698186206950759E-3</v>
      </c>
      <c r="K6" s="188">
        <f t="shared" si="4"/>
        <v>0.29616859875049523</v>
      </c>
      <c r="L6" s="206">
        <f>_xll.qlDayCounterYearFraction("actual/365 (fixed)",SettlementDate,E6,,,Trigger)</f>
        <v>0.16712328767123288</v>
      </c>
      <c r="M6" s="234">
        <f t="shared" si="1"/>
        <v>2.9616859875049523E-5</v>
      </c>
      <c r="N6" s="184">
        <f>_xll.qlYieldTSDiscount(Discounting,E6,,AllTriggers)</f>
        <v>1.0002131875539613</v>
      </c>
      <c r="O6" s="237" t="b">
        <v>0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obj_00841#0046</v>
      </c>
      <c r="T6" s="55"/>
      <c r="X6" s="57"/>
    </row>
    <row r="7" spans="1:24" ht="11.25" customHeight="1" x14ac:dyDescent="0.2">
      <c r="A7" s="244">
        <f>A6+1</f>
        <v>3</v>
      </c>
      <c r="B7" s="56" t="s">
        <v>34</v>
      </c>
      <c r="C7" s="251">
        <f t="shared" si="2"/>
        <v>6</v>
      </c>
      <c r="D7" s="249" t="str">
        <f t="shared" si="3"/>
        <v>EUR3x6F_Quote</v>
      </c>
      <c r="E7" s="296">
        <f>_xll.qlCalendarAdvance("target",SettlementDate,A7&amp;"M","mf",,Trigger)</f>
        <v>42254</v>
      </c>
      <c r="F7" s="296">
        <f>_xll.qlInterestRateIndexMaturity(ON_6M_index,E7)</f>
        <v>42436</v>
      </c>
      <c r="G7" s="62">
        <f>_xll.qlQuoteValue(D7,AllTriggers)</f>
        <v>3.9999999999999983E-5</v>
      </c>
      <c r="H7" s="62">
        <f>_xll.qlIndexFixing(ON_3M_index,_xll.qlInterestRateIndexFixingDate(ON_3M_index,E7),,AllTriggers)</f>
        <v>-1.2711927887578056E-3</v>
      </c>
      <c r="I7" s="265">
        <f t="shared" si="0"/>
        <v>1.3111927887578055E-3</v>
      </c>
      <c r="J7" s="62">
        <f>_xll.qlTenorBasisValue($R$18,E7,Trigger)</f>
        <v>1.3076465253435768E-3</v>
      </c>
      <c r="K7" s="188">
        <f t="shared" si="4"/>
        <v>3.5462634142286856E-2</v>
      </c>
      <c r="L7" s="206">
        <f>_xll.qlDayCounterYearFraction("actual/365 (fixed)",SettlementDate,E7,,,Trigger)</f>
        <v>0.25753424657534246</v>
      </c>
      <c r="M7" s="234">
        <f t="shared" si="1"/>
        <v>3.5462634142286852E-6</v>
      </c>
      <c r="N7" s="184">
        <f>_xll.qlYieldTSDiscount(Discounting,E7,,AllTriggers)</f>
        <v>1.000333906989644</v>
      </c>
      <c r="O7" s="237" t="b">
        <v>0</v>
      </c>
      <c r="Q7" s="277" t="s">
        <v>127</v>
      </c>
      <c r="R7" s="282" t="b">
        <f>_xll.qlPolynomialCalibrationCompute($R$6)</f>
        <v>1</v>
      </c>
      <c r="T7" s="55"/>
      <c r="X7" s="57"/>
    </row>
    <row r="8" spans="1:24" ht="11.25" customHeight="1" x14ac:dyDescent="0.2">
      <c r="A8" s="244">
        <f t="shared" ref="A8:A10" si="5">A7+1</f>
        <v>4</v>
      </c>
      <c r="B8" s="56" t="s">
        <v>34</v>
      </c>
      <c r="C8" s="251">
        <f t="shared" si="2"/>
        <v>7</v>
      </c>
      <c r="D8" s="249" t="str">
        <f t="shared" si="3"/>
        <v>EUR4x7F_Quote</v>
      </c>
      <c r="E8" s="296">
        <f>_xll.qlCalendarAdvance("target",SettlementDate,A8&amp;"M","mf",,Trigger)</f>
        <v>42282</v>
      </c>
      <c r="F8" s="296">
        <f>_xll.qlInterestRateIndexMaturity(ON_6M_index,E8)</f>
        <v>42465</v>
      </c>
      <c r="G8" s="62">
        <f>_xll.qlQuoteValue(D8,AllTriggers)</f>
        <v>8.9999999999999979E-5</v>
      </c>
      <c r="H8" s="62">
        <f>_xll.qlIndexFixing(ON_3M_index,_xll.qlInterestRateIndexFixingDate(ON_3M_index,E8),,AllTriggers)</f>
        <v>-1.1956350904227821E-3</v>
      </c>
      <c r="I8" s="265">
        <f t="shared" si="0"/>
        <v>1.2856350904227821E-3</v>
      </c>
      <c r="J8" s="62">
        <f>_xll.qlTenorBasisValue($R$18,E8,Trigger)</f>
        <v>1.333726401158732E-3</v>
      </c>
      <c r="K8" s="188">
        <f t="shared" si="4"/>
        <v>-0.48091310735949883</v>
      </c>
      <c r="L8" s="206">
        <f>_xll.qlDayCounterYearFraction("actual/365 (fixed)",SettlementDate,E8,,,Trigger)</f>
        <v>0.33424657534246577</v>
      </c>
      <c r="M8" s="234">
        <f t="shared" si="1"/>
        <v>-4.8091310735949881E-5</v>
      </c>
      <c r="N8" s="184">
        <f>_xll.qlYieldTSDiscount(Discounting,E8,,AllTriggers)</f>
        <v>1.0004335031961453</v>
      </c>
      <c r="O8" s="237" t="b">
        <v>0</v>
      </c>
      <c r="Q8" s="277" t="s">
        <v>128</v>
      </c>
      <c r="R8" s="282" t="str">
        <f>_xll.qlPolynomialCalibrationEndCriteria(R6,)</f>
        <v>None</v>
      </c>
      <c r="T8" s="55"/>
      <c r="X8" s="57"/>
    </row>
    <row r="9" spans="1:24" ht="11.25" customHeight="1" x14ac:dyDescent="0.2">
      <c r="A9" s="244">
        <f t="shared" si="5"/>
        <v>5</v>
      </c>
      <c r="B9" s="56" t="s">
        <v>34</v>
      </c>
      <c r="C9" s="251">
        <f t="shared" si="2"/>
        <v>8</v>
      </c>
      <c r="D9" s="249" t="str">
        <f t="shared" si="3"/>
        <v>EUR5x8F_Quote</v>
      </c>
      <c r="E9" s="296">
        <f>_xll.qlCalendarAdvance("target",SettlementDate,A9&amp;"M","mf",,Trigger)</f>
        <v>42313</v>
      </c>
      <c r="F9" s="296">
        <f>_xll.qlInterestRateIndexMaturity(ON_6M_index,E9)</f>
        <v>42495</v>
      </c>
      <c r="G9" s="62">
        <f>_xll.qlQuoteValue(D9,AllTriggers)</f>
        <v>1.2999999999999999E-4</v>
      </c>
      <c r="H9" s="62">
        <f>_xll.qlIndexFixing(ON_3M_index,_xll.qlInterestRateIndexFixingDate(ON_3M_index,E9),,AllTriggers)</f>
        <v>-1.2059132620517964E-3</v>
      </c>
      <c r="I9" s="265">
        <f t="shared" si="0"/>
        <v>1.3359132620517963E-3</v>
      </c>
      <c r="J9" s="62">
        <f>_xll.qlTenorBasisValue($R$18,E9,Trigger)</f>
        <v>1.3566798376002326E-3</v>
      </c>
      <c r="K9" s="188">
        <f t="shared" si="4"/>
        <v>-0.20766575548436356</v>
      </c>
      <c r="L9" s="206">
        <f>_xll.qlDayCounterYearFraction("actual/365 (fixed)",SettlementDate,E9,,,Trigger)</f>
        <v>0.41917808219178082</v>
      </c>
      <c r="M9" s="234">
        <f t="shared" si="1"/>
        <v>-2.0766575548436354E-5</v>
      </c>
      <c r="N9" s="184">
        <f>_xll.qlYieldTSDiscount(Discounting,E9,,AllTriggers)</f>
        <v>1.0005428888485881</v>
      </c>
      <c r="O9" s="237" t="b">
        <v>0</v>
      </c>
      <c r="Q9" s="277" t="s">
        <v>89</v>
      </c>
      <c r="R9" s="190">
        <f>_xll.qlPolynomialCalibrationError(R6,)</f>
        <v>9.1330137921664169E-5</v>
      </c>
      <c r="T9" s="55"/>
      <c r="X9" s="57"/>
    </row>
    <row r="10" spans="1:24" ht="11.25" customHeight="1" x14ac:dyDescent="0.2">
      <c r="A10" s="244">
        <f t="shared" si="5"/>
        <v>6</v>
      </c>
      <c r="B10" s="56" t="s">
        <v>34</v>
      </c>
      <c r="C10" s="251">
        <f t="shared" si="2"/>
        <v>9</v>
      </c>
      <c r="D10" s="249" t="str">
        <f t="shared" si="3"/>
        <v>EUR6x9F_Quote</v>
      </c>
      <c r="E10" s="296">
        <f>_xll.qlCalendarAdvance("target",SettlementDate,A10&amp;"M","mf",,Trigger)</f>
        <v>42345</v>
      </c>
      <c r="F10" s="296">
        <f>_xll.qlInterestRateIndexMaturity(ON_6M_index,E10)</f>
        <v>42528</v>
      </c>
      <c r="G10" s="62">
        <f>_xll.qlQuoteValue(D10,AllTriggers)</f>
        <v>1.7999999999999998E-4</v>
      </c>
      <c r="H10" s="62">
        <f>_xll.qlIndexFixing(ON_3M_index,_xll.qlInterestRateIndexFixingDate(ON_3M_index,E10),,AllTriggers)</f>
        <v>-1.166525899309073E-3</v>
      </c>
      <c r="I10" s="265">
        <f t="shared" si="0"/>
        <v>1.3465258993090731E-3</v>
      </c>
      <c r="J10" s="62">
        <f>_xll.qlTenorBasisValue($R$18,E10,Trigger)</f>
        <v>1.3744168183358414E-3</v>
      </c>
      <c r="K10" s="188">
        <f t="shared" si="4"/>
        <v>-0.27890919026768346</v>
      </c>
      <c r="L10" s="206">
        <f>_xll.qlDayCounterYearFraction("actual/365 (fixed)",SettlementDate,E10,,,Trigger)</f>
        <v>0.50684931506849318</v>
      </c>
      <c r="M10" s="234">
        <f t="shared" si="1"/>
        <v>-2.7890919026768348E-5</v>
      </c>
      <c r="N10" s="184">
        <f>_xll.qlYieldTSDiscount(Discounting,E10,,AllTriggers)</f>
        <v>1.0006554468921967</v>
      </c>
      <c r="O10" s="237" t="b">
        <v>0</v>
      </c>
      <c r="Q10" s="277" t="s">
        <v>124</v>
      </c>
      <c r="R10" s="190">
        <f>_xll.qlPolynomialCalibrationMaxError(R6,)</f>
        <v>1.946664469327391E-4</v>
      </c>
      <c r="T10" s="55"/>
      <c r="X10" s="57"/>
    </row>
    <row r="11" spans="1:24" ht="11.25" customHeight="1" x14ac:dyDescent="0.2">
      <c r="A11" s="293" t="b">
        <v>0</v>
      </c>
      <c r="B11" s="292"/>
      <c r="C11" s="252" t="str">
        <f>_xll.qlIMMNextCode(SettlementDate,A12)</f>
        <v>M5</v>
      </c>
      <c r="D11" s="248" t="str">
        <f t="shared" ref="D11:D22" si="6">Currency&amp;"FUT"&amp;"3M"&amp;C11&amp;QuoteSuffix</f>
        <v>EURFUT3MM5_Quote</v>
      </c>
      <c r="E11" s="295">
        <f>_xll.qlIMMdate(C11,SettlementDate,Trigger)</f>
        <v>42172</v>
      </c>
      <c r="F11" s="295">
        <f>_xll.qlInterestRateIndexMaturity(ON_6M_index,E11)</f>
        <v>42355</v>
      </c>
      <c r="G11" s="67">
        <f>1-_xll.qlQuoteValue(D11,AllTriggers)/100-_xll.qlQuoteValue(Currency&amp;"FUT"&amp;"3M"&amp;C11&amp;"ConvAdj_Quote")</f>
        <v>-7.4999999999825206E-5</v>
      </c>
      <c r="H11" s="67">
        <f>_xll.qlIndexFixing(ON_3M_index,_xll.qlInterestRateIndexFixingDate(ON_3M_index,E11),,AllTriggers)</f>
        <v>-1.2678736618839622E-3</v>
      </c>
      <c r="I11" s="280">
        <f t="shared" si="0"/>
        <v>1.192873661884137E-3</v>
      </c>
      <c r="J11" s="67">
        <f>_xll.qlTenorBasisValue($R$18,E11,Trigger)</f>
        <v>1.1981250498955905E-3</v>
      </c>
      <c r="K11" s="240">
        <f t="shared" si="4"/>
        <v>-5.2513880114534325E-2</v>
      </c>
      <c r="L11" s="285">
        <f>_xll.qlDayCounterYearFraction("actual/365 (fixed)",SettlementDate,E11,,,Trigger)</f>
        <v>3.287671232876712E-2</v>
      </c>
      <c r="M11" s="279">
        <f t="shared" si="1"/>
        <v>-5.2513880114534329E-6</v>
      </c>
      <c r="N11" s="183">
        <f>_xll.qlYieldTSDiscount(Discounting,E11,,AllTriggers)</f>
        <v>1.0000461685747972</v>
      </c>
      <c r="O11" s="241" t="b">
        <v>1</v>
      </c>
      <c r="T11" s="55"/>
      <c r="X11" s="57"/>
    </row>
    <row r="12" spans="1:24" ht="11.25" customHeight="1" x14ac:dyDescent="0.2">
      <c r="A12" s="244" t="b">
        <v>0</v>
      </c>
      <c r="B12" s="56"/>
      <c r="C12" s="251" t="str">
        <f>_xll.qlIMMNextCode(C11,A12)</f>
        <v>N5</v>
      </c>
      <c r="D12" s="249" t="str">
        <f t="shared" si="6"/>
        <v>EURFUT3MN5_Quote</v>
      </c>
      <c r="E12" s="296">
        <f>_xll.qlIMMdate(C12,SettlementDate,Trigger)</f>
        <v>42200</v>
      </c>
      <c r="F12" s="296">
        <f>_xll.qlInterestRateIndexMaturity(ON_6M_index,E12)</f>
        <v>42384</v>
      </c>
      <c r="G12" s="62">
        <f>1-_xll.qlQuoteValue(D12,AllTriggers)/100-_xll.qlQuoteValue(Currency&amp;"FUT"&amp;"3M"&amp;C12&amp;"ConvAdj_Quote")</f>
        <v>-4.9999999999883471E-5</v>
      </c>
      <c r="H12" s="62">
        <f>_xll.qlIndexFixing(ON_3M_index,_xll.qlInterestRateIndexFixingDate(ON_3M_index,E12),,AllTriggers)</f>
        <v>-1.2833495849895943E-3</v>
      </c>
      <c r="I12" s="265">
        <f t="shared" si="0"/>
        <v>1.2333495849897109E-3</v>
      </c>
      <c r="J12" s="62">
        <f>_xll.qlTenorBasisValue($R$18,E12,Trigger)</f>
        <v>1.241463245449947E-3</v>
      </c>
      <c r="K12" s="188">
        <f t="shared" si="4"/>
        <v>-8.1136604602361106E-2</v>
      </c>
      <c r="L12" s="206">
        <f>_xll.qlDayCounterYearFraction("actual/365 (fixed)",SettlementDate,E12,,,Trigger)</f>
        <v>0.1095890410958904</v>
      </c>
      <c r="M12" s="234">
        <f t="shared" si="1"/>
        <v>-8.1136604602361113E-6</v>
      </c>
      <c r="N12" s="184">
        <f>_xll.qlYieldTSDiscount(Discounting,E12,,AllTriggers)</f>
        <v>1.0001416634364066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  <c r="X12" s="57"/>
    </row>
    <row r="13" spans="1:24" ht="11.25" customHeight="1" x14ac:dyDescent="0.2">
      <c r="A13" s="244" t="b">
        <v>1</v>
      </c>
      <c r="B13" s="56"/>
      <c r="C13" s="251" t="str">
        <f>_xll.qlIMMNextCode(C12,A13)</f>
        <v>U5</v>
      </c>
      <c r="D13" s="249" t="str">
        <f t="shared" si="6"/>
        <v>EURFUT3MU5_Quote</v>
      </c>
      <c r="E13" s="296">
        <f>_xll.qlIMMdate(C13,SettlementDate,Trigger)</f>
        <v>42263</v>
      </c>
      <c r="F13" s="296">
        <f>_xll.qlInterestRateIndexMaturity(ON_6M_index,E13)</f>
        <v>42445</v>
      </c>
      <c r="G13" s="62">
        <f>1-_xll.qlQuoteValue(D13,AllTriggers)/100-_xll.qlQuoteValue(Currency&amp;"FUT"&amp;"3M"&amp;C13&amp;"ConvAdj_Quote")</f>
        <v>7.4999999999936229E-5</v>
      </c>
      <c r="H13" s="62">
        <f>_xll.qlIndexFixing(ON_3M_index,_xll.qlInterestRateIndexFixingDate(ON_3M_index,E13),,AllTriggers)</f>
        <v>-1.2778238652171633E-3</v>
      </c>
      <c r="I13" s="265">
        <f t="shared" si="0"/>
        <v>1.3528238652170995E-3</v>
      </c>
      <c r="J13" s="62">
        <f>_xll.qlTenorBasisValue($R$18,E13,Trigger)</f>
        <v>1.316609417981346E-3</v>
      </c>
      <c r="K13" s="188">
        <f t="shared" si="4"/>
        <v>0.3621444723575355</v>
      </c>
      <c r="L13" s="206">
        <f>_xll.qlDayCounterYearFraction("actual/365 (fixed)",SettlementDate,E13,,,Trigger)</f>
        <v>0.28219178082191781</v>
      </c>
      <c r="M13" s="234">
        <f t="shared" si="1"/>
        <v>3.6214447235753547E-5</v>
      </c>
      <c r="N13" s="184">
        <f>_xll.qlYieldTSDiscount(Discounting,E13,,AllTriggers)</f>
        <v>1.0003666728733038</v>
      </c>
      <c r="O13" s="237" t="b">
        <v>1</v>
      </c>
      <c r="Q13" s="277" t="s">
        <v>113</v>
      </c>
      <c r="R13" s="190">
        <f t="array" ref="R13:R17">_xll.qlPolynomialCalibrationCoefficients($R$6,)</f>
        <v>1.1775256435781487E-3</v>
      </c>
      <c r="S13" s="190" t="b">
        <v>1</v>
      </c>
      <c r="T13" s="190">
        <v>1.2093474798235784E-3</v>
      </c>
      <c r="X13" s="57"/>
    </row>
    <row r="14" spans="1:24" ht="11.25" customHeight="1" x14ac:dyDescent="0.2">
      <c r="A14" s="244" t="b">
        <v>1</v>
      </c>
      <c r="B14" s="56"/>
      <c r="C14" s="251" t="str">
        <f>_xll.qlIMMNextCode(C13,A14)</f>
        <v>Z5</v>
      </c>
      <c r="D14" s="249" t="str">
        <f t="shared" si="6"/>
        <v>EURFUT3MZ5_Quote</v>
      </c>
      <c r="E14" s="296">
        <f>_xll.qlIMMdate(C14,SettlementDate,Trigger)</f>
        <v>42354</v>
      </c>
      <c r="F14" s="296">
        <f>_xll.qlInterestRateIndexMaturity(ON_6M_index,E14)</f>
        <v>42537</v>
      </c>
      <c r="G14" s="62">
        <f>1-_xll.qlQuoteValue(D14,AllTriggers)/100-_xll.qlQuoteValue(Currency&amp;"FUT"&amp;"3M"&amp;C14&amp;"ConvAdj_Quote")</f>
        <v>1.7500000000003624E-4</v>
      </c>
      <c r="H14" s="62">
        <f>_xll.qlIndexFixing(ON_3M_index,_xll.qlInterestRateIndexFixingDate(ON_3M_index,E14),,AllTriggers)</f>
        <v>-1.1693788233335667E-3</v>
      </c>
      <c r="I14" s="265">
        <f t="shared" si="0"/>
        <v>1.3443788233336029E-3</v>
      </c>
      <c r="J14" s="62">
        <f>_xll.qlTenorBasisValue($R$18,E14,Trigger)</f>
        <v>1.378397447033665E-3</v>
      </c>
      <c r="K14" s="188">
        <f t="shared" si="4"/>
        <v>-0.34018623700062106</v>
      </c>
      <c r="L14" s="206">
        <f>_xll.qlDayCounterYearFraction("actual/365 (fixed)",SettlementDate,E14,,,Trigger)</f>
        <v>0.53150684931506853</v>
      </c>
      <c r="M14" s="234">
        <f t="shared" si="1"/>
        <v>-3.4018623700062109E-5</v>
      </c>
      <c r="N14" s="184">
        <f>_xll.qlYieldTSDiscount(Discounting,E14,,AllTriggers)</f>
        <v>1.0006899011922086</v>
      </c>
      <c r="O14" s="237" t="b">
        <v>1</v>
      </c>
      <c r="Q14" s="277" t="s">
        <v>114</v>
      </c>
      <c r="R14" s="190">
        <v>6.4559510975873043E-4</v>
      </c>
      <c r="S14" s="190" t="b">
        <v>1</v>
      </c>
      <c r="T14" s="190">
        <v>5.6902754313964399E-4</v>
      </c>
    </row>
    <row r="15" spans="1:24" ht="11.25" customHeight="1" x14ac:dyDescent="0.2">
      <c r="A15" s="244" t="b">
        <v>1</v>
      </c>
      <c r="B15" s="56"/>
      <c r="C15" s="251" t="str">
        <f>_xll.qlIMMNextCode(C14,A15)</f>
        <v>H6</v>
      </c>
      <c r="D15" s="249" t="str">
        <f t="shared" si="6"/>
        <v>EURFUT3MH6_Quote</v>
      </c>
      <c r="E15" s="296">
        <f>_xll.qlIMMdate(C15,SettlementDate,Trigger)</f>
        <v>42445</v>
      </c>
      <c r="F15" s="296">
        <f>_xll.qlInterestRateIndexMaturity(ON_6M_index,E15)</f>
        <v>42629</v>
      </c>
      <c r="G15" s="62">
        <f>1-_xll.qlQuoteValue(D15,AllTriggers)/100-_xll.qlQuoteValue(Currency&amp;"FUT"&amp;"3M"&amp;C15&amp;"ConvAdj_Quote")</f>
        <v>3.2500000000001972E-4</v>
      </c>
      <c r="H15" s="62">
        <f>_xll.qlIndexFixing(ON_3M_index,_xll.qlInterestRateIndexFixingDate(ON_3M_index,E15),,AllTriggers)</f>
        <v>-1.082086628271685E-3</v>
      </c>
      <c r="I15" s="265">
        <f t="shared" si="0"/>
        <v>1.4070866282717047E-3</v>
      </c>
      <c r="J15" s="62">
        <f>_xll.qlTenorBasisValue($R$18,E15,Trigger)</f>
        <v>1.3975167088186573E-3</v>
      </c>
      <c r="K15" s="188">
        <f t="shared" si="4"/>
        <v>9.5699194530474069E-2</v>
      </c>
      <c r="L15" s="206">
        <f>_xll.qlDayCounterYearFraction("actual/365 (fixed)",SettlementDate,E15,,,Trigger)</f>
        <v>0.78082191780821919</v>
      </c>
      <c r="M15" s="234">
        <f t="shared" si="1"/>
        <v>9.5699194530474065E-6</v>
      </c>
      <c r="N15" s="184">
        <f>_xll.qlYieldTSDiscount(Discounting,E15,,AllTriggers)</f>
        <v>1.000985785563844</v>
      </c>
      <c r="O15" s="237" t="b">
        <v>1</v>
      </c>
      <c r="Q15" s="277" t="s">
        <v>115</v>
      </c>
      <c r="R15" s="190">
        <v>-5.837840385730219E-4</v>
      </c>
      <c r="S15" s="190" t="b">
        <v>1</v>
      </c>
      <c r="T15" s="190">
        <v>-4.3660782585958248E-4</v>
      </c>
    </row>
    <row r="16" spans="1:24" ht="11.25" customHeight="1" x14ac:dyDescent="0.2">
      <c r="A16" s="244" t="b">
        <v>1</v>
      </c>
      <c r="B16" s="56"/>
      <c r="C16" s="251" t="str">
        <f>_xll.qlIMMNextCode(C15,A16)</f>
        <v>M6</v>
      </c>
      <c r="D16" s="249" t="str">
        <f t="shared" si="6"/>
        <v>EURFUT3MM6_Quote</v>
      </c>
      <c r="E16" s="296">
        <f>_xll.qlIMMdate(C16,SettlementDate,Trigger)</f>
        <v>42536</v>
      </c>
      <c r="F16" s="296">
        <f>_xll.qlInterestRateIndexMaturity(ON_6M_index,E16)</f>
        <v>42719</v>
      </c>
      <c r="G16" s="62">
        <f>1-_xll.qlQuoteValue(D16,AllTriggers)/100-_xll.qlQuoteValue(Currency&amp;"FUT"&amp;"3M"&amp;C16&amp;"ConvAdj_Quote")</f>
        <v>4.750000000000032E-4</v>
      </c>
      <c r="H16" s="62">
        <f>_xll.qlIndexFixing(ON_3M_index,_xll.qlInterestRateIndexFixingDate(ON_3M_index,E16),,AllTriggers)</f>
        <v>-9.1472414133947604E-4</v>
      </c>
      <c r="I16" s="265">
        <f t="shared" si="0"/>
        <v>1.3897241413394794E-3</v>
      </c>
      <c r="J16" s="62">
        <f>_xll.qlTenorBasisValue($R$18,E16,Trigger)</f>
        <v>1.3879947751024341E-3</v>
      </c>
      <c r="K16" s="188">
        <f t="shared" si="4"/>
        <v>1.729366237045258E-2</v>
      </c>
      <c r="L16" s="206">
        <f>_xll.qlDayCounterYearFraction("actual/365 (fixed)",SettlementDate,E16,,,Trigger)</f>
        <v>1.0301369863013699</v>
      </c>
      <c r="M16" s="234">
        <f t="shared" si="1"/>
        <v>1.729366237045258E-6</v>
      </c>
      <c r="N16" s="184">
        <f>_xll.qlYieldTSDiscount(Discounting,E16,,AllTriggers)</f>
        <v>1.0012597695619512</v>
      </c>
      <c r="O16" s="237" t="b">
        <v>1</v>
      </c>
      <c r="Q16" s="277" t="s">
        <v>116</v>
      </c>
      <c r="R16" s="190">
        <v>1.5086401628980001E-4</v>
      </c>
      <c r="S16" s="190" t="b">
        <v>1</v>
      </c>
      <c r="T16" s="190">
        <v>1.147272926255198E-4</v>
      </c>
    </row>
    <row r="17" spans="1:20" ht="11.25" customHeight="1" x14ac:dyDescent="0.2">
      <c r="A17" s="244" t="b">
        <v>1</v>
      </c>
      <c r="B17" s="56"/>
      <c r="C17" s="251" t="str">
        <f>_xll.qlIMMNextCode(C16,A17)</f>
        <v>U6</v>
      </c>
      <c r="D17" s="249" t="str">
        <f t="shared" si="6"/>
        <v>EURFUT3MU6_Quote</v>
      </c>
      <c r="E17" s="296">
        <f>_xll.qlIMMdate(C17,SettlementDate,Trigger)</f>
        <v>42634</v>
      </c>
      <c r="F17" s="296">
        <f>_xll.qlInterestRateIndexMaturity(ON_6M_index,E17)</f>
        <v>42815</v>
      </c>
      <c r="G17" s="62">
        <f>1-_xll.qlQuoteValue(D17,AllTriggers)/100-_xll.qlQuoteValue(Currency&amp;"FUT"&amp;"3M"&amp;C17&amp;"ConvAdj_Quote")</f>
        <v>7.7499999999997016E-4</v>
      </c>
      <c r="H17" s="62">
        <f>_xll.qlIndexFixing(ON_3M_index,_xll.qlInterestRateIndexFixingDate(ON_3M_index,E17),,AllTriggers)</f>
        <v>-7.022035106791707E-4</v>
      </c>
      <c r="I17" s="265">
        <f t="shared" si="0"/>
        <v>1.4772035106791408E-3</v>
      </c>
      <c r="J17" s="62">
        <f>_xll.qlTenorBasisValue($R$18,E17,Trigger)</f>
        <v>1.3617995854490555E-3</v>
      </c>
      <c r="K17" s="188">
        <f t="shared" si="4"/>
        <v>1.1540392523008529</v>
      </c>
      <c r="L17" s="206">
        <f>_xll.qlDayCounterYearFraction("actual/365 (fixed)",SettlementDate,E17,,,Trigger)</f>
        <v>1.2986301369863014</v>
      </c>
      <c r="M17" s="234">
        <f t="shared" si="1"/>
        <v>1.1540392523008529E-4</v>
      </c>
      <c r="N17" s="184">
        <f>_xll.qlYieldTSDiscount(Discounting,E17,,AllTriggers)</f>
        <v>1.0015070157664578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 t="b">
        <v>1</v>
      </c>
      <c r="B18" s="56"/>
      <c r="C18" s="251" t="str">
        <f>_xll.qlIMMNextCode(C17,A18)</f>
        <v>Z6</v>
      </c>
      <c r="D18" s="249" t="str">
        <f t="shared" si="6"/>
        <v>EURFUT3MZ6_Quote</v>
      </c>
      <c r="E18" s="296">
        <f>_xll.qlIMMdate(C18,SettlementDate,Trigger)</f>
        <v>42725</v>
      </c>
      <c r="F18" s="296">
        <f>_xll.qlInterestRateIndexMaturity(ON_6M_index,E18)</f>
        <v>42907</v>
      </c>
      <c r="G18" s="62">
        <f>1-_xll.qlQuoteValue(D18,AllTriggers)/100-_xll.qlQuoteValue(Currency&amp;"FUT"&amp;"3M"&amp;C18&amp;"ConvAdj_Quote")</f>
        <v>1.1750000000000371E-3</v>
      </c>
      <c r="H18" s="62">
        <f>_xll.qlIndexFixing(ON_3M_index,_xll.qlInterestRateIndexFixingDate(ON_3M_index,E18),,AllTriggers)</f>
        <v>-2.9885435772403213E-4</v>
      </c>
      <c r="I18" s="265">
        <f t="shared" si="0"/>
        <v>1.4738543577240693E-3</v>
      </c>
      <c r="J18" s="62">
        <f>_xll.qlTenorBasisValue($R$18,E18,Trigger)</f>
        <v>1.3376139187906604E-3</v>
      </c>
      <c r="K18" s="188">
        <f t="shared" si="4"/>
        <v>1.3624043893340887</v>
      </c>
      <c r="L18" s="206">
        <f>_xll.qlDayCounterYearFraction("actual/365 (fixed)",SettlementDate,E18,,,Trigger)</f>
        <v>1.547945205479452</v>
      </c>
      <c r="M18" s="234">
        <f t="shared" si="1"/>
        <v>1.3624043893340886E-4</v>
      </c>
      <c r="N18" s="184">
        <f>_xll.qlYieldTSDiscount(Discounting,E18,,AllTriggers)</f>
        <v>1.0016848162667535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obj_00843#0029</v>
      </c>
      <c r="T18" s="55"/>
    </row>
    <row r="19" spans="1:20" ht="11.25" customHeight="1" x14ac:dyDescent="0.2">
      <c r="A19" s="244" t="b">
        <v>1</v>
      </c>
      <c r="B19" s="56"/>
      <c r="C19" s="251" t="str">
        <f>_xll.qlIMMNextCode(C18,A19)</f>
        <v>H7</v>
      </c>
      <c r="D19" s="249" t="str">
        <f t="shared" si="6"/>
        <v>EURFUT3MH7_Quote</v>
      </c>
      <c r="E19" s="296">
        <f>_xll.qlIMMdate(C19,SettlementDate,Trigger)</f>
        <v>42809</v>
      </c>
      <c r="F19" s="296">
        <f>_xll.qlInterestRateIndexMaturity(ON_6M_index,E19)</f>
        <v>42993</v>
      </c>
      <c r="G19" s="62">
        <f>1-_xll.qlQuoteValue(D19,AllTriggers)/100-_xll.qlQuoteValue(Currency&amp;"FUT"&amp;"3M"&amp;C19&amp;"ConvAdj_Quote")</f>
        <v>1.6750000000000931E-3</v>
      </c>
      <c r="H19" s="62">
        <f>_xll.qlIndexFixing(ON_3M_index,_xll.qlInterestRateIndexFixingDate(ON_3M_index,E19),,AllTriggers)</f>
        <v>1.2576151015792516E-4</v>
      </c>
      <c r="I19" s="265">
        <f t="shared" si="0"/>
        <v>1.549238489842168E-3</v>
      </c>
      <c r="J19" s="62">
        <f>_xll.qlTenorBasisValue($R$18,E19,Trigger)</f>
        <v>1.3278575186075748E-3</v>
      </c>
      <c r="K19" s="188">
        <f t="shared" si="4"/>
        <v>2.2138097123459315</v>
      </c>
      <c r="L19" s="206">
        <f>_xll.qlDayCounterYearFraction("actual/365 (fixed)",SettlementDate,E19,,,Trigger)</f>
        <v>1.7780821917808218</v>
      </c>
      <c r="M19" s="234">
        <f t="shared" si="1"/>
        <v>2.2138097123459315E-4</v>
      </c>
      <c r="N19" s="184">
        <f>_xll.qlYieldTSDiscount(Discounting,E19,,AllTriggers)</f>
        <v>1.0017568865164084</v>
      </c>
      <c r="O19" s="237" t="b">
        <v>0</v>
      </c>
      <c r="T19" s="55"/>
    </row>
    <row r="20" spans="1:20" ht="11.25" customHeight="1" x14ac:dyDescent="0.2">
      <c r="A20" s="244" t="b">
        <v>1</v>
      </c>
      <c r="B20" s="56"/>
      <c r="C20" s="251" t="str">
        <f>_xll.qlIMMNextCode(C19,A20)</f>
        <v>M7</v>
      </c>
      <c r="D20" s="249" t="str">
        <f t="shared" si="6"/>
        <v>EURFUT3MM7_Quote</v>
      </c>
      <c r="E20" s="296">
        <f>_xll.qlIMMdate(C20,SettlementDate,Trigger)</f>
        <v>42907</v>
      </c>
      <c r="F20" s="296">
        <f>_xll.qlInterestRateIndexMaturity(ON_6M_index,E20)</f>
        <v>43090</v>
      </c>
      <c r="G20" s="62">
        <f>1-_xll.qlQuoteValue(D20,AllTriggers)/100-_xll.qlQuoteValue(Currency&amp;"FUT"&amp;"3M"&amp;C20&amp;"ConvAdj_Quote")</f>
        <v>2.3250000000000215E-3</v>
      </c>
      <c r="H20" s="62">
        <f>_xll.qlIndexFixing(ON_3M_index,_xll.qlInterestRateIndexFixingDate(ON_3M_index,E20),,AllTriggers)</f>
        <v>7.2261987182976471E-4</v>
      </c>
      <c r="I20" s="265">
        <f t="shared" si="0"/>
        <v>1.6023801281702568E-3</v>
      </c>
      <c r="J20" s="62">
        <f>_xll.qlTenorBasisValue($R$18,E20,Trigger)</f>
        <v>1.3468318485773529E-3</v>
      </c>
      <c r="K20" s="188">
        <f t="shared" si="4"/>
        <v>2.5554827959290392</v>
      </c>
      <c r="L20" s="206">
        <f>_xll.qlDayCounterYearFraction("actual/365 (fixed)",SettlementDate,E20,,,Trigger)</f>
        <v>2.0465753424657533</v>
      </c>
      <c r="M20" s="234">
        <f t="shared" si="1"/>
        <v>2.5554827959290392E-4</v>
      </c>
      <c r="N20" s="184">
        <f>_xll.qlYieldTSDiscount(Discounting,E20,,AllTriggers)</f>
        <v>1.0017176919894981</v>
      </c>
      <c r="O20" s="237" t="b">
        <v>0</v>
      </c>
      <c r="T20" s="55"/>
    </row>
    <row r="21" spans="1:20" ht="11.25" customHeight="1" x14ac:dyDescent="0.2">
      <c r="A21" s="244" t="b">
        <v>1</v>
      </c>
      <c r="B21" s="56"/>
      <c r="C21" s="251" t="str">
        <f>_xll.qlIMMNextCode(C20,A21)</f>
        <v>U7</v>
      </c>
      <c r="D21" s="249" t="str">
        <f t="shared" si="6"/>
        <v>EURFUT3MU7_Quote</v>
      </c>
      <c r="E21" s="296">
        <f>_xll.qlIMMdate(C21,SettlementDate,Trigger)</f>
        <v>42998</v>
      </c>
      <c r="F21" s="296">
        <f>_xll.qlInterestRateIndexMaturity(ON_6M_index,E21)</f>
        <v>43179</v>
      </c>
      <c r="G21" s="62">
        <f>1-_xll.qlQuoteValue(D21,AllTriggers)/100-_xll.qlQuoteValue(Currency&amp;"FUT"&amp;"3M"&amp;C21&amp;"ConvAdj_Quote")</f>
        <v>2.9749999999999499E-3</v>
      </c>
      <c r="H21" s="62">
        <f>_xll.qlIndexFixing(ON_3M_index,_xll.qlInterestRateIndexFixingDate(ON_3M_index,E21),,AllTriggers)</f>
        <v>1.3859854206290999E-3</v>
      </c>
      <c r="I21" s="265">
        <f t="shared" si="0"/>
        <v>1.58901457937085E-3</v>
      </c>
      <c r="J21" s="62">
        <f>_xll.qlTenorBasisValue($R$18,E21,Trigger)</f>
        <v>1.408290588554662E-3</v>
      </c>
      <c r="K21" s="188">
        <f t="shared" si="4"/>
        <v>1.8072399081618804</v>
      </c>
      <c r="L21" s="206">
        <f>_xll.qlDayCounterYearFraction("actual/365 (fixed)",SettlementDate,E21,,,Trigger)</f>
        <v>2.2958904109589042</v>
      </c>
      <c r="M21" s="234">
        <f t="shared" si="1"/>
        <v>1.8072399081618803E-4</v>
      </c>
      <c r="N21" s="184">
        <f>_xll.qlYieldTSDiscount(Discounting,E21,,AllTriggers)</f>
        <v>1.0015356076156656</v>
      </c>
      <c r="O21" s="237" t="b">
        <v>0</v>
      </c>
      <c r="T21" s="55"/>
    </row>
    <row r="22" spans="1:20" ht="11.25" customHeight="1" x14ac:dyDescent="0.2">
      <c r="A22" s="245" t="b">
        <v>1</v>
      </c>
      <c r="B22" s="246"/>
      <c r="C22" s="253" t="str">
        <f>_xll.qlIMMNextCode(C21,A22)</f>
        <v>Z7</v>
      </c>
      <c r="D22" s="250" t="str">
        <f t="shared" si="6"/>
        <v>EURFUT3MZ7_Quote</v>
      </c>
      <c r="E22" s="297">
        <f>_xll.qlIMMdate(C22,SettlementDate,Trigger)</f>
        <v>43089</v>
      </c>
      <c r="F22" s="297">
        <f>_xll.qlInterestRateIndexMaturity(ON_6M_index,E22)</f>
        <v>43271</v>
      </c>
      <c r="G22" s="65">
        <f>1-_xll.qlQuoteValue(D22,AllTriggers)/100-_xll.qlQuoteValue(Currency&amp;"FUT"&amp;"3M"&amp;C22&amp;"ConvAdj_Quote")</f>
        <v>3.7249999999999783E-3</v>
      </c>
      <c r="H22" s="65">
        <f>_xll.qlIndexFixing(ON_3M_index,_xll.qlInterestRateIndexFixingDate(ON_3M_index,E22),,AllTriggers)</f>
        <v>2.1987773291902712E-3</v>
      </c>
      <c r="I22" s="260">
        <f t="shared" si="0"/>
        <v>1.5262226708097071E-3</v>
      </c>
      <c r="J22" s="65">
        <f>_xll.qlTenorBasisValue($R$18,E22,Trigger)</f>
        <v>1.5263526076094267E-3</v>
      </c>
      <c r="K22" s="189">
        <f t="shared" si="4"/>
        <v>-1.2993679971958286E-3</v>
      </c>
      <c r="L22" s="207">
        <f>_xll.qlDayCounterYearFraction("actual/365 (fixed)",SettlementDate,E22,,,Trigger)</f>
        <v>2.5452054794520547</v>
      </c>
      <c r="M22" s="235">
        <f t="shared" si="1"/>
        <v>-1.2993679971958286E-7</v>
      </c>
      <c r="N22" s="185">
        <f>_xll.qlYieldTSDiscount(Discounting,E22,,AllTriggers)</f>
        <v>1.001184846194509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L23" s="56"/>
      <c r="M23" s="56"/>
      <c r="N23" s="56"/>
      <c r="O23" s="56"/>
      <c r="T23" s="55"/>
    </row>
    <row r="24" spans="1:20" ht="21.95" customHeight="1" thickBot="1" x14ac:dyDescent="0.25">
      <c r="E24" s="182"/>
      <c r="F24" s="58" t="s">
        <v>91</v>
      </c>
      <c r="G24" s="58" t="s">
        <v>80</v>
      </c>
      <c r="H24" s="58" t="s">
        <v>81</v>
      </c>
      <c r="I24" s="286" t="s">
        <v>129</v>
      </c>
      <c r="T24" s="55"/>
    </row>
    <row r="25" spans="1:20" ht="11.25" customHeight="1" x14ac:dyDescent="0.2">
      <c r="E25" s="182"/>
      <c r="F25" s="61" t="s">
        <v>38</v>
      </c>
      <c r="G25" s="268">
        <f>_xll.qlCalendarAdvance(Calendar,SettlementDate,0&amp;"M","mf",TRUE,Trigger)</f>
        <v>42160</v>
      </c>
      <c r="H25" s="269">
        <f>_xll.qlCalendarAdvance(Calendar,SettlementDate,F25,"Following",,Trigger)</f>
        <v>42163</v>
      </c>
      <c r="I25" s="287">
        <f>_xll.qlTenorBasisForwardRate2(TenorBasis3M,G25,H25,AllTriggers)</f>
        <v>-1.3505198438235055E-4</v>
      </c>
    </row>
    <row r="26" spans="1:20" ht="11.25" customHeight="1" x14ac:dyDescent="0.2">
      <c r="E26" s="182"/>
      <c r="F26" s="63" t="s">
        <v>39</v>
      </c>
      <c r="G26" s="270">
        <f>_xll.qlCalendarAdvance(Calendar,SettlementDate,0&amp;"M","mf",TRUE,Trigger)</f>
        <v>42160</v>
      </c>
      <c r="H26" s="271">
        <f>_xll.qlCalendarAdvance(Calendar,SettlementDate,F26,"Following",,Trigger)</f>
        <v>42167</v>
      </c>
      <c r="I26" s="288">
        <f>_xll.qlTenorBasisForwardRate2(TenorBasis3M,G26,H26,AllTriggers)</f>
        <v>-1.307744631156333E-4</v>
      </c>
    </row>
    <row r="27" spans="1:20" ht="11.25" customHeight="1" x14ac:dyDescent="0.2">
      <c r="E27" s="182"/>
      <c r="F27" s="63" t="s">
        <v>40</v>
      </c>
      <c r="G27" s="270">
        <f>_xll.qlCalendarAdvance(Calendar,SettlementDate,0&amp;"M","mf",TRUE,Trigger)</f>
        <v>42160</v>
      </c>
      <c r="H27" s="271">
        <f>_xll.qlCalendarAdvance(Calendar,SettlementDate,F27,"Following",,Trigger)</f>
        <v>42174</v>
      </c>
      <c r="I27" s="288">
        <f>_xll.qlTenorBasisForwardRate2(TenorBasis3M,G27,H27,AllTriggers)</f>
        <v>-9.3422520025690913E-5</v>
      </c>
    </row>
    <row r="28" spans="1:20" ht="11.25" customHeight="1" x14ac:dyDescent="0.2">
      <c r="E28" s="182"/>
      <c r="F28" s="63" t="s">
        <v>41</v>
      </c>
      <c r="G28" s="270">
        <f>_xll.qlCalendarAdvance(Calendar,SettlementDate,0&amp;"M","mf",TRUE,Trigger)</f>
        <v>42160</v>
      </c>
      <c r="H28" s="271">
        <f>_xll.qlCalendarAdvance(Calendar,SettlementDate,F28,"Following",,Trigger)</f>
        <v>42181</v>
      </c>
      <c r="I28" s="288">
        <f>_xll.qlTenorBasisForwardRate2(TenorBasis3M,G28,H28,AllTriggers)</f>
        <v>-8.622357393596656E-5</v>
      </c>
    </row>
    <row r="29" spans="1:20" ht="11.25" customHeight="1" x14ac:dyDescent="0.2">
      <c r="E29" s="182"/>
      <c r="F29" s="266" t="s">
        <v>35</v>
      </c>
      <c r="G29" s="272">
        <f>_xll.qlCalendarAdvance(Calendar,SettlementDate,0&amp;"M","mf",TRUE,Trigger)</f>
        <v>42160</v>
      </c>
      <c r="H29" s="273">
        <f>_xll.qlCalendarAdvance(Calendar,SettlementDate,F29,"mf",TRUE,Trigger)</f>
        <v>42191</v>
      </c>
      <c r="I29" s="289">
        <f>_xll.qlTenorBasisForwardRate2(TenorBasis3M,G29,H29,AllTriggers)</f>
        <v>-8.5539265429578025E-5</v>
      </c>
    </row>
    <row r="30" spans="1:20" ht="11.25" customHeight="1" x14ac:dyDescent="0.2">
      <c r="E30" s="182"/>
      <c r="F30" s="63" t="s">
        <v>42</v>
      </c>
      <c r="G30" s="270">
        <f>_xll.qlCalendarAdvance(Calendar,SettlementDate,0&amp;"M","mf",TRUE,Trigger)</f>
        <v>42160</v>
      </c>
      <c r="H30" s="271">
        <f>_xll.qlCalendarAdvance(Calendar,SettlementDate,F30,"mf",TRUE,Trigger)</f>
        <v>42221</v>
      </c>
      <c r="I30" s="288">
        <f>_xll.qlTenorBasisForwardRate2(TenorBasis3M,G30,H30,AllTriggers)</f>
        <v>-8.6490719934248007E-5</v>
      </c>
    </row>
    <row r="31" spans="1:20" ht="11.25" customHeight="1" thickBot="1" x14ac:dyDescent="0.25">
      <c r="E31" s="182"/>
      <c r="F31" s="264" t="s">
        <v>36</v>
      </c>
      <c r="G31" s="274">
        <f>_xll.qlCalendarAdvance(Calendar,SettlementDate,0&amp;"M","mf",TRUE,Trigger)</f>
        <v>42160</v>
      </c>
      <c r="H31" s="275">
        <f>_xll.qlCalendarAdvance(Calendar,SettlementDate,F31,"mf",TRUE,Trigger)</f>
        <v>42254</v>
      </c>
      <c r="I31" s="291">
        <f>_xll.qlTenorBasisForwardRate2(TenorBasis3M,G31,H31,AllTriggers)</f>
        <v>-9.2702532836066103E-5</v>
      </c>
    </row>
    <row r="32" spans="1:20" ht="11.25" customHeight="1" x14ac:dyDescent="0.2">
      <c r="E32" s="182"/>
      <c r="F32" s="182"/>
      <c r="G32" s="57"/>
      <c r="H32" s="57"/>
      <c r="I32" s="57"/>
    </row>
    <row r="33" spans="5:9" ht="11.25" customHeight="1" x14ac:dyDescent="0.2">
      <c r="E33" s="182"/>
      <c r="F33" s="182"/>
      <c r="G33" s="57"/>
      <c r="H33" s="57"/>
      <c r="I33" s="57"/>
    </row>
    <row r="34" spans="5:9" ht="11.25" customHeight="1" x14ac:dyDescent="0.2">
      <c r="E34" s="182"/>
      <c r="F34" s="182"/>
      <c r="G34" s="57"/>
      <c r="H34" s="57"/>
      <c r="I34" s="57"/>
    </row>
    <row r="35" spans="5:9" ht="11.25" customHeight="1" x14ac:dyDescent="0.2">
      <c r="E35" s="182"/>
      <c r="F35" s="182"/>
      <c r="G35" s="57"/>
      <c r="H35" s="57"/>
      <c r="I35" s="57"/>
    </row>
    <row r="36" spans="5:9" ht="11.25" customHeight="1" x14ac:dyDescent="0.2">
      <c r="E36" s="182"/>
      <c r="F36" s="182"/>
      <c r="G36" s="57"/>
      <c r="H36" s="57"/>
      <c r="I36" s="57"/>
    </row>
    <row r="37" spans="5:9" ht="11.25" customHeight="1" x14ac:dyDescent="0.2">
      <c r="E37" s="182"/>
      <c r="F37" s="182"/>
      <c r="G37" s="57"/>
      <c r="H37" s="57"/>
      <c r="I37" s="57"/>
    </row>
    <row r="38" spans="5:9" ht="11.25" customHeight="1" x14ac:dyDescent="0.2">
      <c r="E38" s="182"/>
      <c r="F38" s="182"/>
      <c r="G38" s="57"/>
      <c r="H38" s="57"/>
      <c r="I38" s="57"/>
    </row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  <c r="F53" s="182"/>
      <c r="G53" s="57"/>
      <c r="H53" s="57"/>
      <c r="I53" s="57"/>
    </row>
  </sheetData>
  <dataValidations disablePrompts="1"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6</v>
      </c>
      <c r="D3" s="259" t="str">
        <f>Currency&amp;A3&amp;B3&amp;C3&amp;"F"&amp;"_Estimated"</f>
        <v>EUR0x6F_Estimated</v>
      </c>
      <c r="E3" s="294">
        <f>SettlementDate</f>
        <v>42160</v>
      </c>
      <c r="F3" s="294">
        <f>_xll.qlInterestRateIndexMaturity(PROPER(Currency)&amp;"ibor"&amp;$F$1,E3)</f>
        <v>42345</v>
      </c>
      <c r="G3" s="258">
        <f>J3+$H$4</f>
        <v>5.5085266648787325E-4</v>
      </c>
      <c r="H3" s="239"/>
      <c r="I3" s="239"/>
      <c r="J3" s="190">
        <f>_xll.qlTenorBasisValue($R$18,E3,Trigger)</f>
        <v>1.8125168973955959E-3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131</v>
      </c>
      <c r="R3" s="190" t="str">
        <f>_xll.qlIborIndex(,,F1,2,Currency,Calendar,"mf",TRUE,DayCounter,Discounting,,Trigger)</f>
        <v>obj_00594#0000</v>
      </c>
    </row>
    <row r="4" spans="1:20" ht="11.25" customHeight="1" x14ac:dyDescent="0.2">
      <c r="A4" s="254">
        <v>0</v>
      </c>
      <c r="B4" s="255" t="s">
        <v>34</v>
      </c>
      <c r="C4" s="256">
        <v>6</v>
      </c>
      <c r="D4" s="247" t="str">
        <f>PROPER(Currency&amp;IborType)&amp;F1&amp;"LastFixing"&amp;QuoteSuffix</f>
        <v>Euribor6MLastFixing_Quote</v>
      </c>
      <c r="E4" s="294">
        <f>SettlementDate</f>
        <v>42160</v>
      </c>
      <c r="F4" s="294">
        <f>_xll.qlInterestRateIndexMaturity(ON_6M_index,E4)</f>
        <v>42345</v>
      </c>
      <c r="G4" s="190">
        <f>_xll.qlQuoteValue(D4,LastFixingsTrigger)</f>
        <v>4.8000000000000001E-4</v>
      </c>
      <c r="H4" s="190">
        <f>_xll.qlIndexFixing(ON_6M_index,_xll.qlInterestRateIndexFixingDate(ON_6M_index,E4),,AllTriggers)</f>
        <v>-1.2616642309077226E-3</v>
      </c>
      <c r="I4" s="258">
        <f t="shared" ref="I4:I22" si="0">G4-H4</f>
        <v>1.7416642309077226E-3</v>
      </c>
      <c r="J4" s="186">
        <f>_xll.qlTenorBasisValue($R$18,E4,Trigger)</f>
        <v>1.8125168973955959E-3</v>
      </c>
      <c r="K4" s="187">
        <f>M4*10000</f>
        <v>-0.70852666487873295</v>
      </c>
      <c r="L4" s="284">
        <f>_xll.qlDayCounterYearFraction("actual/365 (fixed)",SettlementDate,E4,,,Trigger)</f>
        <v>0</v>
      </c>
      <c r="M4" s="278">
        <f t="shared" ref="M4:M22" si="1">I4-J4</f>
        <v>-7.0852666487873292E-5</v>
      </c>
      <c r="N4" s="281">
        <f>_xll.qlYieldTSDiscount(Discounting,E4,,AllTriggers)</f>
        <v>1.0000066667000043</v>
      </c>
      <c r="O4" s="236" t="b">
        <v>0</v>
      </c>
    </row>
    <row r="5" spans="1:20" ht="11.25" customHeight="1" x14ac:dyDescent="0.2">
      <c r="A5" s="244">
        <v>1</v>
      </c>
      <c r="B5" s="56" t="s">
        <v>34</v>
      </c>
      <c r="C5" s="251">
        <f t="shared" ref="C5:C22" si="2">A5+SUBSTITUTE($F$1,"M","")</f>
        <v>7</v>
      </c>
      <c r="D5" s="248" t="str">
        <f t="shared" ref="D5:D22" si="3">Currency&amp;A5&amp;B5&amp;C5&amp;"F"&amp;QuoteSuffix</f>
        <v>EUR1x7F_Quote</v>
      </c>
      <c r="E5" s="295">
        <f>_xll.qlCalendarAdvance("target",SettlementDate,A5&amp;"M","mf",,Trigger)</f>
        <v>42191</v>
      </c>
      <c r="F5" s="295">
        <f>_xll.qlInterestRateIndexMaturity(ON_6M_index,E5)</f>
        <v>42375</v>
      </c>
      <c r="G5" s="67">
        <f>_xll.qlQuoteValue(D5,AllTriggers)</f>
        <v>6.4000000000000005E-4</v>
      </c>
      <c r="H5" s="67">
        <f>_xll.qlIndexFixing(ON_6M_index,_xll.qlInterestRateIndexFixingDate(ON_6M_index,E5),,AllTriggers)</f>
        <v>-1.2396060573981124E-3</v>
      </c>
      <c r="I5" s="280">
        <f t="shared" si="0"/>
        <v>1.8796060573981126E-3</v>
      </c>
      <c r="J5" s="67">
        <f>_xll.qlTenorBasisValue($R$18,E5,Trigger)</f>
        <v>1.88227580104405E-3</v>
      </c>
      <c r="K5" s="240">
        <f t="shared" ref="K5:K22" si="4">M5*10000</f>
        <v>-2.669743645937429E-2</v>
      </c>
      <c r="L5" s="285">
        <f>_xll.qlDayCounterYearFraction("actual/365 (fixed)",SettlementDate,E5,,,Trigger)</f>
        <v>8.4931506849315067E-2</v>
      </c>
      <c r="M5" s="279">
        <f t="shared" si="1"/>
        <v>-2.669743645937429E-6</v>
      </c>
      <c r="N5" s="183">
        <f>_xll.qlYieldTSDiscount(Discounting,E5,,AllTriggers)</f>
        <v>1.0001090930777232</v>
      </c>
      <c r="O5" s="241" t="b">
        <v>1</v>
      </c>
      <c r="Q5" s="261" t="s">
        <v>125</v>
      </c>
      <c r="R5" s="262"/>
    </row>
    <row r="6" spans="1:20" ht="11.25" customHeight="1" x14ac:dyDescent="0.2">
      <c r="A6" s="244">
        <v>2</v>
      </c>
      <c r="B6" s="56" t="s">
        <v>34</v>
      </c>
      <c r="C6" s="251">
        <f t="shared" si="2"/>
        <v>8</v>
      </c>
      <c r="D6" s="249" t="str">
        <f t="shared" si="3"/>
        <v>EUR2x8F_Quote</v>
      </c>
      <c r="E6" s="296">
        <f>_xll.qlCalendarAdvance("target",SettlementDate,A6&amp;"M","mf",,Trigger)</f>
        <v>42221</v>
      </c>
      <c r="F6" s="296">
        <f>_xll.qlInterestRateIndexMaturity(ON_6M_index,E6)</f>
        <v>42405</v>
      </c>
      <c r="G6" s="62">
        <f>_xll.qlQuoteValue(D6,AllTriggers)</f>
        <v>7.1000000000000013E-4</v>
      </c>
      <c r="H6" s="62">
        <f>_xll.qlIndexFixing(ON_6M_index,_xll.qlInterestRateIndexFixingDate(ON_6M_index,E6),,AllTriggers)</f>
        <v>-1.2474756835944641E-3</v>
      </c>
      <c r="I6" s="265">
        <f t="shared" si="0"/>
        <v>1.9574756835944642E-3</v>
      </c>
      <c r="J6" s="62">
        <f>_xll.qlTenorBasisValue($R$18,E6,Trigger)</f>
        <v>1.9405412887412625E-3</v>
      </c>
      <c r="K6" s="188">
        <f t="shared" si="4"/>
        <v>0.16934394853201701</v>
      </c>
      <c r="L6" s="206">
        <f>_xll.qlDayCounterYearFraction("actual/365 (fixed)",SettlementDate,E6,,,Trigger)</f>
        <v>0.16712328767123288</v>
      </c>
      <c r="M6" s="234">
        <f t="shared" si="1"/>
        <v>1.69343948532017E-5</v>
      </c>
      <c r="N6" s="184">
        <f>_xll.qlYieldTSDiscount(Discounting,E6,,AllTriggers)</f>
        <v>1.0002131875539613</v>
      </c>
      <c r="O6" s="237" t="b">
        <v>1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obj_005df#0048</v>
      </c>
    </row>
    <row r="7" spans="1:20" ht="11.25" customHeight="1" x14ac:dyDescent="0.2">
      <c r="A7" s="244">
        <f>A6+1</f>
        <v>3</v>
      </c>
      <c r="B7" s="56" t="s">
        <v>34</v>
      </c>
      <c r="C7" s="251">
        <f t="shared" si="2"/>
        <v>9</v>
      </c>
      <c r="D7" s="249" t="str">
        <f t="shared" si="3"/>
        <v>EUR3x9F_Quote</v>
      </c>
      <c r="E7" s="296">
        <f>_xll.qlCalendarAdvance("target",SettlementDate,A7&amp;"M","mf",,Trigger)</f>
        <v>42254</v>
      </c>
      <c r="F7" s="296">
        <f>_xll.qlInterestRateIndexMaturity(ON_6M_index,E7)</f>
        <v>42436</v>
      </c>
      <c r="G7" s="62">
        <f>_xll.qlQuoteValue(D7,AllTriggers)</f>
        <v>7.7000000000000018E-4</v>
      </c>
      <c r="H7" s="62">
        <f>_xll.qlIndexFixing(ON_6M_index,_xll.qlInterestRateIndexFixingDate(ON_6M_index,E7),,AllTriggers)</f>
        <v>-1.218671924564923E-3</v>
      </c>
      <c r="I7" s="265">
        <f t="shared" si="0"/>
        <v>1.9886719245649233E-3</v>
      </c>
      <c r="J7" s="62">
        <f>_xll.qlTenorBasisValue($R$18,E7,Trigger)</f>
        <v>1.9951094919362306E-3</v>
      </c>
      <c r="K7" s="188">
        <f t="shared" si="4"/>
        <v>-6.4375673713072512E-2</v>
      </c>
      <c r="L7" s="206">
        <f>_xll.qlDayCounterYearFraction("actual/365 (fixed)",SettlementDate,E7,,,Trigger)</f>
        <v>0.25753424657534246</v>
      </c>
      <c r="M7" s="234">
        <f t="shared" si="1"/>
        <v>-6.4375673713072505E-6</v>
      </c>
      <c r="N7" s="184">
        <f>_xll.qlYieldTSDiscount(Discounting,E7,,AllTriggers)</f>
        <v>1.000333906989644</v>
      </c>
      <c r="O7" s="237" t="b">
        <v>1</v>
      </c>
      <c r="Q7" s="277" t="s">
        <v>127</v>
      </c>
      <c r="R7" s="282" t="b">
        <f>_xll.qlPolynomialCalibrationCompute($R$6)</f>
        <v>1</v>
      </c>
    </row>
    <row r="8" spans="1:20" ht="11.25" customHeight="1" x14ac:dyDescent="0.2">
      <c r="A8" s="244">
        <f t="shared" ref="A8:A22" si="5">A7+1</f>
        <v>4</v>
      </c>
      <c r="B8" s="56" t="s">
        <v>34</v>
      </c>
      <c r="C8" s="251">
        <f t="shared" si="2"/>
        <v>10</v>
      </c>
      <c r="D8" s="249" t="str">
        <f t="shared" si="3"/>
        <v>EUR4x10F_Quote</v>
      </c>
      <c r="E8" s="296">
        <f>_xll.qlCalendarAdvance("target",SettlementDate,A8&amp;"M","mf",,Trigger)</f>
        <v>42282</v>
      </c>
      <c r="F8" s="296">
        <f>_xll.qlInterestRateIndexMaturity(ON_6M_index,E8)</f>
        <v>42465</v>
      </c>
      <c r="G8" s="62">
        <f>_xll.qlQuoteValue(D8,AllTriggers)</f>
        <v>8.200000000000002E-4</v>
      </c>
      <c r="H8" s="62">
        <f>_xll.qlIndexFixing(ON_6M_index,_xll.qlInterestRateIndexFixingDate(ON_6M_index,E8),,AllTriggers)</f>
        <v>-1.1998390140418827E-3</v>
      </c>
      <c r="I8" s="265">
        <f t="shared" si="0"/>
        <v>2.0198390140418829E-3</v>
      </c>
      <c r="J8" s="62">
        <f>_xll.qlTenorBasisValue($R$18,E8,Trigger)</f>
        <v>2.0343625019798159E-3</v>
      </c>
      <c r="K8" s="188">
        <f t="shared" si="4"/>
        <v>-0.14523487937932905</v>
      </c>
      <c r="L8" s="206">
        <f>_xll.qlDayCounterYearFraction("actual/365 (fixed)",SettlementDate,E8,,,Trigger)</f>
        <v>0.33424657534246577</v>
      </c>
      <c r="M8" s="234">
        <f t="shared" si="1"/>
        <v>-1.4523487937932907E-5</v>
      </c>
      <c r="N8" s="184">
        <f>_xll.qlYieldTSDiscount(Discounting,E8,,AllTriggers)</f>
        <v>1.0004335031961453</v>
      </c>
      <c r="O8" s="237" t="b">
        <v>1</v>
      </c>
      <c r="Q8" s="277" t="s">
        <v>128</v>
      </c>
      <c r="R8" s="282" t="str">
        <f>_xll.qlPolynomialCalibrationEndCriteria(R6,)</f>
        <v>StationaryFunctionValue</v>
      </c>
    </row>
    <row r="9" spans="1:20" ht="11.25" customHeight="1" x14ac:dyDescent="0.2">
      <c r="A9" s="244">
        <f t="shared" si="5"/>
        <v>5</v>
      </c>
      <c r="B9" s="56" t="s">
        <v>34</v>
      </c>
      <c r="C9" s="251">
        <f t="shared" si="2"/>
        <v>11</v>
      </c>
      <c r="D9" s="249" t="str">
        <f t="shared" si="3"/>
        <v>EUR5x11F_Quote</v>
      </c>
      <c r="E9" s="296">
        <f>_xll.qlCalendarAdvance("target",SettlementDate,A9&amp;"M","mf",,Trigger)</f>
        <v>42313</v>
      </c>
      <c r="F9" s="296">
        <f>_xll.qlInterestRateIndexMaturity(ON_6M_index,E9)</f>
        <v>42495</v>
      </c>
      <c r="G9" s="62">
        <f>_xll.qlQuoteValue(D9,AllTriggers)</f>
        <v>8.8999999999999995E-4</v>
      </c>
      <c r="H9" s="62">
        <f>_xll.qlIndexFixing(ON_6M_index,_xll.qlInterestRateIndexFixingDate(ON_6M_index,E9),,AllTriggers)</f>
        <v>-1.1699647628269751E-3</v>
      </c>
      <c r="I9" s="265">
        <f t="shared" si="0"/>
        <v>2.0599647628269753E-3</v>
      </c>
      <c r="J9" s="62">
        <f>_xll.qlTenorBasisValue($R$18,E9,Trigger)</f>
        <v>2.0711158564610151E-3</v>
      </c>
      <c r="K9" s="188">
        <f t="shared" si="4"/>
        <v>-0.11151093634039801</v>
      </c>
      <c r="L9" s="206">
        <f>_xll.qlDayCounterYearFraction("actual/365 (fixed)",SettlementDate,E9,,,Trigger)</f>
        <v>0.41917808219178082</v>
      </c>
      <c r="M9" s="234">
        <f t="shared" si="1"/>
        <v>-1.1151093634039801E-5</v>
      </c>
      <c r="N9" s="184">
        <f>_xll.qlYieldTSDiscount(Discounting,E9,,AllTriggers)</f>
        <v>1.0005428888485881</v>
      </c>
      <c r="O9" s="237" t="b">
        <v>1</v>
      </c>
      <c r="Q9" s="277" t="s">
        <v>89</v>
      </c>
      <c r="R9" s="190">
        <f>_xll.qlPolynomialCalibrationError(R6,)</f>
        <v>2.2600622176017148E-5</v>
      </c>
    </row>
    <row r="10" spans="1:20" ht="11.25" customHeight="1" x14ac:dyDescent="0.2">
      <c r="A10" s="244">
        <f t="shared" si="5"/>
        <v>6</v>
      </c>
      <c r="B10" s="56" t="s">
        <v>34</v>
      </c>
      <c r="C10" s="251">
        <f t="shared" si="2"/>
        <v>12</v>
      </c>
      <c r="D10" s="249" t="str">
        <f t="shared" si="3"/>
        <v>EUR6x12F_Quote</v>
      </c>
      <c r="E10" s="296">
        <f>_xll.qlCalendarAdvance("target",SettlementDate,A10&amp;"M","mf",,Trigger)</f>
        <v>42345</v>
      </c>
      <c r="F10" s="296">
        <f>_xll.qlInterestRateIndexMaturity(ON_6M_index,E10)</f>
        <v>42528</v>
      </c>
      <c r="G10" s="62">
        <f>_xll.qlQuoteValue(D10,AllTriggers)</f>
        <v>9.6000000000000002E-4</v>
      </c>
      <c r="H10" s="62">
        <f>_xll.qlIndexFixing(ON_6M_index,_xll.qlInterestRateIndexFixingDate(ON_6M_index,E10),,AllTriggers)</f>
        <v>-1.1410248094649602E-3</v>
      </c>
      <c r="I10" s="265">
        <f t="shared" si="0"/>
        <v>2.1010248094649603E-3</v>
      </c>
      <c r="J10" s="62">
        <f>_xll.qlTenorBasisValue($R$18,E10,Trigger)</f>
        <v>2.1025810302542788E-3</v>
      </c>
      <c r="K10" s="188">
        <f t="shared" si="4"/>
        <v>-1.5562207893184653E-2</v>
      </c>
      <c r="L10" s="206">
        <f>_xll.qlDayCounterYearFraction("actual/365 (fixed)",SettlementDate,E10,,,Trigger)</f>
        <v>0.50684931506849318</v>
      </c>
      <c r="M10" s="234">
        <f t="shared" si="1"/>
        <v>-1.5562207893184653E-6</v>
      </c>
      <c r="N10" s="184">
        <f>_xll.qlYieldTSDiscount(Discounting,E10,,AllTriggers)</f>
        <v>1.0006554468921967</v>
      </c>
      <c r="O10" s="237" t="b">
        <v>1</v>
      </c>
      <c r="Q10" s="277" t="s">
        <v>124</v>
      </c>
      <c r="R10" s="190">
        <f>_xll.qlPolynomialCalibrationMaxError(R6,)</f>
        <v>2.342386506663666E-5</v>
      </c>
    </row>
    <row r="11" spans="1:20" ht="11.25" customHeight="1" x14ac:dyDescent="0.2">
      <c r="A11" s="242">
        <f t="shared" si="5"/>
        <v>7</v>
      </c>
      <c r="B11" s="243" t="s">
        <v>34</v>
      </c>
      <c r="C11" s="252">
        <f t="shared" si="2"/>
        <v>13</v>
      </c>
      <c r="D11" s="248" t="str">
        <f t="shared" si="3"/>
        <v>EUR7x13F_Quote</v>
      </c>
      <c r="E11" s="295">
        <f>_xll.qlCalendarAdvance("target",SettlementDate,A11&amp;"M","mf",,Trigger)</f>
        <v>42374</v>
      </c>
      <c r="F11" s="295">
        <f>_xll.qlInterestRateIndexMaturity(ON_6M_index,E11)</f>
        <v>42556</v>
      </c>
      <c r="G11" s="67">
        <f>_xll.qlQuoteValue(D11,AllTriggers)</f>
        <v>1.01E-3</v>
      </c>
      <c r="H11" s="67">
        <f>_xll.qlIndexFixing(ON_6M_index,_xll.qlInterestRateIndexFixingDate(ON_6M_index,E11),,AllTriggers)</f>
        <v>-1.1396532062374161E-3</v>
      </c>
      <c r="I11" s="280">
        <f t="shared" si="0"/>
        <v>2.1496532062374161E-3</v>
      </c>
      <c r="J11" s="67">
        <f>_xll.qlTenorBasisValue($R$18,E11,Trigger)</f>
        <v>2.1262293411707794E-3</v>
      </c>
      <c r="K11" s="240">
        <f t="shared" si="4"/>
        <v>0.23423865066636659</v>
      </c>
      <c r="L11" s="285">
        <f>_xll.qlDayCounterYearFraction("actual/365 (fixed)",SettlementDate,E11,,,Trigger)</f>
        <v>0.58630136986301373</v>
      </c>
      <c r="M11" s="279">
        <f t="shared" si="1"/>
        <v>2.342386506663666E-5</v>
      </c>
      <c r="N11" s="183">
        <f>_xll.qlYieldTSDiscount(Discounting,E11,,AllTriggers)</f>
        <v>1.0007392802738873</v>
      </c>
      <c r="O11" s="241" t="b">
        <v>1</v>
      </c>
    </row>
    <row r="12" spans="1:20" ht="11.25" customHeight="1" x14ac:dyDescent="0.2">
      <c r="A12" s="244">
        <f t="shared" si="5"/>
        <v>8</v>
      </c>
      <c r="B12" s="56" t="s">
        <v>34</v>
      </c>
      <c r="C12" s="251">
        <f t="shared" si="2"/>
        <v>14</v>
      </c>
      <c r="D12" s="249" t="str">
        <f t="shared" si="3"/>
        <v>EUR8x14F_Quote</v>
      </c>
      <c r="E12" s="296">
        <f>_xll.qlCalendarAdvance("target",SettlementDate,A12&amp;"M","mf",,Trigger)</f>
        <v>42405</v>
      </c>
      <c r="F12" s="296">
        <f>_xll.qlInterestRateIndexMaturity(ON_6M_index,E12)</f>
        <v>42587</v>
      </c>
      <c r="G12" s="62">
        <f>_xll.qlQuoteValue(D12,AllTriggers)</f>
        <v>1.07E-3</v>
      </c>
      <c r="H12" s="62">
        <f>_xll.qlIndexFixing(ON_6M_index,_xll.qlInterestRateIndexFixingDate(ON_6M_index,E12),,AllTriggers)</f>
        <v>-1.0786933427168396E-3</v>
      </c>
      <c r="I12" s="265">
        <f t="shared" si="0"/>
        <v>2.1486933427168394E-3</v>
      </c>
      <c r="J12" s="62">
        <f>_xll.qlTenorBasisValue($R$18,E12,Trigger)</f>
        <v>2.147246658701675E-3</v>
      </c>
      <c r="K12" s="188">
        <f t="shared" si="4"/>
        <v>1.4466840151643873E-2</v>
      </c>
      <c r="L12" s="206">
        <f>_xll.qlDayCounterYearFraction("actual/365 (fixed)",SettlementDate,E12,,,Trigger)</f>
        <v>0.67123287671232879</v>
      </c>
      <c r="M12" s="234">
        <f t="shared" si="1"/>
        <v>1.4466840151643873E-6</v>
      </c>
      <c r="N12" s="184">
        <f>_xll.qlYieldTSDiscount(Discounting,E12,,AllTriggers)</f>
        <v>1.0008513290429637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5"/>
        <v>9</v>
      </c>
      <c r="B13" s="56" t="s">
        <v>34</v>
      </c>
      <c r="C13" s="251">
        <f t="shared" si="2"/>
        <v>15</v>
      </c>
      <c r="D13" s="249" t="str">
        <f t="shared" si="3"/>
        <v>EUR9x15F_Quote</v>
      </c>
      <c r="E13" s="296">
        <f>_xll.qlCalendarAdvance("target",SettlementDate,A13&amp;"M","mf",,Trigger)</f>
        <v>42436</v>
      </c>
      <c r="F13" s="296">
        <f>_xll.qlInterestRateIndexMaturity(ON_6M_index,E13)</f>
        <v>42620</v>
      </c>
      <c r="G13" s="62">
        <f>_xll.qlQuoteValue(D13,AllTriggers)</f>
        <v>1.14E-3</v>
      </c>
      <c r="H13" s="62">
        <f>_xll.qlIndexFixing(ON_6M_index,_xll.qlInterestRateIndexFixingDate(ON_6M_index,E13),,AllTriggers)</f>
        <v>-1.0264446067802669E-3</v>
      </c>
      <c r="I13" s="265">
        <f t="shared" si="0"/>
        <v>2.1664446067802667E-3</v>
      </c>
      <c r="J13" s="62">
        <f>_xll.qlTenorBasisValue($R$18,E13,Trigger)</f>
        <v>2.1647343653300563E-3</v>
      </c>
      <c r="K13" s="188">
        <f t="shared" si="4"/>
        <v>1.710241450210339E-2</v>
      </c>
      <c r="L13" s="206">
        <f>_xll.qlDayCounterYearFraction("actual/365 (fixed)",SettlementDate,E13,,,Trigger)</f>
        <v>0.75616438356164384</v>
      </c>
      <c r="M13" s="234">
        <f t="shared" si="1"/>
        <v>1.710241450210339E-6</v>
      </c>
      <c r="N13" s="184">
        <f>_xll.qlYieldTSDiscount(Discounting,E13,,AllTriggers)</f>
        <v>1.0009505990216121</v>
      </c>
      <c r="O13" s="237" t="b">
        <v>1</v>
      </c>
      <c r="Q13" s="277" t="s">
        <v>113</v>
      </c>
      <c r="R13" s="190">
        <f t="array" ref="R13:R17">_xll.qlPolynomialCalibrationCoefficients($R$6,)</f>
        <v>1.8125168973955959E-3</v>
      </c>
      <c r="S13" s="190" t="b">
        <v>1</v>
      </c>
      <c r="T13" s="190">
        <v>1.8584799330034713E-3</v>
      </c>
    </row>
    <row r="14" spans="1:20" ht="11.25" customHeight="1" x14ac:dyDescent="0.2">
      <c r="A14" s="244">
        <f t="shared" si="5"/>
        <v>10</v>
      </c>
      <c r="B14" s="56" t="s">
        <v>34</v>
      </c>
      <c r="C14" s="251">
        <f t="shared" si="2"/>
        <v>16</v>
      </c>
      <c r="D14" s="249" t="str">
        <f t="shared" si="3"/>
        <v>EUR10x16F_Quote</v>
      </c>
      <c r="E14" s="296">
        <f>_xll.qlCalendarAdvance("target",SettlementDate,A14&amp;"M","mf",,Trigger)</f>
        <v>42465</v>
      </c>
      <c r="F14" s="296">
        <f>_xll.qlInterestRateIndexMaturity(ON_6M_index,E14)</f>
        <v>42648</v>
      </c>
      <c r="G14" s="62">
        <f>_xll.qlQuoteValue(D14,AllTriggers)</f>
        <v>1.2099999999999999E-3</v>
      </c>
      <c r="H14" s="62">
        <f>_xll.qlIndexFixing(ON_6M_index,_xll.qlInterestRateIndexFixingDate(ON_6M_index,E14),,AllTriggers)</f>
        <v>-9.6785364361050405E-4</v>
      </c>
      <c r="I14" s="265">
        <f t="shared" si="0"/>
        <v>2.1778536436105039E-3</v>
      </c>
      <c r="J14" s="62">
        <f>_xll.qlTenorBasisValue($R$18,E14,Trigger)</f>
        <v>2.1786900194601514E-3</v>
      </c>
      <c r="K14" s="188">
        <f t="shared" si="4"/>
        <v>-8.3637584964756442E-3</v>
      </c>
      <c r="L14" s="206">
        <f>_xll.qlDayCounterYearFraction("actual/365 (fixed)",SettlementDate,E14,,,Trigger)</f>
        <v>0.83561643835616439</v>
      </c>
      <c r="M14" s="234">
        <f t="shared" si="1"/>
        <v>-8.3637584964756442E-7</v>
      </c>
      <c r="N14" s="184">
        <f>_xll.qlYieldTSDiscount(Discounting,E14,,AllTriggers)</f>
        <v>1.0010440581516491</v>
      </c>
      <c r="O14" s="237" t="b">
        <v>1</v>
      </c>
      <c r="Q14" s="277" t="s">
        <v>114</v>
      </c>
      <c r="R14" s="190">
        <v>8.8195615344818378E-4</v>
      </c>
      <c r="S14" s="190" t="b">
        <v>1</v>
      </c>
      <c r="T14" s="190">
        <v>7.3438583964840934E-4</v>
      </c>
    </row>
    <row r="15" spans="1:20" ht="11.25" customHeight="1" x14ac:dyDescent="0.2">
      <c r="A15" s="244">
        <f t="shared" si="5"/>
        <v>11</v>
      </c>
      <c r="B15" s="56" t="s">
        <v>34</v>
      </c>
      <c r="C15" s="251">
        <f t="shared" si="2"/>
        <v>17</v>
      </c>
      <c r="D15" s="249" t="str">
        <f t="shared" si="3"/>
        <v>EUR11x17F_Quote</v>
      </c>
      <c r="E15" s="296">
        <f>_xll.qlCalendarAdvance("target",SettlementDate,A15&amp;"M","mf",,Trigger)</f>
        <v>42495</v>
      </c>
      <c r="F15" s="296">
        <f>_xll.qlInterestRateIndexMaturity(ON_6M_index,E15)</f>
        <v>42681</v>
      </c>
      <c r="G15" s="62">
        <f>_xll.qlQuoteValue(D15,AllTriggers)</f>
        <v>1.2900000000000001E-3</v>
      </c>
      <c r="H15" s="62">
        <f>_xll.qlIndexFixing(ON_6M_index,_xll.qlInterestRateIndexFixingDate(ON_6M_index,E15),,AllTriggers)</f>
        <v>-9.0424413386079182E-4</v>
      </c>
      <c r="I15" s="265">
        <f t="shared" si="0"/>
        <v>2.194244133860792E-3</v>
      </c>
      <c r="J15" s="62">
        <f>_xll.qlTenorBasisValue($R$18,E15,Trigger)</f>
        <v>2.1914780118209545E-3</v>
      </c>
      <c r="K15" s="188">
        <f t="shared" si="4"/>
        <v>2.7661220398374035E-2</v>
      </c>
      <c r="L15" s="206">
        <f>_xll.qlDayCounterYearFraction("actual/365 (fixed)",SettlementDate,E15,,,Trigger)</f>
        <v>0.9178082191780822</v>
      </c>
      <c r="M15" s="234">
        <f t="shared" si="1"/>
        <v>2.7661220398374035E-6</v>
      </c>
      <c r="N15" s="184">
        <f>_xll.qlYieldTSDiscount(Discounting,E15,,AllTriggers)</f>
        <v>1.0011350423915941</v>
      </c>
      <c r="O15" s="237" t="b">
        <v>1</v>
      </c>
      <c r="Q15" s="277" t="s">
        <v>115</v>
      </c>
      <c r="R15" s="190">
        <v>-7.341781049223508E-4</v>
      </c>
      <c r="S15" s="190" t="b">
        <v>1</v>
      </c>
      <c r="T15" s="190">
        <v>-5.2637314717053553E-4</v>
      </c>
    </row>
    <row r="16" spans="1:20" ht="11.25" customHeight="1" x14ac:dyDescent="0.2">
      <c r="A16" s="244">
        <f t="shared" si="5"/>
        <v>12</v>
      </c>
      <c r="B16" s="56" t="s">
        <v>34</v>
      </c>
      <c r="C16" s="251">
        <f t="shared" si="2"/>
        <v>18</v>
      </c>
      <c r="D16" s="249" t="str">
        <f t="shared" si="3"/>
        <v>EUR12x18F_Quote</v>
      </c>
      <c r="E16" s="296">
        <f>_xll.qlCalendarAdvance("target",SettlementDate,A16&amp;"M","mf",,Trigger)</f>
        <v>42527</v>
      </c>
      <c r="F16" s="296">
        <f>_xll.qlInterestRateIndexMaturity(ON_6M_index,E16)</f>
        <v>42710</v>
      </c>
      <c r="G16" s="62">
        <f>_xll.qlQuoteValue(D16,AllTriggers)</f>
        <v>1.3600000000000001E-3</v>
      </c>
      <c r="H16" s="62">
        <f>_xll.qlIndexFixing(ON_6M_index,_xll.qlInterestRateIndexFixingDate(ON_6M_index,E16),,AllTriggers)</f>
        <v>-8.3368058355862823E-4</v>
      </c>
      <c r="I16" s="265">
        <f t="shared" si="0"/>
        <v>2.1936805835586284E-3</v>
      </c>
      <c r="J16" s="62">
        <f>_xll.qlTenorBasisValue($R$18,E16,Trigger)</f>
        <v>2.204172857800417E-3</v>
      </c>
      <c r="K16" s="188">
        <f t="shared" si="4"/>
        <v>-0.10492274241788532</v>
      </c>
      <c r="L16" s="206">
        <f>_xll.qlDayCounterYearFraction("actual/365 (fixed)",SettlementDate,E16,,,Trigger)</f>
        <v>1.0054794520547945</v>
      </c>
      <c r="M16" s="234">
        <f t="shared" si="1"/>
        <v>-1.0492274241788533E-5</v>
      </c>
      <c r="N16" s="184">
        <f>_xll.qlYieldTSDiscount(Discounting,E16,,AllTriggers)</f>
        <v>1.001233119777003</v>
      </c>
      <c r="O16" s="237" t="b">
        <v>1</v>
      </c>
      <c r="Q16" s="277" t="s">
        <v>116</v>
      </c>
      <c r="R16" s="190">
        <v>2.4309508617599053E-4</v>
      </c>
      <c r="S16" s="190" t="b">
        <v>1</v>
      </c>
      <c r="T16" s="190">
        <v>1.5743239353164766E-4</v>
      </c>
    </row>
    <row r="17" spans="1:20" ht="11.25" customHeight="1" x14ac:dyDescent="0.2">
      <c r="A17" s="244">
        <f t="shared" si="5"/>
        <v>13</v>
      </c>
      <c r="B17" s="56" t="s">
        <v>34</v>
      </c>
      <c r="C17" s="251">
        <f t="shared" si="2"/>
        <v>19</v>
      </c>
      <c r="D17" s="249" t="str">
        <f t="shared" si="3"/>
        <v>EUR13x19F_Quote</v>
      </c>
      <c r="E17" s="296">
        <f>_xll.qlCalendarAdvance("target",SettlementDate,A17&amp;"M","mf",,Trigger)</f>
        <v>42556</v>
      </c>
      <c r="F17" s="296">
        <f>_xll.qlInterestRateIndexMaturity(ON_6M_index,E17)</f>
        <v>42740</v>
      </c>
      <c r="G17" s="62">
        <f>_xll.qlQuoteValue(D17,AllTriggers)</f>
        <v>1.47E-3</v>
      </c>
      <c r="H17" s="62">
        <f>_xll.qlIndexFixing(ON_6M_index,_xll.qlInterestRateIndexFixingDate(ON_6M_index,E17),,AllTriggers)</f>
        <v>-7.0226353624911289E-4</v>
      </c>
      <c r="I17" s="265">
        <f t="shared" si="0"/>
        <v>2.1722635362491126E-3</v>
      </c>
      <c r="J17" s="62">
        <f>_xll.qlTenorBasisValue($R$18,E17,Trigger)</f>
        <v>2.2156391239184885E-3</v>
      </c>
      <c r="K17" s="188">
        <f t="shared" si="4"/>
        <v>-0.43375587669375848</v>
      </c>
      <c r="L17" s="206">
        <f>_xll.qlDayCounterYearFraction("actual/365 (fixed)",SettlementDate,E17,,,Trigger)</f>
        <v>1.0849315068493151</v>
      </c>
      <c r="M17" s="234">
        <f t="shared" si="1"/>
        <v>-4.3375587669375847E-5</v>
      </c>
      <c r="N17" s="184">
        <f>_xll.qlYieldTSDiscount(Discounting,E17,,AllTriggers)</f>
        <v>1.001316196620933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>
        <f t="shared" si="5"/>
        <v>14</v>
      </c>
      <c r="B18" s="56" t="s">
        <v>34</v>
      </c>
      <c r="C18" s="251">
        <f t="shared" si="2"/>
        <v>20</v>
      </c>
      <c r="D18" s="249" t="str">
        <f t="shared" si="3"/>
        <v>EUR14x20F_Quote</v>
      </c>
      <c r="E18" s="296">
        <f>_xll.qlCalendarAdvance("target",SettlementDate,A18&amp;"M","mf",,Trigger)</f>
        <v>42587</v>
      </c>
      <c r="F18" s="296">
        <f>_xll.qlInterestRateIndexMaturity(ON_6M_index,E18)</f>
        <v>42772</v>
      </c>
      <c r="G18" s="62">
        <f>_xll.qlQuoteValue(D18,AllTriggers)</f>
        <v>1.58E-3</v>
      </c>
      <c r="H18" s="62">
        <f>_xll.qlIndexFixing(ON_6M_index,_xll.qlInterestRateIndexFixingDate(ON_6M_index,E18),,AllTriggers)</f>
        <v>-6.3266772171674318E-4</v>
      </c>
      <c r="I18" s="265">
        <f t="shared" si="0"/>
        <v>2.2126677217167434E-3</v>
      </c>
      <c r="J18" s="62">
        <f>_xll.qlTenorBasisValue($R$18,E18,Trigger)</f>
        <v>2.2287112089916274E-3</v>
      </c>
      <c r="K18" s="188">
        <f t="shared" si="4"/>
        <v>-0.16043487274883944</v>
      </c>
      <c r="L18" s="206">
        <f>_xll.qlDayCounterYearFraction("actual/365 (fixed)",SettlementDate,E18,,,Trigger)</f>
        <v>1.1698630136986301</v>
      </c>
      <c r="M18" s="234">
        <f t="shared" si="1"/>
        <v>-1.6043487274883944E-5</v>
      </c>
      <c r="N18" s="184">
        <f>_xll.qlYieldTSDiscount(Discounting,E18,,AllTriggers)</f>
        <v>1.0013974305290583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obj_00844#0023</v>
      </c>
      <c r="T18" s="55"/>
    </row>
    <row r="19" spans="1:20" ht="11.25" customHeight="1" x14ac:dyDescent="0.2">
      <c r="A19" s="244">
        <f t="shared" si="5"/>
        <v>15</v>
      </c>
      <c r="B19" s="56" t="s">
        <v>34</v>
      </c>
      <c r="C19" s="251">
        <f t="shared" si="2"/>
        <v>21</v>
      </c>
      <c r="D19" s="249" t="str">
        <f t="shared" si="3"/>
        <v>EUR15x21F_Quote</v>
      </c>
      <c r="E19" s="296">
        <f>_xll.qlCalendarAdvance("target",SettlementDate,A19&amp;"M","mf",,Trigger)</f>
        <v>42618</v>
      </c>
      <c r="F19" s="296">
        <f>_xll.qlInterestRateIndexMaturity(ON_6M_index,E19)</f>
        <v>42800</v>
      </c>
      <c r="G19" s="62">
        <f>_xll.qlQuoteValue(D19,AllTriggers)</f>
        <v>1.6799999999999999E-3</v>
      </c>
      <c r="H19" s="62">
        <f>_xll.qlIndexFixing(ON_6M_index,_xll.qlInterestRateIndexFixingDate(ON_6M_index,E19),,AllTriggers)</f>
        <v>-5.5249594183176608E-4</v>
      </c>
      <c r="I19" s="265">
        <f t="shared" si="0"/>
        <v>2.2324959418317659E-3</v>
      </c>
      <c r="J19" s="62">
        <f>_xll.qlTenorBasisValue($R$18,E19,Trigger)</f>
        <v>2.2434998683022143E-3</v>
      </c>
      <c r="K19" s="188">
        <f t="shared" si="4"/>
        <v>-0.11003926470448416</v>
      </c>
      <c r="L19" s="206">
        <f>_xll.qlDayCounterYearFraction("actual/365 (fixed)",SettlementDate,E19,,,Trigger)</f>
        <v>1.2547945205479452</v>
      </c>
      <c r="M19" s="234">
        <f t="shared" si="1"/>
        <v>-1.1003926470448417E-5</v>
      </c>
      <c r="N19" s="184">
        <f>_xll.qlYieldTSDiscount(Discounting,E19,,AllTriggers)</f>
        <v>1.0014714618017775</v>
      </c>
      <c r="O19" s="237" t="b">
        <v>0</v>
      </c>
      <c r="T19" s="55"/>
    </row>
    <row r="20" spans="1:20" ht="11.25" customHeight="1" x14ac:dyDescent="0.2">
      <c r="A20" s="244">
        <f t="shared" si="5"/>
        <v>16</v>
      </c>
      <c r="B20" s="56" t="s">
        <v>34</v>
      </c>
      <c r="C20" s="251">
        <f t="shared" si="2"/>
        <v>22</v>
      </c>
      <c r="D20" s="249" t="str">
        <f t="shared" si="3"/>
        <v>EUR16x22F_Quote</v>
      </c>
      <c r="E20" s="296">
        <f>_xll.qlCalendarAdvance("target",SettlementDate,A20&amp;"M","mf",,Trigger)</f>
        <v>42648</v>
      </c>
      <c r="F20" s="296">
        <f>_xll.qlInterestRateIndexMaturity(ON_6M_index,E20)</f>
        <v>42830</v>
      </c>
      <c r="G20" s="62">
        <f>_xll.qlQuoteValue(D20,AllTriggers)</f>
        <v>1.83E-3</v>
      </c>
      <c r="H20" s="62">
        <f>_xll.qlIndexFixing(ON_6M_index,_xll.qlInterestRateIndexFixingDate(ON_6M_index,E20),,AllTriggers)</f>
        <v>-4.4727296132126356E-4</v>
      </c>
      <c r="I20" s="265">
        <f t="shared" si="0"/>
        <v>2.2772729613212634E-3</v>
      </c>
      <c r="J20" s="62">
        <f>_xll.qlTenorBasisValue($R$18,E20,Trigger)</f>
        <v>2.2602875410429471E-3</v>
      </c>
      <c r="K20" s="188">
        <f t="shared" si="4"/>
        <v>0.16985420278316232</v>
      </c>
      <c r="L20" s="206">
        <f>_xll.qlDayCounterYearFraction("actual/365 (fixed)",SettlementDate,E20,,,Trigger)</f>
        <v>1.3369863013698631</v>
      </c>
      <c r="M20" s="234">
        <f t="shared" si="1"/>
        <v>1.6985420278316232E-5</v>
      </c>
      <c r="N20" s="184">
        <f>_xll.qlYieldTSDiscount(Discounting,E20,,AllTriggers)</f>
        <v>1.0015368065174097</v>
      </c>
      <c r="O20" s="237" t="b">
        <v>0</v>
      </c>
      <c r="T20" s="55"/>
    </row>
    <row r="21" spans="1:20" ht="11.25" customHeight="1" x14ac:dyDescent="0.2">
      <c r="A21" s="244">
        <f t="shared" si="5"/>
        <v>17</v>
      </c>
      <c r="B21" s="56" t="s">
        <v>34</v>
      </c>
      <c r="C21" s="251">
        <f t="shared" si="2"/>
        <v>23</v>
      </c>
      <c r="D21" s="249" t="str">
        <f t="shared" si="3"/>
        <v>EUR17x23F_Quote</v>
      </c>
      <c r="E21" s="296">
        <f>_xll.qlCalendarAdvance("target",SettlementDate,A21&amp;"M","mf",,Trigger)</f>
        <v>42681</v>
      </c>
      <c r="F21" s="296">
        <f>_xll.qlInterestRateIndexMaturity(ON_6M_index,E21)</f>
        <v>42863</v>
      </c>
      <c r="G21" s="62">
        <f>_xll.qlQuoteValue(D21,AllTriggers)</f>
        <v>2E-3</v>
      </c>
      <c r="H21" s="62">
        <f>_xll.qlIndexFixing(ON_6M_index,_xll.qlInterestRateIndexFixingDate(ON_6M_index,E21),,AllTriggers)</f>
        <v>-3.0228307900232446E-4</v>
      </c>
      <c r="I21" s="265">
        <f t="shared" si="0"/>
        <v>2.3022830790023247E-3</v>
      </c>
      <c r="J21" s="62">
        <f>_xll.qlTenorBasisValue($R$18,E21,Trigger)</f>
        <v>2.2825439225649634E-3</v>
      </c>
      <c r="K21" s="188">
        <f t="shared" si="4"/>
        <v>0.19739156437361283</v>
      </c>
      <c r="L21" s="206">
        <f>_xll.qlDayCounterYearFraction("actual/365 (fixed)",SettlementDate,E21,,,Trigger)</f>
        <v>1.4273972602739726</v>
      </c>
      <c r="M21" s="234">
        <f t="shared" si="1"/>
        <v>1.9739156437361283E-5</v>
      </c>
      <c r="N21" s="184">
        <f>_xll.qlYieldTSDiscount(Discounting,E21,,AllTriggers)</f>
        <v>1.0016029840967213</v>
      </c>
      <c r="O21" s="237" t="b">
        <v>0</v>
      </c>
      <c r="T21" s="55"/>
    </row>
    <row r="22" spans="1:20" ht="11.25" customHeight="1" x14ac:dyDescent="0.2">
      <c r="A22" s="245">
        <f t="shared" si="5"/>
        <v>18</v>
      </c>
      <c r="B22" s="246" t="s">
        <v>34</v>
      </c>
      <c r="C22" s="253">
        <f t="shared" si="2"/>
        <v>24</v>
      </c>
      <c r="D22" s="250" t="str">
        <f t="shared" si="3"/>
        <v>EUR18x24F_Quote</v>
      </c>
      <c r="E22" s="297">
        <f>_xll.qlCalendarAdvance("target",SettlementDate,A22&amp;"M","mf",,Trigger)</f>
        <v>42709</v>
      </c>
      <c r="F22" s="297">
        <f>_xll.qlInterestRateIndexMaturity(ON_6M_index,E22)</f>
        <v>42891</v>
      </c>
      <c r="G22" s="65">
        <f>_xll.qlQuoteValue(D22,AllTriggers)</f>
        <v>2.15E-3</v>
      </c>
      <c r="H22" s="65">
        <f>_xll.qlIndexFixing(ON_6M_index,_xll.qlInterestRateIndexFixingDate(ON_6M_index,E22),,AllTriggers)</f>
        <v>-1.5670461689100854E-4</v>
      </c>
      <c r="I22" s="260">
        <f t="shared" si="0"/>
        <v>2.3067046168910085E-3</v>
      </c>
      <c r="J22" s="65">
        <f>_xll.qlTenorBasisValue($R$18,E22,Trigger)</f>
        <v>2.3053187574723021E-3</v>
      </c>
      <c r="K22" s="189">
        <f t="shared" si="4"/>
        <v>1.385859418706354E-2</v>
      </c>
      <c r="L22" s="207">
        <f>_xll.qlDayCounterYearFraction("actual/365 (fixed)",SettlementDate,E22,,,Trigger)</f>
        <v>1.5041095890410958</v>
      </c>
      <c r="M22" s="235">
        <f t="shared" si="1"/>
        <v>1.385859418706354E-6</v>
      </c>
      <c r="N22" s="185">
        <f>_xll.qlYieldTSDiscount(Discounting,E22,,AllTriggers)</f>
        <v>1.0016557667862784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6" t="s">
        <v>129</v>
      </c>
      <c r="T24" s="55"/>
    </row>
    <row r="25" spans="1:20" ht="11.25" customHeight="1" x14ac:dyDescent="0.2">
      <c r="F25" s="61" t="s">
        <v>38</v>
      </c>
      <c r="G25" s="298">
        <f>_xll.qlCalendarAdvance(Calendar,SettlementDate,"0D","mf",TRUE,Trigger)</f>
        <v>42160</v>
      </c>
      <c r="H25" s="295">
        <f>_xll.qlCalendarAdvance(Calendar,SettlementDate,F25,"Following",,Trigger)</f>
        <v>42163</v>
      </c>
      <c r="I25" s="287">
        <f>_xll.qlTenorBasisForwardRate2(TenorBasis6M,G25,H25,AllTriggers)</f>
        <v>3.2750721412178052E-4</v>
      </c>
    </row>
    <row r="26" spans="1:20" ht="11.25" customHeight="1" x14ac:dyDescent="0.2">
      <c r="F26" s="63" t="s">
        <v>39</v>
      </c>
      <c r="G26" s="299">
        <f>_xll.qlCalendarAdvance(Calendar,SettlementDate,"0D","mf",TRUE,Trigger)</f>
        <v>42160</v>
      </c>
      <c r="H26" s="296">
        <f>_xll.qlCalendarAdvance(Calendar,SettlementDate,F26,"Following",,Trigger)</f>
        <v>42167</v>
      </c>
      <c r="I26" s="288">
        <f>_xll.qlTenorBasisForwardRate2(TenorBasis6M,G26,H26,AllTriggers)</f>
        <v>3.3439618567879644E-4</v>
      </c>
    </row>
    <row r="27" spans="1:20" ht="11.25" customHeight="1" x14ac:dyDescent="0.2">
      <c r="F27" s="63" t="s">
        <v>40</v>
      </c>
      <c r="G27" s="299">
        <f>_xll.qlCalendarAdvance(Calendar,SettlementDate,"0D","mf",TRUE,Trigger)</f>
        <v>42160</v>
      </c>
      <c r="H27" s="296">
        <f>_xll.qlCalendarAdvance(Calendar,SettlementDate,F27,"Following",,Trigger)</f>
        <v>42174</v>
      </c>
      <c r="I27" s="288">
        <f>_xll.qlTenorBasisForwardRate2(TenorBasis6M,G27,H27,AllTriggers)</f>
        <v>3.7626677468617837E-4</v>
      </c>
    </row>
    <row r="28" spans="1:20" ht="11.25" customHeight="1" x14ac:dyDescent="0.2">
      <c r="F28" s="63" t="s">
        <v>41</v>
      </c>
      <c r="G28" s="299">
        <f>_xll.qlCalendarAdvance(Calendar,SettlementDate,"0D","mf",TRUE,Trigger)</f>
        <v>42160</v>
      </c>
      <c r="H28" s="296">
        <f>_xll.qlCalendarAdvance(Calendar,SettlementDate,F28,"Following",,Trigger)</f>
        <v>42181</v>
      </c>
      <c r="I28" s="288">
        <f>_xll.qlTenorBasisForwardRate2(TenorBasis6M,G28,H28,AllTriggers)</f>
        <v>3.8791881952374548E-4</v>
      </c>
    </row>
    <row r="29" spans="1:20" ht="11.25" customHeight="1" x14ac:dyDescent="0.2">
      <c r="F29" s="266" t="s">
        <v>35</v>
      </c>
      <c r="G29" s="300">
        <f>_xll.qlCalendarAdvance(Calendar,SettlementDate,"0D","mf",TRUE,Trigger)</f>
        <v>42160</v>
      </c>
      <c r="H29" s="301">
        <f>_xll.qlCalendarAdvance(Calendar,SettlementDate,F29,"mf",TRUE,Trigger)</f>
        <v>42191</v>
      </c>
      <c r="I29" s="289">
        <f>_xll.qlTenorBasisForwardRate2(TenorBasis6M,G29,H29,AllTriggers)</f>
        <v>3.9485298415683237E-4</v>
      </c>
    </row>
    <row r="30" spans="1:20" ht="11.25" customHeight="1" x14ac:dyDescent="0.2">
      <c r="F30" s="63" t="s">
        <v>42</v>
      </c>
      <c r="G30" s="299">
        <f>_xll.qlCalendarAdvance(Calendar,SettlementDate,"0D","mf",TRUE,Trigger)</f>
        <v>42160</v>
      </c>
      <c r="H30" s="296">
        <f>_xll.qlCalendarAdvance(Calendar,SettlementDate,F30,"mf",TRUE,Trigger)</f>
        <v>42221</v>
      </c>
      <c r="I30" s="288">
        <f>_xll.qlTenorBasisForwardRate2(TenorBasis6M,G30,H30,AllTriggers)</f>
        <v>4.118898886290669E-4</v>
      </c>
    </row>
    <row r="31" spans="1:20" ht="11.25" customHeight="1" x14ac:dyDescent="0.2">
      <c r="F31" s="63" t="s">
        <v>36</v>
      </c>
      <c r="G31" s="299">
        <f>_xll.qlCalendarAdvance(Calendar,SettlementDate,"0D","mf",TRUE,Trigger)</f>
        <v>42160</v>
      </c>
      <c r="H31" s="296">
        <f>_xll.qlCalendarAdvance(Calendar,SettlementDate,F31,"mf",TRUE,Trigger)</f>
        <v>42254</v>
      </c>
      <c r="I31" s="288">
        <f>_xll.qlTenorBasisForwardRate2(TenorBasis6M,G31,H31,AllTriggers)</f>
        <v>4.2421685789268684E-4</v>
      </c>
    </row>
    <row r="32" spans="1:20" ht="11.25" customHeight="1" x14ac:dyDescent="0.2">
      <c r="F32" s="63" t="s">
        <v>43</v>
      </c>
      <c r="G32" s="299">
        <f>_xll.qlCalendarAdvance(Calendar,SettlementDate,"0D","mf",TRUE,Trigger)</f>
        <v>42160</v>
      </c>
      <c r="H32" s="296">
        <f>_xll.qlCalendarAdvance(Calendar,SettlementDate,F32,"mf",TRUE,Trigger)</f>
        <v>42282</v>
      </c>
      <c r="I32" s="288">
        <f>_xll.qlTenorBasisForwardRate2(TenorBasis6M,G32,H32,AllTriggers)</f>
        <v>4.5434777872524067E-4</v>
      </c>
    </row>
    <row r="33" spans="5:9" ht="11.25" customHeight="1" x14ac:dyDescent="0.2">
      <c r="F33" s="64" t="s">
        <v>44</v>
      </c>
      <c r="G33" s="302">
        <f>_xll.qlCalendarAdvance(Calendar,SettlementDate,"0D","mf",TRUE,Trigger)</f>
        <v>42160</v>
      </c>
      <c r="H33" s="297">
        <f>_xll.qlCalendarAdvance(Calendar,SettlementDate,F33,"mf",TRUE,Trigger)</f>
        <v>42313</v>
      </c>
      <c r="I33" s="290">
        <f>_xll.qlTenorBasisForwardRate2(TenorBasis6M,G33,H33,AllTriggers)</f>
        <v>4.8912701611356242E-4</v>
      </c>
    </row>
    <row r="34" spans="5:9" ht="11.25" customHeight="1" thickBot="1" x14ac:dyDescent="0.25">
      <c r="F34" s="264" t="s">
        <v>37</v>
      </c>
      <c r="G34" s="303">
        <f>_xll.qlCalendarAdvance(Calendar,SettlementDate,"0D","mf",TRUE,Trigger)</f>
        <v>42160</v>
      </c>
      <c r="H34" s="294">
        <f>_xll.qlCalendarAdvance(Calendar,SettlementDate,F34,"mf",TRUE,Trigger)</f>
        <v>42345</v>
      </c>
      <c r="I34" s="291">
        <f>_xll.qlTenorBasisForwardRate2(TenorBasis6M,G34,H34,AllTriggers)</f>
        <v>5.2304913276806156E-4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82"/>
      <c r="H43" s="57"/>
      <c r="I43" s="57"/>
    </row>
    <row r="44" spans="5:9" ht="11.25" customHeight="1" x14ac:dyDescent="0.2">
      <c r="E44" s="182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1Y</v>
      </c>
      <c r="D3" s="259" t="str">
        <f>Currency&amp;A3&amp;B3&amp;C3&amp;"F"&amp;"_Estimated"</f>
        <v>EUR0x1YF_Estimated</v>
      </c>
      <c r="E3" s="294">
        <f>SettlementDate</f>
        <v>42160</v>
      </c>
      <c r="F3" s="294">
        <f>_xll.qlInterestRateIndexMaturity(PROPER(Currency)&amp;"ibor"&amp;$F$1,E3)</f>
        <v>42527</v>
      </c>
      <c r="G3" s="258">
        <f>J3+$H$4</f>
        <v>1.6814497329626097E-3</v>
      </c>
      <c r="H3" s="239"/>
      <c r="I3" s="239"/>
      <c r="J3" s="190">
        <f>_xll.qlTenorBasisValue($R$18,E3,Trigger)</f>
        <v>2.8830282817084076E-3</v>
      </c>
      <c r="K3" s="239"/>
      <c r="L3" s="239"/>
      <c r="M3" s="283">
        <f>_xll.qlDayCounterYearFraction("actual/365 (fixed)",SettlementDate,E3,,,Trigger)</f>
        <v>0</v>
      </c>
      <c r="N3" s="239"/>
      <c r="O3" s="257"/>
      <c r="Q3" s="277" t="s">
        <v>134</v>
      </c>
      <c r="R3" s="190" t="str">
        <f>_xll.qlIborIndex(,,F1,2,Currency,Calendar,"mf",TRUE,DayCounter,Discounting,,Trigger)</f>
        <v>obj_00593#0000</v>
      </c>
    </row>
    <row r="4" spans="1:20" ht="11.25" customHeight="1" x14ac:dyDescent="0.2">
      <c r="A4" s="254">
        <v>0</v>
      </c>
      <c r="B4" s="255" t="s">
        <v>34</v>
      </c>
      <c r="C4" s="256" t="str">
        <f>SUBSTITUTE($F$1,"M","")</f>
        <v>1Y</v>
      </c>
      <c r="D4" s="247" t="str">
        <f>PROPER(Currency&amp;IborType)&amp;F1&amp;"LastFixing"&amp;QuoteSuffix</f>
        <v>Euribor1YLastFixing_Quote</v>
      </c>
      <c r="E4" s="294">
        <f>SettlementDate</f>
        <v>42160</v>
      </c>
      <c r="F4" s="294">
        <f>_xll.qlInterestRateIndexMaturity(ON_12M_index,E4)</f>
        <v>42527</v>
      </c>
      <c r="G4" s="190">
        <f>_xll.qlQuoteValue(D4,LastFixingsTrigger)</f>
        <v>1.6000000000000001E-3</v>
      </c>
      <c r="H4" s="190">
        <f>_xll.qlIndexFixing(ON_12M_index,_xll.qlInterestRateIndexFixingDate(ON_12M_index,E4),,AllTriggers)</f>
        <v>-1.201578548745798E-3</v>
      </c>
      <c r="I4" s="258">
        <f t="shared" ref="I4:I14" si="0">G4-H4</f>
        <v>2.8015785487457978E-3</v>
      </c>
      <c r="J4" s="186">
        <f>_xll.qlTenorBasisValue($R$18,E4,Trigger)</f>
        <v>2.8830282817084076E-3</v>
      </c>
      <c r="K4" s="187">
        <f>L4*10000</f>
        <v>-0.81449732962609811</v>
      </c>
      <c r="L4" s="278">
        <f t="shared" ref="L4:L16" si="1">I4-J4</f>
        <v>-8.1449732962609808E-5</v>
      </c>
      <c r="M4" s="284">
        <f>_xll.qlDayCounterYearFraction("actual/365 (fixed)",SettlementDate,E4,,,Trigger)</f>
        <v>0</v>
      </c>
      <c r="N4" s="281">
        <f>_xll.qlYieldTSDiscount(Discounting,E4,,AllTriggers)</f>
        <v>1.0000066667000043</v>
      </c>
      <c r="O4" s="236" t="b">
        <v>1</v>
      </c>
    </row>
    <row r="5" spans="1:20" ht="11.25" customHeight="1" x14ac:dyDescent="0.2">
      <c r="A5" s="244">
        <v>1</v>
      </c>
      <c r="B5" s="56" t="s">
        <v>34</v>
      </c>
      <c r="C5" s="251">
        <f>A5+12</f>
        <v>13</v>
      </c>
      <c r="D5" s="248" t="str">
        <f t="shared" ref="D5:D17" si="2">Currency&amp;A5&amp;B5&amp;C5&amp;"F"&amp;QuoteSuffix</f>
        <v>EUR1x13F_Quote</v>
      </c>
      <c r="E5" s="295">
        <f>_xll.qlCalendarAdvance("target",SettlementDate,A5&amp;"M","mf",,Trigger)</f>
        <v>42191</v>
      </c>
      <c r="F5" s="295">
        <f>_xll.qlInterestRateIndexMaturity(ON_12M_index,E5)</f>
        <v>42557</v>
      </c>
      <c r="G5" s="67">
        <f>_xll.qlQuoteValue(D5,AllTriggers)</f>
        <v>1.7799999999999999E-3</v>
      </c>
      <c r="H5" s="67">
        <f>_xll.qlIndexFixing(ON_12M_index,_xll.qlInterestRateIndexFixingDate(ON_12M_index,E5),,AllTriggers)</f>
        <v>-1.1884397701471649E-3</v>
      </c>
      <c r="I5" s="280">
        <f t="shared" ref="I5:I13" si="3">G5-H5</f>
        <v>2.9684397701471646E-3</v>
      </c>
      <c r="J5" s="67">
        <f>_xll.qlTenorBasisValue($R$18,E5,Trigger)</f>
        <v>2.9121963926155127E-3</v>
      </c>
      <c r="K5" s="240">
        <f t="shared" ref="K5:K16" si="4">L5*10000</f>
        <v>0.56243377531651861</v>
      </c>
      <c r="L5" s="279">
        <f t="shared" si="1"/>
        <v>5.6243377531651866E-5</v>
      </c>
      <c r="M5" s="285">
        <f>_xll.qlDayCounterYearFraction("actual/365 (fixed)",SettlementDate,E5,,,Trigger)</f>
        <v>8.4931506849315067E-2</v>
      </c>
      <c r="N5" s="183">
        <f>_xll.qlYieldTSDiscount(Discounting,E5,,AllTriggers)</f>
        <v>1.0001090930777232</v>
      </c>
      <c r="O5" s="241" t="b">
        <v>1</v>
      </c>
      <c r="Q5" s="261" t="s">
        <v>125</v>
      </c>
      <c r="R5" s="262"/>
      <c r="T5" s="55"/>
    </row>
    <row r="6" spans="1:20" ht="11.25" customHeight="1" x14ac:dyDescent="0.2">
      <c r="A6" s="244">
        <v>2</v>
      </c>
      <c r="B6" s="56" t="s">
        <v>34</v>
      </c>
      <c r="C6" s="251">
        <f t="shared" ref="C6:C16" si="5">A6+12</f>
        <v>14</v>
      </c>
      <c r="D6" s="249" t="str">
        <f t="shared" si="2"/>
        <v>EUR2x14F_Quote</v>
      </c>
      <c r="E6" s="296">
        <f>_xll.qlCalendarAdvance("target",SettlementDate,A6&amp;"M","mf",,Trigger)</f>
        <v>42221</v>
      </c>
      <c r="F6" s="296">
        <f>_xll.qlInterestRateIndexMaturity(ON_12M_index,E6)</f>
        <v>42587</v>
      </c>
      <c r="G6" s="62">
        <f>_xll.qlQuoteValue(D6,AllTriggers)</f>
        <v>1.83E-3</v>
      </c>
      <c r="H6" s="62">
        <f>_xll.qlIndexFixing(ON_12M_index,_xll.qlInterestRateIndexFixingDate(ON_12M_index,E6),,AllTriggers)</f>
        <v>-1.1632036595278028E-3</v>
      </c>
      <c r="I6" s="265">
        <f t="shared" si="3"/>
        <v>2.9932036595278029E-3</v>
      </c>
      <c r="J6" s="62">
        <f>_xll.qlTenorBasisValue($R$18,E6,Trigger)</f>
        <v>2.9412252332714044E-3</v>
      </c>
      <c r="K6" s="188">
        <f t="shared" si="4"/>
        <v>0.51978426256398502</v>
      </c>
      <c r="L6" s="234">
        <f t="shared" si="1"/>
        <v>5.1978426256398501E-5</v>
      </c>
      <c r="M6" s="206">
        <f>_xll.qlDayCounterYearFraction("actual/365 (fixed)",SettlementDate,E6,,,Trigger)</f>
        <v>0.16712328767123288</v>
      </c>
      <c r="N6" s="184">
        <f>_xll.qlYieldTSDiscount(Discounting,E6,,AllTriggers)</f>
        <v>1.0002131875539613</v>
      </c>
      <c r="O6" s="237" t="b">
        <v>1</v>
      </c>
      <c r="Q6" s="277" t="s">
        <v>126</v>
      </c>
      <c r="R6" s="282" t="str">
        <f>_xll.qlPolynomialCalibration(,_xll.ohFilter($M$4:$M$17,$O$4:$O$17),_xll.ohFilter($I$4:$I$17,$O$4:$O$17),_xll.ohFilter($N$4:$N$17,$O$4:$O$17),_xll.ohFilter(T13:T17,S13:S17),,,,,Trigger)</f>
        <v>obj_005de#0048</v>
      </c>
      <c r="T6" s="55"/>
    </row>
    <row r="7" spans="1:20" ht="11.25" customHeight="1" x14ac:dyDescent="0.2">
      <c r="A7" s="244">
        <f>A6+1</f>
        <v>3</v>
      </c>
      <c r="B7" s="56" t="s">
        <v>34</v>
      </c>
      <c r="C7" s="251">
        <f t="shared" si="5"/>
        <v>15</v>
      </c>
      <c r="D7" s="249" t="str">
        <f t="shared" si="2"/>
        <v>EUR3x15F_Quote</v>
      </c>
      <c r="E7" s="296">
        <f>_xll.qlCalendarAdvance("target",SettlementDate,A7&amp;"M","mf",,Trigger)</f>
        <v>42254</v>
      </c>
      <c r="F7" s="296">
        <f>_xll.qlInterestRateIndexMaturity(ON_12M_index,E7)</f>
        <v>42620</v>
      </c>
      <c r="G7" s="62">
        <f>_xll.qlQuoteValue(D7,AllTriggers)</f>
        <v>1.8799999999999999E-3</v>
      </c>
      <c r="H7" s="62">
        <f>_xll.qlIndexFixing(ON_12M_index,_xll.qlInterestRateIndexFixingDate(ON_12M_index,E7),,AllTriggers)</f>
        <v>-1.1217151270293173E-3</v>
      </c>
      <c r="I7" s="265">
        <f t="shared" si="3"/>
        <v>3.001715127029317E-3</v>
      </c>
      <c r="J7" s="62">
        <f>_xll.qlTenorBasisValue($R$18,E7,Trigger)</f>
        <v>2.9738980882789813E-3</v>
      </c>
      <c r="K7" s="188">
        <f t="shared" si="4"/>
        <v>0.27817038750335699</v>
      </c>
      <c r="L7" s="234">
        <f t="shared" si="1"/>
        <v>2.7817038750335699E-5</v>
      </c>
      <c r="M7" s="206">
        <f>_xll.qlDayCounterYearFraction("actual/365 (fixed)",SettlementDate,E7,,,Trigger)</f>
        <v>0.25753424657534246</v>
      </c>
      <c r="N7" s="184">
        <f>_xll.qlYieldTSDiscount(Discounting,E7,,AllTriggers)</f>
        <v>1.000333906989644</v>
      </c>
      <c r="O7" s="237" t="b">
        <v>1</v>
      </c>
      <c r="Q7" s="277" t="s">
        <v>127</v>
      </c>
      <c r="R7" s="282" t="b">
        <f>_xll.qlPolynomialCalibrationCompute($R$6)</f>
        <v>1</v>
      </c>
      <c r="T7" s="55"/>
    </row>
    <row r="8" spans="1:20" ht="11.25" customHeight="1" x14ac:dyDescent="0.2">
      <c r="A8" s="244">
        <f t="shared" ref="A8:A16" si="6">A7+1</f>
        <v>4</v>
      </c>
      <c r="B8" s="56" t="s">
        <v>34</v>
      </c>
      <c r="C8" s="251">
        <f t="shared" si="5"/>
        <v>16</v>
      </c>
      <c r="D8" s="191" t="str">
        <f t="shared" si="2"/>
        <v>EUR4x16F_Quote</v>
      </c>
      <c r="E8" s="296">
        <f>_xll.qlCalendarAdvance("target",SettlementDate,A8&amp;"M","mf",,Trigger)</f>
        <v>42282</v>
      </c>
      <c r="F8" s="296">
        <f>_xll.qlInterestRateIndexMaturity(ON_12M_index,E8)</f>
        <v>42648</v>
      </c>
      <c r="G8" s="62">
        <f>_xll.qlQuoteValue(D8,AllTriggers)</f>
        <v>1.9300000000000001E-3</v>
      </c>
      <c r="H8" s="62">
        <f>_xll.qlIndexFixing(ON_12M_index,_xll.qlInterestRateIndexFixingDate(ON_12M_index,E8),,AllTriggers)</f>
        <v>-1.0835511730667973E-3</v>
      </c>
      <c r="I8" s="265">
        <f t="shared" si="3"/>
        <v>3.0135511730667976E-3</v>
      </c>
      <c r="J8" s="62">
        <f>_xll.qlTenorBasisValue($R$18,E8,Trigger)</f>
        <v>3.0020945123844429E-3</v>
      </c>
      <c r="K8" s="188">
        <f t="shared" si="4"/>
        <v>0.11456660682354711</v>
      </c>
      <c r="L8" s="234">
        <f t="shared" si="1"/>
        <v>1.1456660682354711E-5</v>
      </c>
      <c r="M8" s="206">
        <f>_xll.qlDayCounterYearFraction("actual/365 (fixed)",SettlementDate,E8,,,Trigger)</f>
        <v>0.33424657534246577</v>
      </c>
      <c r="N8" s="184">
        <f>_xll.qlYieldTSDiscount(Discounting,E8,,AllTriggers)</f>
        <v>1.0004335031961453</v>
      </c>
      <c r="O8" s="237" t="b">
        <v>1</v>
      </c>
      <c r="Q8" s="277" t="s">
        <v>128</v>
      </c>
      <c r="R8" s="282" t="str">
        <f>_xll.qlPolynomialCalibrationEndCriteria(R6,)</f>
        <v>StationaryFunctionValue</v>
      </c>
      <c r="T8" s="55"/>
    </row>
    <row r="9" spans="1:20" ht="11.25" customHeight="1" x14ac:dyDescent="0.2">
      <c r="A9" s="244">
        <f t="shared" si="6"/>
        <v>5</v>
      </c>
      <c r="B9" s="56" t="s">
        <v>34</v>
      </c>
      <c r="C9" s="251">
        <f t="shared" si="5"/>
        <v>17</v>
      </c>
      <c r="D9" s="191" t="str">
        <f t="shared" si="2"/>
        <v>EUR5x17F_Quote</v>
      </c>
      <c r="E9" s="296">
        <f>_xll.qlCalendarAdvance("target",SettlementDate,A9&amp;"M","mf",,Trigger)</f>
        <v>42313</v>
      </c>
      <c r="F9" s="296">
        <f>_xll.qlInterestRateIndexMaturity(ON_12M_index,E9)</f>
        <v>42681</v>
      </c>
      <c r="G9" s="62">
        <f>_xll.qlQuoteValue(D9,AllTriggers)</f>
        <v>1.99E-3</v>
      </c>
      <c r="H9" s="62">
        <f>_xll.qlIndexFixing(ON_12M_index,_xll.qlInterestRateIndexFixingDate(ON_12M_index,E9),,AllTriggers)</f>
        <v>-1.0353899855799198E-3</v>
      </c>
      <c r="I9" s="265">
        <f t="shared" si="3"/>
        <v>3.0253899855799196E-3</v>
      </c>
      <c r="J9" s="62">
        <f>_xll.qlTenorBasisValue($R$18,E9,Trigger)</f>
        <v>3.0336735483678066E-3</v>
      </c>
      <c r="K9" s="188">
        <f t="shared" si="4"/>
        <v>-8.2835627878870277E-2</v>
      </c>
      <c r="L9" s="234">
        <f t="shared" si="1"/>
        <v>-8.2835627878870277E-6</v>
      </c>
      <c r="M9" s="206">
        <f>_xll.qlDayCounterYearFraction("actual/365 (fixed)",SettlementDate,E9,,,Trigger)</f>
        <v>0.41917808219178082</v>
      </c>
      <c r="N9" s="184">
        <f>_xll.qlYieldTSDiscount(Discounting,E9,,AllTriggers)</f>
        <v>1.0005428888485881</v>
      </c>
      <c r="O9" s="237" t="b">
        <v>1</v>
      </c>
      <c r="Q9" s="277" t="s">
        <v>89</v>
      </c>
      <c r="R9" s="190">
        <f>_xll.qlPolynomialCalibrationError(R6,)</f>
        <v>1.0495970077009605E-4</v>
      </c>
      <c r="T9" s="55"/>
    </row>
    <row r="10" spans="1:20" ht="11.25" customHeight="1" x14ac:dyDescent="0.2">
      <c r="A10" s="244">
        <f t="shared" si="6"/>
        <v>6</v>
      </c>
      <c r="B10" s="56" t="s">
        <v>34</v>
      </c>
      <c r="C10" s="251">
        <f t="shared" si="5"/>
        <v>18</v>
      </c>
      <c r="D10" s="191" t="str">
        <f t="shared" si="2"/>
        <v>EUR6x18F_Quote</v>
      </c>
      <c r="E10" s="296">
        <f>_xll.qlCalendarAdvance("target",SettlementDate,A10&amp;"M","mf",,Trigger)</f>
        <v>42345</v>
      </c>
      <c r="F10" s="296">
        <f>_xll.qlInterestRateIndexMaturity(ON_12M_index,E10)</f>
        <v>42711</v>
      </c>
      <c r="G10" s="62">
        <f>_xll.qlQuoteValue(D10,AllTriggers)</f>
        <v>2.0499999999999997E-3</v>
      </c>
      <c r="H10" s="62">
        <f>_xll.qlIndexFixing(ON_12M_index,_xll.qlInterestRateIndexFixingDate(ON_12M_index,E10),,AllTriggers)</f>
        <v>-9.8590829280935767E-4</v>
      </c>
      <c r="I10" s="265">
        <f t="shared" si="3"/>
        <v>3.0359082928093574E-3</v>
      </c>
      <c r="J10" s="62">
        <f>_xll.qlTenorBasisValue($R$18,E10,Trigger)</f>
        <v>3.066510602116958E-3</v>
      </c>
      <c r="K10" s="188">
        <f t="shared" si="4"/>
        <v>-0.306023093076006</v>
      </c>
      <c r="L10" s="234">
        <f t="shared" si="1"/>
        <v>-3.0602309307600599E-5</v>
      </c>
      <c r="M10" s="206">
        <f>_xll.qlDayCounterYearFraction("actual/365 (fixed)",SettlementDate,E10,,,Trigger)</f>
        <v>0.50684931506849318</v>
      </c>
      <c r="N10" s="184">
        <f>_xll.qlYieldTSDiscount(Discounting,E10,,AllTriggers)</f>
        <v>1.0006554468921967</v>
      </c>
      <c r="O10" s="237" t="b">
        <v>1</v>
      </c>
      <c r="Q10" s="277" t="s">
        <v>124</v>
      </c>
      <c r="R10" s="190">
        <f>_xll.qlPolynomialCalibrationMaxError(R6,)</f>
        <v>1.4494759016539039E-4</v>
      </c>
      <c r="T10" s="55"/>
    </row>
    <row r="11" spans="1:20" ht="11.25" customHeight="1" x14ac:dyDescent="0.2">
      <c r="A11" s="244">
        <f t="shared" si="6"/>
        <v>7</v>
      </c>
      <c r="B11" s="56" t="s">
        <v>34</v>
      </c>
      <c r="C11" s="251">
        <f t="shared" si="5"/>
        <v>19</v>
      </c>
      <c r="D11" s="191" t="str">
        <f t="shared" si="2"/>
        <v>EUR7x19F_Quote</v>
      </c>
      <c r="E11" s="296">
        <f>_xll.qlCalendarAdvance("target",SettlementDate,A11&amp;"M","mf",,Trigger)</f>
        <v>42374</v>
      </c>
      <c r="F11" s="296">
        <f>_xll.qlInterestRateIndexMaturity(ON_12M_index,E11)</f>
        <v>42740</v>
      </c>
      <c r="G11" s="62">
        <f>_xll.qlQuoteValue(D11,AllTriggers)</f>
        <v>2.1400000000000004E-3</v>
      </c>
      <c r="H11" s="62">
        <f>_xll.qlIndexFixing(ON_12M_index,_xll.qlInterestRateIndexFixingDate(ON_12M_index,E11),,AllTriggers)</f>
        <v>-9.1955990461468429E-4</v>
      </c>
      <c r="I11" s="265">
        <f t="shared" si="3"/>
        <v>3.0595599046146847E-3</v>
      </c>
      <c r="J11" s="62">
        <f>_xll.qlTenorBasisValue($R$18,E11,Trigger)</f>
        <v>3.0963379724769664E-3</v>
      </c>
      <c r="K11" s="188">
        <f t="shared" si="4"/>
        <v>-0.36778067862281666</v>
      </c>
      <c r="L11" s="234">
        <f t="shared" si="1"/>
        <v>-3.6778067862281664E-5</v>
      </c>
      <c r="M11" s="206">
        <f>_xll.qlDayCounterYearFraction("actual/365 (fixed)",SettlementDate,E11,,,Trigger)</f>
        <v>0.58630136986301373</v>
      </c>
      <c r="N11" s="184">
        <f>_xll.qlYieldTSDiscount(Discounting,E11,,AllTriggers)</f>
        <v>1.0007392802738873</v>
      </c>
      <c r="O11" s="237" t="b">
        <v>1</v>
      </c>
      <c r="T11" s="55"/>
    </row>
    <row r="12" spans="1:20" ht="11.25" customHeight="1" x14ac:dyDescent="0.2">
      <c r="A12" s="244">
        <f t="shared" si="6"/>
        <v>8</v>
      </c>
      <c r="B12" s="56" t="s">
        <v>34</v>
      </c>
      <c r="C12" s="251">
        <f t="shared" si="5"/>
        <v>20</v>
      </c>
      <c r="D12" s="191" t="str">
        <f t="shared" si="2"/>
        <v>EUR8x20F_Quote</v>
      </c>
      <c r="E12" s="296">
        <f>_xll.qlCalendarAdvance("target",SettlementDate,A12&amp;"M","mf",,Trigger)</f>
        <v>42405</v>
      </c>
      <c r="F12" s="296">
        <f>_xll.qlInterestRateIndexMaturity(ON_12M_index,E12)</f>
        <v>42772</v>
      </c>
      <c r="G12" s="62">
        <f>_xll.qlQuoteValue(D12,AllTriggers)</f>
        <v>2.2500000000000003E-3</v>
      </c>
      <c r="H12" s="62">
        <f>_xll.qlIndexFixing(ON_12M_index,_xll.qlInterestRateIndexFixingDate(ON_12M_index,E12),,AllTriggers)</f>
        <v>-8.5368361973573879E-4</v>
      </c>
      <c r="I12" s="265">
        <f t="shared" si="3"/>
        <v>3.1036836197357392E-3</v>
      </c>
      <c r="J12" s="62">
        <f>_xll.qlTenorBasisValue($R$18,E12,Trigger)</f>
        <v>3.1281462421315943E-3</v>
      </c>
      <c r="K12" s="188">
        <f t="shared" si="4"/>
        <v>-0.24462622395855174</v>
      </c>
      <c r="L12" s="234">
        <f t="shared" si="1"/>
        <v>-2.4462622395855175E-5</v>
      </c>
      <c r="M12" s="206">
        <f>_xll.qlDayCounterYearFraction("actual/365 (fixed)",SettlementDate,E12,,,Trigger)</f>
        <v>0.67123287671232879</v>
      </c>
      <c r="N12" s="184">
        <f>_xll.qlYieldTSDiscount(Discounting,E12,,AllTriggers)</f>
        <v>1.0008513290429637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6"/>
        <v>9</v>
      </c>
      <c r="B13" s="56" t="s">
        <v>34</v>
      </c>
      <c r="C13" s="251">
        <f t="shared" si="5"/>
        <v>21</v>
      </c>
      <c r="D13" s="191" t="str">
        <f t="shared" si="2"/>
        <v>EUR9x21F_Quote</v>
      </c>
      <c r="E13" s="296">
        <f>_xll.qlCalendarAdvance("target",SettlementDate,A13&amp;"M","mf",,Trigger)</f>
        <v>42436</v>
      </c>
      <c r="F13" s="296">
        <f>_xll.qlInterestRateIndexMaturity(ON_12M_index,E13)</f>
        <v>42801</v>
      </c>
      <c r="G13" s="62">
        <f>_xll.qlQuoteValue(D13,AllTriggers)</f>
        <v>2.3599999999999997E-3</v>
      </c>
      <c r="H13" s="62">
        <f>_xll.qlIndexFixing(ON_12M_index,_xll.qlInterestRateIndexFixingDate(ON_12M_index,E13),,AllTriggers)</f>
        <v>-7.8902116148222732E-4</v>
      </c>
      <c r="I13" s="265">
        <f t="shared" si="3"/>
        <v>3.149021161482227E-3</v>
      </c>
      <c r="J13" s="62">
        <f>_xll.qlTenorBasisValue($R$18,E13,Trigger)</f>
        <v>3.1597240407141023E-3</v>
      </c>
      <c r="K13" s="188">
        <f t="shared" si="4"/>
        <v>-0.10702879231875261</v>
      </c>
      <c r="L13" s="234">
        <f t="shared" si="1"/>
        <v>-1.0702879231875261E-5</v>
      </c>
      <c r="M13" s="206">
        <f>_xll.qlDayCounterYearFraction("actual/365 (fixed)",SettlementDate,E13,,,Trigger)</f>
        <v>0.75616438356164384</v>
      </c>
      <c r="N13" s="184">
        <f>_xll.qlYieldTSDiscount(Discounting,E13,,AllTriggers)</f>
        <v>1.0009505990216121</v>
      </c>
      <c r="O13" s="237" t="b">
        <v>1</v>
      </c>
      <c r="Q13" s="277" t="s">
        <v>113</v>
      </c>
      <c r="R13" s="190">
        <f t="array" ref="R13:R17">_xll.qlPolynomialCalibrationCoefficients($R$6,$R$6)</f>
        <v>2.8830282817084076E-3</v>
      </c>
      <c r="S13" s="190" t="b">
        <v>1</v>
      </c>
      <c r="T13" s="190">
        <v>2.9266639631714856E-3</v>
      </c>
    </row>
    <row r="14" spans="1:20" ht="11.25" customHeight="1" x14ac:dyDescent="0.2">
      <c r="A14" s="244">
        <f t="shared" si="6"/>
        <v>10</v>
      </c>
      <c r="B14" s="56" t="s">
        <v>34</v>
      </c>
      <c r="C14" s="251">
        <f t="shared" si="5"/>
        <v>22</v>
      </c>
      <c r="D14" s="191" t="str">
        <f t="shared" si="2"/>
        <v>EUR10x22F_Quote</v>
      </c>
      <c r="E14" s="296">
        <f>_xll.qlCalendarAdvance("target",SettlementDate,A14&amp;"M","mf",,Trigger)</f>
        <v>42465</v>
      </c>
      <c r="F14" s="296">
        <f>_xll.qlInterestRateIndexMaturity(ON_12M_index,E14)</f>
        <v>42830</v>
      </c>
      <c r="G14" s="62">
        <f>_xll.qlQuoteValue(D14,AllTriggers)</f>
        <v>2.48E-3</v>
      </c>
      <c r="H14" s="62">
        <f>_xll.qlIndexFixing(ON_12M_index,_xll.qlInterestRateIndexFixingDate(ON_12M_index,E14),,AllTriggers)</f>
        <v>-7.0816670071369961E-4</v>
      </c>
      <c r="I14" s="265">
        <f t="shared" si="0"/>
        <v>3.1881667007136998E-3</v>
      </c>
      <c r="J14" s="62">
        <f>_xll.qlTenorBasisValue($R$18,E14,Trigger)</f>
        <v>3.1889185149665965E-3</v>
      </c>
      <c r="K14" s="188">
        <f t="shared" si="4"/>
        <v>-7.5181425289666884E-3</v>
      </c>
      <c r="L14" s="234">
        <f t="shared" si="1"/>
        <v>-7.5181425289666884E-7</v>
      </c>
      <c r="M14" s="206">
        <f>_xll.qlDayCounterYearFraction("actual/365 (fixed)",SettlementDate,E14,,,Trigger)</f>
        <v>0.83561643835616439</v>
      </c>
      <c r="N14" s="184">
        <f>_xll.qlYieldTSDiscount(Discounting,E14,,AllTriggers)</f>
        <v>1.0010440581516491</v>
      </c>
      <c r="O14" s="237" t="b">
        <v>1</v>
      </c>
      <c r="Q14" s="277" t="s">
        <v>114</v>
      </c>
      <c r="R14" s="190">
        <v>3.3787548046855683E-4</v>
      </c>
      <c r="S14" s="190" t="b">
        <v>1</v>
      </c>
      <c r="T14" s="190">
        <v>6.4219614391665956E-4</v>
      </c>
    </row>
    <row r="15" spans="1:20" ht="11.25" customHeight="1" x14ac:dyDescent="0.2">
      <c r="A15" s="244">
        <f t="shared" si="6"/>
        <v>11</v>
      </c>
      <c r="B15" s="56" t="s">
        <v>34</v>
      </c>
      <c r="C15" s="251">
        <f t="shared" si="5"/>
        <v>23</v>
      </c>
      <c r="D15" s="191" t="str">
        <f t="shared" si="2"/>
        <v>EUR11x23F_Quote</v>
      </c>
      <c r="E15" s="296">
        <f>_xll.qlCalendarAdvance("target",SettlementDate,A15&amp;"M","mf",,Trigger)</f>
        <v>42495</v>
      </c>
      <c r="F15" s="296">
        <f>_xll.qlInterestRateIndexMaturity(ON_12M_index,E15)</f>
        <v>42860</v>
      </c>
      <c r="G15" s="62">
        <f>_xll.qlQuoteValue(D15,AllTriggers)</f>
        <v>2.63E-3</v>
      </c>
      <c r="H15" s="62">
        <f>_xll.qlIndexFixing(ON_12M_index,_xll.qlInterestRateIndexFixingDate(ON_12M_index,E15),,AllTriggers)</f>
        <v>-6.1290213869100662E-4</v>
      </c>
      <c r="I15" s="265">
        <f>G15-H15</f>
        <v>3.2429021386910064E-3</v>
      </c>
      <c r="J15" s="62">
        <f>_xll.qlTenorBasisValue($R$18,E15,Trigger)</f>
        <v>3.218629448921948E-3</v>
      </c>
      <c r="K15" s="188">
        <f t="shared" si="4"/>
        <v>0.24272689769058373</v>
      </c>
      <c r="L15" s="234">
        <f t="shared" si="1"/>
        <v>2.4272689769058373E-5</v>
      </c>
      <c r="M15" s="206">
        <f>_xll.qlDayCounterYearFraction("actual/365 (fixed)",SettlementDate,E15,,,Trigger)</f>
        <v>0.9178082191780822</v>
      </c>
      <c r="N15" s="184">
        <f>_xll.qlYieldTSDiscount(Discounting,E15,,AllTriggers)</f>
        <v>1.0011350423915941</v>
      </c>
      <c r="O15" s="237" t="b">
        <v>1</v>
      </c>
      <c r="Q15" s="277" t="s">
        <v>115</v>
      </c>
      <c r="R15" s="190">
        <v>6.8995361343242951E-5</v>
      </c>
      <c r="S15" s="190" t="b">
        <v>1</v>
      </c>
      <c r="T15" s="190">
        <v>-3.4478140344458048E-4</v>
      </c>
    </row>
    <row r="16" spans="1:20" ht="11.25" customHeight="1" x14ac:dyDescent="0.2">
      <c r="A16" s="244">
        <f t="shared" si="6"/>
        <v>12</v>
      </c>
      <c r="B16" s="56" t="s">
        <v>34</v>
      </c>
      <c r="C16" s="251">
        <f t="shared" si="5"/>
        <v>24</v>
      </c>
      <c r="D16" s="191" t="str">
        <f t="shared" si="2"/>
        <v>EUR12x24F_Quote</v>
      </c>
      <c r="E16" s="296">
        <f>_xll.qlCalendarAdvance("target",SettlementDate,A16&amp;"M","mf",,Trigger)</f>
        <v>42527</v>
      </c>
      <c r="F16" s="296">
        <f>_xll.qlInterestRateIndexMaturity(ON_12M_index,E16)</f>
        <v>42892</v>
      </c>
      <c r="G16" s="62">
        <f>_xll.qlQuoteValue(D16,AllTriggers)</f>
        <v>2.7800000000000004E-3</v>
      </c>
      <c r="H16" s="62">
        <f>_xll.qlIndexFixing(ON_12M_index,_xll.qlInterestRateIndexFixingDate(ON_12M_index,E16),,AllTriggers)</f>
        <v>-4.9331305854211918E-4</v>
      </c>
      <c r="I16" s="265">
        <f>G16-H16</f>
        <v>3.2733130585421194E-3</v>
      </c>
      <c r="J16" s="62">
        <f>_xll.qlTenorBasisValue($R$18,E16,Trigger)</f>
        <v>3.2496149252739925E-3</v>
      </c>
      <c r="K16" s="188">
        <f t="shared" si="4"/>
        <v>0.2369813326812695</v>
      </c>
      <c r="L16" s="234">
        <f t="shared" si="1"/>
        <v>2.3698133268126951E-5</v>
      </c>
      <c r="M16" s="206">
        <f>_xll.qlDayCounterYearFraction("actual/365 (fixed)",SettlementDate,E16,,,Trigger)</f>
        <v>1.0054794520547945</v>
      </c>
      <c r="N16" s="184">
        <f>_xll.qlYieldTSDiscount(Discounting,E16,,AllTriggers)</f>
        <v>1.001233119777003</v>
      </c>
      <c r="O16" s="237" t="b">
        <v>1</v>
      </c>
      <c r="Q16" s="277" t="s">
        <v>116</v>
      </c>
      <c r="R16" s="190">
        <v>-4.2196310161562246E-5</v>
      </c>
      <c r="S16" s="190" t="b">
        <v>1</v>
      </c>
      <c r="T16" s="190">
        <v>9.8448696292782983E-5</v>
      </c>
    </row>
    <row r="17" spans="1:20" ht="11.25" customHeight="1" x14ac:dyDescent="0.2">
      <c r="A17" s="244">
        <v>24</v>
      </c>
      <c r="B17" s="56" t="s">
        <v>34</v>
      </c>
      <c r="C17" s="251">
        <v>36</v>
      </c>
      <c r="D17" s="192" t="str">
        <f t="shared" si="2"/>
        <v>EUR24x36F_Quote</v>
      </c>
      <c r="E17" s="297">
        <f>_xll.qlCalendarAdvance("target",SettlementDate,A17&amp;"M","mf",,Trigger)</f>
        <v>42891</v>
      </c>
      <c r="F17" s="297">
        <f>_xll.qlInterestRateIndexMaturity(ON_12M_index,E17)</f>
        <v>43256</v>
      </c>
      <c r="G17" s="65">
        <f>_xll.qlQuoteValue(D17,AllTriggers)</f>
        <v>5.2300000000000003E-3</v>
      </c>
      <c r="H17" s="65">
        <f>_xll.qlIndexFixing(ON_12M_index,_xll.qlInterestRateIndexFixingDate(ON_12M_index,E17),,AllTriggers)</f>
        <v>1.7349519372277229E-3</v>
      </c>
      <c r="I17" s="260">
        <f>G17-H17</f>
        <v>3.4950480627722776E-3</v>
      </c>
      <c r="J17" s="65">
        <f>_xll.qlTenorBasisValue($R$18,E17,Trigger)</f>
        <v>3.49748334721253E-3</v>
      </c>
      <c r="K17" s="189">
        <f t="shared" ref="K17" si="7">L17*10000</f>
        <v>-2.4352844402524519E-2</v>
      </c>
      <c r="L17" s="235">
        <f t="shared" ref="L17" si="8">I17-J17</f>
        <v>-2.4352844402524519E-6</v>
      </c>
      <c r="M17" s="207">
        <f>_xll.qlDayCounterYearFraction("actual/365 (fixed)",SettlementDate,E17,,,Trigger)</f>
        <v>2.0027397260273974</v>
      </c>
      <c r="N17" s="185">
        <f>_xll.qlYieldTSDiscount(Discounting,E17,,AllTriggers)</f>
        <v>1.0017351271377146</v>
      </c>
      <c r="O17" s="238" t="b">
        <v>1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E18" s="182"/>
      <c r="F18" s="182"/>
      <c r="G18" s="57"/>
      <c r="H18" s="57"/>
      <c r="I18" s="57"/>
      <c r="J18" s="56"/>
      <c r="K18" s="56"/>
      <c r="L18" s="56"/>
      <c r="M18" s="56"/>
      <c r="N18" s="56"/>
      <c r="O18" s="56"/>
      <c r="Q18" s="277" t="s">
        <v>118</v>
      </c>
      <c r="R18" s="190" t="str">
        <f>_xll.qlPolynomialTenorBasis(,PROPER(Currency)&amp;IborType&amp;$F$1,Discounting,SettlementDate,TRUE,_xll.ohFilter(R13:R17,S13:S17),,Trigger)</f>
        <v>obj_00845#0018</v>
      </c>
      <c r="T18" s="55"/>
    </row>
    <row r="19" spans="1:20" ht="11.25" customHeight="1" thickBot="1" x14ac:dyDescent="0.25">
      <c r="E19" s="182"/>
      <c r="F19" s="58" t="s">
        <v>91</v>
      </c>
      <c r="G19" s="58" t="s">
        <v>80</v>
      </c>
      <c r="H19" s="58" t="s">
        <v>81</v>
      </c>
      <c r="I19" s="286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8">
        <f>_xll.qlCalendarAdvance(Calendar,SettlementDate,0&amp;"M","mf",TRUE,Trigger)</f>
        <v>42160</v>
      </c>
      <c r="H20" s="269">
        <f>_xll.qlCalendarAdvance(Calendar,SettlementDate,F20,"Following",,Trigger)</f>
        <v>42163</v>
      </c>
      <c r="I20" s="287">
        <f>_xll.qlTenorBasisForwardRate2(TenorBasis12M,G20,H20,AllTriggers)</f>
        <v>1.4764517005527722E-3</v>
      </c>
      <c r="T20" s="55"/>
    </row>
    <row r="21" spans="1:20" ht="11.25" customHeight="1" x14ac:dyDescent="0.2">
      <c r="F21" s="63" t="s">
        <v>39</v>
      </c>
      <c r="G21" s="270">
        <f>_xll.qlCalendarAdvance(Calendar,SettlementDate,0&amp;"M","mf",TRUE,Trigger)</f>
        <v>42160</v>
      </c>
      <c r="H21" s="271">
        <f>_xll.qlCalendarAdvance(Calendar,SettlementDate,F21,"Following",,Trigger)</f>
        <v>42167</v>
      </c>
      <c r="I21" s="288">
        <f>_xll.qlTenorBasisForwardRate2(TenorBasis12M,G21,H21,AllTriggers)</f>
        <v>1.4778043448274555E-3</v>
      </c>
    </row>
    <row r="22" spans="1:20" ht="11.25" customHeight="1" x14ac:dyDescent="0.2">
      <c r="F22" s="63" t="s">
        <v>40</v>
      </c>
      <c r="G22" s="270">
        <f>_xll.qlCalendarAdvance(Calendar,SettlementDate,0&amp;"M","mf",TRUE,Trigger)</f>
        <v>42160</v>
      </c>
      <c r="H22" s="271">
        <f>_xll.qlCalendarAdvance(Calendar,SettlementDate,F22,"Following",,Trigger)</f>
        <v>42174</v>
      </c>
      <c r="I22" s="288">
        <f>_xll.qlTenorBasisForwardRate2(TenorBasis12M,G22,H22,AllTriggers)</f>
        <v>1.5101854782478036E-3</v>
      </c>
    </row>
    <row r="23" spans="1:20" ht="11.25" customHeight="1" x14ac:dyDescent="0.2">
      <c r="F23" s="63" t="s">
        <v>41</v>
      </c>
      <c r="G23" s="270">
        <f>_xll.qlCalendarAdvance(Calendar,SettlementDate,0&amp;"M","mf",TRUE,Trigger)</f>
        <v>42160</v>
      </c>
      <c r="H23" s="271">
        <f>_xll.qlCalendarAdvance(Calendar,SettlementDate,F23,"Following",,Trigger)</f>
        <v>42181</v>
      </c>
      <c r="I23" s="288">
        <f>_xll.qlTenorBasisForwardRate2(TenorBasis12M,G23,H23,AllTriggers)</f>
        <v>1.5125965757561183E-3</v>
      </c>
    </row>
    <row r="24" spans="1:20" ht="11.25" customHeight="1" x14ac:dyDescent="0.2">
      <c r="F24" s="266" t="s">
        <v>35</v>
      </c>
      <c r="G24" s="272">
        <f>_xll.qlCalendarAdvance(Calendar,SettlementDate,0&amp;"M","mf",TRUE,Trigger)</f>
        <v>42160</v>
      </c>
      <c r="H24" s="273">
        <f>_xll.qlCalendarAdvance(Calendar,SettlementDate,F24,"mf",TRUE,Trigger)</f>
        <v>42191</v>
      </c>
      <c r="I24" s="289">
        <f>_xll.qlTenorBasisForwardRate2(TenorBasis12M,G24,H24,AllTriggers)</f>
        <v>1.506754834099319E-3</v>
      </c>
    </row>
    <row r="25" spans="1:20" ht="11.25" customHeight="1" x14ac:dyDescent="0.2">
      <c r="F25" s="63" t="s">
        <v>42</v>
      </c>
      <c r="G25" s="270">
        <f>_xll.qlCalendarAdvance(Calendar,SettlementDate,0&amp;"M","mf",TRUE,Trigger)</f>
        <v>42160</v>
      </c>
      <c r="H25" s="271">
        <f>_xll.qlCalendarAdvance(Calendar,SettlementDate,F25,"mf",TRUE,Trigger)</f>
        <v>42221</v>
      </c>
      <c r="I25" s="288">
        <f>_xll.qlTenorBasisForwardRate2(TenorBasis12M,G25,H25,AllTriggers)</f>
        <v>1.4883884719828688E-3</v>
      </c>
    </row>
    <row r="26" spans="1:20" ht="11.25" customHeight="1" x14ac:dyDescent="0.2">
      <c r="F26" s="63" t="s">
        <v>36</v>
      </c>
      <c r="G26" s="270">
        <f>_xll.qlCalendarAdvance(Calendar,SettlementDate,0&amp;"M","mf",TRUE,Trigger)</f>
        <v>42160</v>
      </c>
      <c r="H26" s="271">
        <f>_xll.qlCalendarAdvance(Calendar,SettlementDate,F26,"mf",TRUE,Trigger)</f>
        <v>42254</v>
      </c>
      <c r="I26" s="288">
        <f>_xll.qlTenorBasisForwardRate2(TenorBasis12M,G26,H26,AllTriggers)</f>
        <v>1.4666190189284E-3</v>
      </c>
    </row>
    <row r="27" spans="1:20" ht="11.25" customHeight="1" x14ac:dyDescent="0.2">
      <c r="F27" s="63" t="s">
        <v>43</v>
      </c>
      <c r="G27" s="270">
        <f>_xll.qlCalendarAdvance(Calendar,SettlementDate,0&amp;"M","mf",TRUE,Trigger)</f>
        <v>42160</v>
      </c>
      <c r="H27" s="271">
        <f>_xll.qlCalendarAdvance(Calendar,SettlementDate,F27,"mf",TRUE,Trigger)</f>
        <v>42282</v>
      </c>
      <c r="I27" s="288">
        <f>_xll.qlTenorBasisForwardRate2(TenorBasis12M,G27,H27,AllTriggers)</f>
        <v>1.4715856604616863E-3</v>
      </c>
    </row>
    <row r="28" spans="1:20" ht="11.25" customHeight="1" x14ac:dyDescent="0.2">
      <c r="F28" s="63" t="s">
        <v>44</v>
      </c>
      <c r="G28" s="270">
        <f>_xll.qlCalendarAdvance(Calendar,SettlementDate,0&amp;"M","mf",TRUE,Trigger)</f>
        <v>42160</v>
      </c>
      <c r="H28" s="271">
        <f>_xll.qlCalendarAdvance(Calendar,SettlementDate,F28,"mf",TRUE,Trigger)</f>
        <v>42313</v>
      </c>
      <c r="I28" s="288">
        <f>_xll.qlTenorBasisForwardRate2(TenorBasis12M,G28,H28,AllTriggers)</f>
        <v>1.4822917116486631E-3</v>
      </c>
    </row>
    <row r="29" spans="1:20" ht="11.25" customHeight="1" x14ac:dyDescent="0.2">
      <c r="F29" s="63" t="s">
        <v>37</v>
      </c>
      <c r="G29" s="270">
        <f>_xll.qlCalendarAdvance(Calendar,SettlementDate,0&amp;"M","mf",TRUE,Trigger)</f>
        <v>42160</v>
      </c>
      <c r="H29" s="271">
        <f>_xll.qlCalendarAdvance(Calendar,SettlementDate,F29,"mf",TRUE,Trigger)</f>
        <v>42345</v>
      </c>
      <c r="I29" s="288">
        <f>_xll.qlTenorBasisForwardRate2(TenorBasis12M,G29,H29,AllTriggers)</f>
        <v>1.495272877750576E-3</v>
      </c>
    </row>
    <row r="30" spans="1:20" ht="11.25" customHeight="1" x14ac:dyDescent="0.2">
      <c r="F30" s="63" t="s">
        <v>45</v>
      </c>
      <c r="G30" s="270">
        <f>_xll.qlCalendarAdvance(Calendar,SettlementDate,0&amp;"M","mf",TRUE,Trigger)</f>
        <v>42160</v>
      </c>
      <c r="H30" s="270">
        <f>_xll.qlCalendarAdvance(Calendar,SettlementDate,F30,"mf",TRUE,Trigger)</f>
        <v>42374</v>
      </c>
      <c r="I30" s="288">
        <f>_xll.qlTenorBasisTenorForwardRate(TenorBasis12M,G30,AllTriggers)</f>
        <v>1.6814497329626097E-3</v>
      </c>
    </row>
    <row r="31" spans="1:20" ht="11.25" customHeight="1" x14ac:dyDescent="0.2">
      <c r="F31" s="63" t="s">
        <v>46</v>
      </c>
      <c r="G31" s="270">
        <f>_xll.qlCalendarAdvance(Calendar,SettlementDate,0&amp;"M","mf",TRUE,Trigger)</f>
        <v>42160</v>
      </c>
      <c r="H31" s="270">
        <f>_xll.qlCalendarAdvance(Calendar,SettlementDate,F31,"mf",TRUE,Trigger)</f>
        <v>42405</v>
      </c>
      <c r="I31" s="288">
        <f>_xll.qlTenorBasisTenorForwardRate(TenorBasis12M,G31,AllTriggers)</f>
        <v>1.6814497329626097E-3</v>
      </c>
    </row>
    <row r="32" spans="1:20" ht="11.25" customHeight="1" x14ac:dyDescent="0.2">
      <c r="F32" s="63" t="s">
        <v>47</v>
      </c>
      <c r="G32" s="270">
        <f>_xll.qlCalendarAdvance(Calendar,SettlementDate,0&amp;"M","mf",TRUE,Trigger)</f>
        <v>42160</v>
      </c>
      <c r="H32" s="270">
        <f>_xll.qlCalendarAdvance(Calendar,SettlementDate,F32,"mf",TRUE,Trigger)</f>
        <v>42436</v>
      </c>
      <c r="I32" s="288">
        <f>_xll.qlTenorBasisTenorForwardRate(TenorBasis12M,G32,AllTriggers)</f>
        <v>1.6814497329626097E-3</v>
      </c>
    </row>
    <row r="33" spans="5:9" ht="11.25" customHeight="1" x14ac:dyDescent="0.2">
      <c r="F33" s="63" t="s">
        <v>48</v>
      </c>
      <c r="G33" s="270">
        <f>_xll.qlCalendarAdvance(Calendar,SettlementDate,0&amp;"M","mf",TRUE,Trigger)</f>
        <v>42160</v>
      </c>
      <c r="H33" s="270">
        <f>_xll.qlCalendarAdvance(Calendar,SettlementDate,F33,"mf",TRUE,Trigger)</f>
        <v>42465</v>
      </c>
      <c r="I33" s="288">
        <f>_xll.qlTenorBasisTenorForwardRate(TenorBasis12M,G33,AllTriggers)</f>
        <v>1.6814497329626097E-3</v>
      </c>
    </row>
    <row r="34" spans="5:9" ht="11.25" customHeight="1" x14ac:dyDescent="0.2">
      <c r="F34" s="63" t="s">
        <v>49</v>
      </c>
      <c r="G34" s="270">
        <f>_xll.qlCalendarAdvance(Calendar,SettlementDate,0&amp;"M","mf",TRUE,Trigger)</f>
        <v>42160</v>
      </c>
      <c r="H34" s="270">
        <f>_xll.qlCalendarAdvance(Calendar,SettlementDate,F34,"mf",TRUE,Trigger)</f>
        <v>42495</v>
      </c>
      <c r="I34" s="288">
        <f>_xll.qlTenorBasisTenorForwardRate(TenorBasis12M,G34,AllTriggers)</f>
        <v>1.6814497329626097E-3</v>
      </c>
    </row>
    <row r="35" spans="5:9" ht="11.25" customHeight="1" thickBot="1" x14ac:dyDescent="0.25">
      <c r="F35" s="264" t="s">
        <v>50</v>
      </c>
      <c r="G35" s="303">
        <f>_xll.qlCalendarAdvance(Calendar,SettlementDate,0&amp;"M","mf",TRUE,Trigger)</f>
        <v>42160</v>
      </c>
      <c r="H35" s="294">
        <f>_xll.qlCalendarAdvance(Calendar,SettlementDate,F35,"mf",TRUE,Trigger)</f>
        <v>42527</v>
      </c>
      <c r="I35" s="291">
        <f>_xll.qlTenorBasisTenorForwardRate(TenorBasis12M,G35,AllTriggers)</f>
        <v>1.6814497329626097E-3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42158</v>
      </c>
      <c r="C3" s="74">
        <f>_xll.qlCalendarAdvance(Calendar,SettlementDate,A3&amp;"M","mf")</f>
        <v>42160</v>
      </c>
      <c r="D3" s="74">
        <f>_xll.qlInterestRateIndexMaturity(ON_12M_index,C3)</f>
        <v>42527</v>
      </c>
      <c r="E3" s="75">
        <f>_xll.qlIndexFixing(ON_12M_index,B3,,AllTriggers)</f>
        <v>-1.201578548745798E-3</v>
      </c>
      <c r="F3" s="76">
        <f>_xll.qlInterpolationInterpolate(BasisInterpolator,C3,TRUE,E3)</f>
        <v>2.9431831228639454E-3</v>
      </c>
      <c r="G3" s="75">
        <f t="shared" ref="G3:G27" si="0">E3+F3</f>
        <v>1.7416045741181474E-3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42187</v>
      </c>
      <c r="C4" s="78">
        <f>_xll.qlCalendarAdvance(Calendar,SettlementDate,A4&amp;"M","mf")</f>
        <v>42191</v>
      </c>
      <c r="D4" s="78">
        <f>_xll.qlInterestRateIndexMaturity(ON_12M_index,C4)</f>
        <v>42557</v>
      </c>
      <c r="E4" s="79">
        <f>_xll.qlIndexFixing(ON_12M_index,B4,,AllTriggers)</f>
        <v>-1.1884397701471649E-3</v>
      </c>
      <c r="F4" s="80">
        <f>_xll.qlInterpolationInterpolate(BasisInterpolator,C4,TRUE,E4)</f>
        <v>2.9684397701471646E-3</v>
      </c>
      <c r="G4" s="79">
        <f t="shared" si="0"/>
        <v>1.7799999999999997E-3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42219</v>
      </c>
      <c r="C5" s="78">
        <f>_xll.qlCalendarAdvance(Calendar,SettlementDate,A5&amp;"M","mf")</f>
        <v>42221</v>
      </c>
      <c r="D5" s="78">
        <f>_xll.qlInterestRateIndexMaturity(ON_12M_index,C5)</f>
        <v>42587</v>
      </c>
      <c r="E5" s="79">
        <f>_xll.qlIndexFixing(ON_12M_index,B5,,AllTriggers)</f>
        <v>-1.1632036595278028E-3</v>
      </c>
      <c r="F5" s="80">
        <f>_xll.qlInterpolationInterpolate(BasisInterpolator,C5,TRUE,E5)</f>
        <v>2.9932036595278029E-3</v>
      </c>
      <c r="G5" s="79">
        <f t="shared" si="0"/>
        <v>1.83E-3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42250</v>
      </c>
      <c r="C6" s="78">
        <f>_xll.qlCalendarAdvance(Calendar,SettlementDate,A6&amp;"M","mf")</f>
        <v>42254</v>
      </c>
      <c r="D6" s="78">
        <f>_xll.qlInterestRateIndexMaturity(ON_12M_index,C6)</f>
        <v>42620</v>
      </c>
      <c r="E6" s="79">
        <f>_xll.qlIndexFixing(ON_12M_index,B6,,AllTriggers)</f>
        <v>-1.1217151270293173E-3</v>
      </c>
      <c r="F6" s="80">
        <f>_xll.qlInterpolationInterpolate(BasisInterpolator,C6,TRUE,E6)</f>
        <v>3.001715127029317E-3</v>
      </c>
      <c r="G6" s="79">
        <f t="shared" si="0"/>
        <v>1.8799999999999997E-3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42278</v>
      </c>
      <c r="C7" s="78">
        <f>_xll.qlCalendarAdvance(Calendar,SettlementDate,A7&amp;"M","mf")</f>
        <v>42282</v>
      </c>
      <c r="D7" s="78">
        <f>_xll.qlInterestRateIndexMaturity(ON_12M_index,C7)</f>
        <v>42648</v>
      </c>
      <c r="E7" s="79">
        <f>_xll.qlIndexFixing(ON_12M_index,B7,,AllTriggers)</f>
        <v>-1.0835511730667973E-3</v>
      </c>
      <c r="F7" s="80">
        <f>_xll.qlInterpolationInterpolate(BasisInterpolator,C7,TRUE,E7)</f>
        <v>3.0135511730667976E-3</v>
      </c>
      <c r="G7" s="79">
        <f t="shared" si="0"/>
        <v>1.9300000000000003E-3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42311</v>
      </c>
      <c r="C8" s="78">
        <f>_xll.qlCalendarAdvance(Calendar,SettlementDate,A8&amp;"M","mf")</f>
        <v>42313</v>
      </c>
      <c r="D8" s="78">
        <f>_xll.qlInterestRateIndexMaturity(ON_12M_index,C8)</f>
        <v>42681</v>
      </c>
      <c r="E8" s="79">
        <f>_xll.qlIndexFixing(ON_12M_index,B8,,AllTriggers)</f>
        <v>-1.0353899855799198E-3</v>
      </c>
      <c r="F8" s="80">
        <f>_xll.qlInterpolationInterpolate(BasisInterpolator,C8,TRUE,E8)</f>
        <v>3.0253899855799196E-3</v>
      </c>
      <c r="G8" s="79">
        <f t="shared" si="0"/>
        <v>1.9899999999999996E-3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42341</v>
      </c>
      <c r="C9" s="78">
        <f>_xll.qlCalendarAdvance(Calendar,SettlementDate,A9&amp;"M","mf")</f>
        <v>42345</v>
      </c>
      <c r="D9" s="78">
        <f>_xll.qlInterestRateIndexMaturity(ON_12M_index,C9)</f>
        <v>42711</v>
      </c>
      <c r="E9" s="79">
        <f>_xll.qlIndexFixing(ON_12M_index,B9,,AllTriggers)</f>
        <v>-9.8590829280935767E-4</v>
      </c>
      <c r="F9" s="80">
        <f>_xll.qlInterpolationInterpolate(BasisInterpolator,C9,TRUE,E9)</f>
        <v>3.0359082928093574E-3</v>
      </c>
      <c r="G9" s="79">
        <f t="shared" si="0"/>
        <v>2.0499999999999997E-3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42369</v>
      </c>
      <c r="C10" s="78">
        <f>_xll.qlCalendarAdvance(Calendar,SettlementDate,A10&amp;"M","mf")</f>
        <v>42374</v>
      </c>
      <c r="D10" s="78">
        <f>_xll.qlInterestRateIndexMaturity(ON_12M_index,C10)</f>
        <v>42740</v>
      </c>
      <c r="E10" s="79">
        <f>_xll.qlIndexFixing(ON_12M_index,B10,,AllTriggers)</f>
        <v>-9.1955990461468429E-4</v>
      </c>
      <c r="F10" s="80">
        <f>_xll.qlInterpolationInterpolate(BasisInterpolator,C10,TRUE,E10)</f>
        <v>3.0595599046146847E-3</v>
      </c>
      <c r="G10" s="79">
        <f t="shared" si="0"/>
        <v>2.1400000000000004E-3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42403</v>
      </c>
      <c r="C11" s="78">
        <f>_xll.qlCalendarAdvance(Calendar,SettlementDate,A11&amp;"M","mf")</f>
        <v>42405</v>
      </c>
      <c r="D11" s="78">
        <f>_xll.qlInterestRateIndexMaturity(ON_12M_index,C11)</f>
        <v>42772</v>
      </c>
      <c r="E11" s="79">
        <f>_xll.qlIndexFixing(ON_12M_index,B11,,AllTriggers)</f>
        <v>-8.5368361973573879E-4</v>
      </c>
      <c r="F11" s="80">
        <f>_xll.qlInterpolationInterpolate(BasisInterpolator,C11,TRUE,E11)</f>
        <v>3.1036836197357392E-3</v>
      </c>
      <c r="G11" s="79">
        <f t="shared" si="0"/>
        <v>2.2500000000000003E-3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42432</v>
      </c>
      <c r="C12" s="78">
        <f>_xll.qlCalendarAdvance(Calendar,SettlementDate,A12&amp;"M","mf")</f>
        <v>42436</v>
      </c>
      <c r="D12" s="78">
        <f>_xll.qlInterestRateIndexMaturity(ON_12M_index,C12)</f>
        <v>42801</v>
      </c>
      <c r="E12" s="79">
        <f>_xll.qlIndexFixing(ON_12M_index,B12,,AllTriggers)</f>
        <v>-7.8902116148222732E-4</v>
      </c>
      <c r="F12" s="80">
        <f>_xll.qlInterpolationInterpolate(BasisInterpolator,C12,TRUE,E12)</f>
        <v>3.149021161482227E-3</v>
      </c>
      <c r="G12" s="79">
        <f t="shared" si="0"/>
        <v>2.3599999999999997E-3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42461</v>
      </c>
      <c r="C13" s="78">
        <f>_xll.qlCalendarAdvance(Calendar,SettlementDate,A13&amp;"M","mf")</f>
        <v>42465</v>
      </c>
      <c r="D13" s="78">
        <f>_xll.qlInterestRateIndexMaturity(ON_12M_index,C13)</f>
        <v>42830</v>
      </c>
      <c r="E13" s="79">
        <f>_xll.qlIndexFixing(ON_12M_index,B13,,AllTriggers)</f>
        <v>-7.0816670071369961E-4</v>
      </c>
      <c r="F13" s="80">
        <f>_xll.qlInterpolationInterpolate(BasisInterpolator,C13,TRUE,E13)</f>
        <v>3.1881667007136998E-3</v>
      </c>
      <c r="G13" s="79">
        <f t="shared" si="0"/>
        <v>2.4800000000000004E-3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42493</v>
      </c>
      <c r="C14" s="82">
        <f>_xll.qlCalendarAdvance(Calendar,SettlementDate,A14&amp;"M","mf")</f>
        <v>42495</v>
      </c>
      <c r="D14" s="82">
        <f>_xll.qlInterestRateIndexMaturity(ON_12M_index,C14)</f>
        <v>42860</v>
      </c>
      <c r="E14" s="83">
        <f>_xll.qlIndexFixing(ON_12M_index,B14,,AllTriggers)</f>
        <v>-6.1290213869100662E-4</v>
      </c>
      <c r="F14" s="84">
        <f>_xll.qlInterpolationInterpolate(BasisInterpolator,C14,TRUE,E14)</f>
        <v>3.2429021386910064E-3</v>
      </c>
      <c r="G14" s="83">
        <f t="shared" si="0"/>
        <v>2.6299999999999995E-3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42523</v>
      </c>
      <c r="C15" s="74">
        <f>_xll.qlCalendarAdvance(Calendar,SettlementDate,A15&amp;"M","mf")</f>
        <v>42527</v>
      </c>
      <c r="D15" s="74">
        <f>_xll.qlInterestRateIndexMaturity(ON_12M_index,C15)</f>
        <v>42892</v>
      </c>
      <c r="E15" s="75">
        <f>_xll.qlIndexFixing(ON_12M_index,B15,,AllTriggers)</f>
        <v>-4.9331305854211918E-4</v>
      </c>
      <c r="F15" s="76">
        <f>_xll.qlInterpolationInterpolate(BasisInterpolator,C15,TRUE,E15)</f>
        <v>3.2733130585421194E-3</v>
      </c>
      <c r="G15" s="75">
        <f t="shared" si="0"/>
        <v>2.7800000000000004E-3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42552</v>
      </c>
      <c r="C16" s="78">
        <f>_xll.qlCalendarAdvance(Calendar,SettlementDate,A16&amp;"M","mf")</f>
        <v>42556</v>
      </c>
      <c r="D16" s="78">
        <f>_xll.qlInterestRateIndexMaturity(ON_12M_index,C16)</f>
        <v>42921</v>
      </c>
      <c r="E16" s="79">
        <f>_xll.qlIndexFixing(ON_12M_index,B16,,AllTriggers)</f>
        <v>-3.7704931098093199E-4</v>
      </c>
      <c r="F16" s="80">
        <f>_xll.qlInterpolationInterpolate(BasisInterpolator,C16,TRUE,E16)</f>
        <v>3.2924654825945859E-3</v>
      </c>
      <c r="G16" s="79">
        <f t="shared" si="0"/>
        <v>2.9154161716136539E-3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42585</v>
      </c>
      <c r="C17" s="78">
        <f>_xll.qlCalendarAdvance(Calendar,SettlementDate,A17&amp;"M","mf")</f>
        <v>42587</v>
      </c>
      <c r="D17" s="78">
        <f>_xll.qlInterestRateIndexMaturity(ON_12M_index,C17)</f>
        <v>42954</v>
      </c>
      <c r="E17" s="79">
        <f>_xll.qlIndexFixing(ON_12M_index,B17,,AllTriggers)</f>
        <v>-2.3986266715202213E-4</v>
      </c>
      <c r="F17" s="80">
        <f>_xll.qlInterpolationInterpolate(BasisInterpolator,C17,TRUE,E17)</f>
        <v>3.312530327486833E-3</v>
      </c>
      <c r="G17" s="79">
        <f t="shared" si="0"/>
        <v>3.072667660334811E-3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42614</v>
      </c>
      <c r="C18" s="78">
        <f>_xll.qlCalendarAdvance(Calendar,SettlementDate,A18&amp;"M","mf")</f>
        <v>42618</v>
      </c>
      <c r="D18" s="78">
        <f>_xll.qlInterestRateIndexMaturity(ON_12M_index,C18)</f>
        <v>42983</v>
      </c>
      <c r="E18" s="79">
        <f>_xll.qlIndexFixing(ON_12M_index,B18,,AllTriggers)</f>
        <v>-1.0315508320850111E-4</v>
      </c>
      <c r="F18" s="80">
        <f>_xll.qlInterpolationInterpolate(BasisInterpolator,C18,TRUE,E18)</f>
        <v>3.332211413577168E-3</v>
      </c>
      <c r="G18" s="79">
        <f t="shared" si="0"/>
        <v>3.229056330368667E-3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42646</v>
      </c>
      <c r="C19" s="78">
        <f>_xll.qlCalendarAdvance(Calendar,SettlementDate,A19&amp;"M","mf")</f>
        <v>42648</v>
      </c>
      <c r="D19" s="78">
        <f>_xll.qlInterestRateIndexMaturity(ON_12M_index,C19)</f>
        <v>43013</v>
      </c>
      <c r="E19" s="79">
        <f>_xll.qlIndexFixing(ON_12M_index,B19,,AllTriggers)</f>
        <v>4.5685514266988993E-5</v>
      </c>
      <c r="F19" s="80">
        <f>_xll.qlInterpolationInterpolate(BasisInterpolator,C19,TRUE,E19)</f>
        <v>3.3509290958951385E-3</v>
      </c>
      <c r="G19" s="79">
        <f t="shared" si="0"/>
        <v>3.3966146101621275E-3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42677</v>
      </c>
      <c r="C20" s="78">
        <f>_xll.qlCalendarAdvance(Calendar,SettlementDate,A20&amp;"M","mf")</f>
        <v>42681</v>
      </c>
      <c r="D20" s="78">
        <f>_xll.qlInterestRateIndexMaturity(ON_12M_index,C20)</f>
        <v>43046</v>
      </c>
      <c r="E20" s="79">
        <f>_xll.qlIndexFixing(ON_12M_index,B20,,AllTriggers)</f>
        <v>2.2551194524019603E-4</v>
      </c>
      <c r="F20" s="80">
        <f>_xll.qlInterpolationInterpolate(BasisInterpolator,C20,TRUE,E20)</f>
        <v>3.3711880998827646E-3</v>
      </c>
      <c r="G20" s="79">
        <f t="shared" si="0"/>
        <v>3.5967000451229605E-3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42705</v>
      </c>
      <c r="C21" s="78">
        <f>_xll.qlCalendarAdvance(Calendar,SettlementDate,A21&amp;"M","mf")</f>
        <v>42709</v>
      </c>
      <c r="D21" s="78">
        <f>_xll.qlInterestRateIndexMaturity(ON_12M_index,C21)</f>
        <v>43074</v>
      </c>
      <c r="E21" s="79">
        <f>_xll.qlIndexFixing(ON_12M_index,B21,,AllTriggers)</f>
        <v>3.9391805587752862E-4</v>
      </c>
      <c r="F21" s="80">
        <f>_xll.qlInterpolationInterpolate(BasisInterpolator,C21,TRUE,E21)</f>
        <v>3.3881401080600657E-3</v>
      </c>
      <c r="G21" s="79">
        <f t="shared" si="0"/>
        <v>3.7820581639375944E-3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42738</v>
      </c>
      <c r="C22" s="78">
        <f>_xll.qlCalendarAdvance(Calendar,SettlementDate,A22&amp;"M","mf")</f>
        <v>42740</v>
      </c>
      <c r="D22" s="78">
        <f>_xll.qlInterestRateIndexMaturity(ON_12M_index,C22)</f>
        <v>43105</v>
      </c>
      <c r="E22" s="79">
        <f>_xll.qlIndexFixing(ON_12M_index,B22,,AllTriggers)</f>
        <v>5.6437606049824227E-4</v>
      </c>
      <c r="F22" s="80">
        <f>_xll.qlInterpolationInterpolate(BasisInterpolator,C22,TRUE,E22)</f>
        <v>3.4066909707264749E-3</v>
      </c>
      <c r="G22" s="79">
        <f t="shared" si="0"/>
        <v>3.9710670312247173E-3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42768</v>
      </c>
      <c r="C23" s="78">
        <f>_xll.qlCalendarAdvance(Calendar,SettlementDate,A23&amp;"M","mf")</f>
        <v>42772</v>
      </c>
      <c r="D23" s="78">
        <f>_xll.qlInterestRateIndexMaturity(ON_12M_index,C23)</f>
        <v>43137</v>
      </c>
      <c r="E23" s="79">
        <f>_xll.qlIndexFixing(ON_12M_index,B23,,AllTriggers)</f>
        <v>7.9239095104370095E-4</v>
      </c>
      <c r="F23" s="80">
        <f>_xll.qlInterpolationInterpolate(BasisInterpolator,C23,TRUE,E23)</f>
        <v>3.4256407500675525E-3</v>
      </c>
      <c r="G23" s="79">
        <f t="shared" si="0"/>
        <v>4.2180317011112538E-3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42796</v>
      </c>
      <c r="C24" s="78">
        <f>_xll.qlCalendarAdvance(Calendar,SettlementDate,A24&amp;"M","mf")</f>
        <v>42800</v>
      </c>
      <c r="D24" s="78">
        <f>_xll.qlInterestRateIndexMaturity(ON_12M_index,C24)</f>
        <v>43165</v>
      </c>
      <c r="E24" s="79">
        <f>_xll.qlIndexFixing(ON_12M_index,B24,,AllTriggers)</f>
        <v>1.0014910471708635E-3</v>
      </c>
      <c r="F24" s="80">
        <f>_xll.qlInterpolationInterpolate(BasisInterpolator,C24,TRUE,E24)</f>
        <v>3.44208902884153E-3</v>
      </c>
      <c r="G24" s="79">
        <f t="shared" si="0"/>
        <v>4.4435800760123934E-3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42828</v>
      </c>
      <c r="C25" s="78">
        <f>_xll.qlCalendarAdvance(Calendar,SettlementDate,A25&amp;"M","mf")</f>
        <v>42830</v>
      </c>
      <c r="D25" s="78">
        <f>_xll.qlInterestRateIndexMaturity(ON_12M_index,C25)</f>
        <v>43195</v>
      </c>
      <c r="E25" s="79">
        <f>_xll.qlIndexFixing(ON_12M_index,B25,,AllTriggers)</f>
        <v>1.2324956161628288E-3</v>
      </c>
      <c r="F25" s="80">
        <f>_xll.qlInterpolationInterpolate(BasisInterpolator,C25,TRUE,E25)</f>
        <v>3.4596089492655046E-3</v>
      </c>
      <c r="G25" s="79">
        <f t="shared" si="0"/>
        <v>4.6921045654283334E-3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42858</v>
      </c>
      <c r="C26" s="82">
        <f>_xll.qlCalendarAdvance(Calendar,SettlementDate,A26&amp;"M","mf")</f>
        <v>42860</v>
      </c>
      <c r="D26" s="82">
        <f>_xll.qlInterestRateIndexMaturity(ON_12M_index,C26)</f>
        <v>43227</v>
      </c>
      <c r="E26" s="83">
        <f>_xll.qlIndexFixing(ON_12M_index,B26,,AllTriggers)</f>
        <v>1.4822007169898116E-3</v>
      </c>
      <c r="F26" s="84">
        <f>_xll.qlInterpolationInterpolate(BasisInterpolator,C26,TRUE,E26)</f>
        <v>3.4770567533419757E-3</v>
      </c>
      <c r="G26" s="83">
        <f t="shared" si="0"/>
        <v>4.9592574703317873E-3</v>
      </c>
      <c r="H26" s="72"/>
      <c r="Z26" s="71"/>
      <c r="AA26" s="71"/>
      <c r="AB26" s="72"/>
    </row>
    <row r="27" spans="1:28" x14ac:dyDescent="0.2">
      <c r="A27" s="339">
        <v>24</v>
      </c>
      <c r="B27" s="340">
        <f>_xll.qlInterestRateIndexFixingDate(ON_12M_index,C27)</f>
        <v>42887</v>
      </c>
      <c r="C27" s="340">
        <f>_xll.qlCalendarAdvance(Calendar,SettlementDate,A27&amp;"M","mf")</f>
        <v>42891</v>
      </c>
      <c r="D27" s="340">
        <f>_xll.qlInterestRateIndexMaturity(ON_12M_index,C27)</f>
        <v>43256</v>
      </c>
      <c r="E27" s="341">
        <f>_xll.qlIndexFixing(ON_12M_index,B27,,AllTriggers)</f>
        <v>1.7349519372277229E-3</v>
      </c>
      <c r="F27" s="342">
        <f>_xll.qlInterpolationInterpolate(BasisInterpolator,C27,TRUE,E27)</f>
        <v>3.4950480627722776E-3</v>
      </c>
      <c r="G27" s="341">
        <f t="shared" si="0"/>
        <v>5.2300000000000003E-3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tabSelected="1" workbookViewId="0">
      <selection activeCell="G2" sqref="G2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6" width="4.33203125" style="167" customWidth="1"/>
    <col min="7" max="7" width="7.83203125" style="167" customWidth="1"/>
    <col min="8" max="8" width="10.5" style="167" bestFit="1" customWidth="1"/>
    <col min="9" max="9" width="3.1640625" style="167" customWidth="1"/>
    <col min="10" max="10" width="10.5" style="167" bestFit="1" customWidth="1"/>
    <col min="11" max="11" width="3.1640625" style="167" customWidth="1"/>
    <col min="12" max="12" width="11.6640625" style="167" bestFit="1" customWidth="1"/>
    <col min="13" max="13" width="10.5" style="167" bestFit="1" customWidth="1"/>
    <col min="14" max="14" width="5.83203125" style="167" customWidth="1"/>
    <col min="15" max="16384" width="9.33203125" style="166"/>
  </cols>
  <sheetData>
    <row r="1" spans="1:14" x14ac:dyDescent="0.2">
      <c r="A1" s="100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101"/>
    </row>
    <row r="2" spans="1:14" ht="12" x14ac:dyDescent="0.25">
      <c r="A2" s="85"/>
      <c r="B2" s="86"/>
      <c r="C2" s="87" t="str">
        <f>Currency&amp;"_015_SyntheticQuotes"&amp;".xml"</f>
        <v>EUR_015_SyntheticQuotes.xml</v>
      </c>
      <c r="D2" s="88" t="str">
        <f>IF(Serialize,_xll.ohObjectSave(D3:D63,SerializationPath&amp;C2,FileOverwrite,Serialize),"---")</f>
        <v>---</v>
      </c>
      <c r="E2" s="88" t="s">
        <v>89</v>
      </c>
      <c r="F2" s="14"/>
      <c r="G2" s="96"/>
      <c r="H2" s="97" t="s">
        <v>51</v>
      </c>
      <c r="I2" s="14"/>
      <c r="J2" s="98" t="s">
        <v>52</v>
      </c>
      <c r="K2" s="14"/>
      <c r="L2" s="96" t="s">
        <v>53</v>
      </c>
      <c r="M2" s="99" t="s">
        <v>54</v>
      </c>
      <c r="N2" s="102">
        <f>_xll.ohTrigger(M3:M7)</f>
        <v>49</v>
      </c>
    </row>
    <row r="3" spans="1:14" x14ac:dyDescent="0.2">
      <c r="A3" s="103">
        <v>1</v>
      </c>
      <c r="B3" s="157" t="s">
        <v>55</v>
      </c>
      <c r="C3" s="158" t="str">
        <f t="shared" ref="C3" si="0">Currency&amp;$B3&amp;"_SYNTH"&amp;Tenor1M&amp;QuoteSuffix</f>
        <v>EURSND_SYNTH1M_Quote</v>
      </c>
      <c r="D3" s="158" t="str">
        <f>_xll.qlSimpleQuote(C3,,RateTickValue,Permanent,EvaluationDate,ObjectOverwrite)</f>
        <v>EURSND_SYNTH1M_Quote#0000</v>
      </c>
      <c r="E3" s="163" t="str">
        <f>_xll.ohRangeRetrieveError(D3)</f>
        <v/>
      </c>
      <c r="F3" s="14"/>
      <c r="G3" s="138" t="s">
        <v>55</v>
      </c>
      <c r="H3" s="139">
        <f>'1MSynthDepo'!V11</f>
        <v>-5.8082196471076486E-4</v>
      </c>
      <c r="I3" s="15" t="s">
        <v>56</v>
      </c>
      <c r="J3" s="132">
        <v>-5.3379496031347173E-4</v>
      </c>
      <c r="K3" s="14"/>
      <c r="L3" s="120">
        <f t="array" ref="L3:L63">QuoteLive</f>
        <v>-5.8082196471076486E-4</v>
      </c>
      <c r="M3" s="121">
        <f>_xll.qlSimpleQuoteSetValue(D3,ROUND($L3,6),EvaluationDate)</f>
        <v>0</v>
      </c>
      <c r="N3" s="104"/>
    </row>
    <row r="4" spans="1:14" x14ac:dyDescent="0.2">
      <c r="A4" s="105" t="str">
        <f>_xll.qlPeriodEquivalent(Months1M&amp;"M")</f>
        <v>1M</v>
      </c>
      <c r="B4" s="159" t="s">
        <v>57</v>
      </c>
      <c r="C4" s="160" t="str">
        <f t="shared" ref="C4:C7" si="1">Currency&amp;$B4&amp;"_SYNTH"&amp;Tenor1M&amp;QuoteSuffix</f>
        <v>EURSWD_SYNTH1M_Quote</v>
      </c>
      <c r="D4" s="160" t="str">
        <f>_xll.qlSimpleQuote(C4,,RateTickValue,Permanent,EvaluationDate,ObjectOverwrite)</f>
        <v>EURSWD_SYNTH1M_Quote#0000</v>
      </c>
      <c r="E4" s="164" t="str">
        <f>_xll.ohRangeRetrieveError(D4)</f>
        <v/>
      </c>
      <c r="F4" s="14"/>
      <c r="G4" s="138" t="s">
        <v>57</v>
      </c>
      <c r="H4" s="139">
        <f>'1MSynthDepo'!V12</f>
        <v>-5.9187099444381525E-4</v>
      </c>
      <c r="I4" s="15" t="s">
        <v>56</v>
      </c>
      <c r="J4" s="132">
        <v>-3.9059723107914834E-4</v>
      </c>
      <c r="K4" s="14"/>
      <c r="L4" s="120">
        <v>-5.9187099444381525E-4</v>
      </c>
      <c r="M4" s="121">
        <f>_xll.qlSimpleQuoteSetValue(D4,ROUND($L4,6),EvaluationDate)</f>
        <v>0</v>
      </c>
      <c r="N4" s="104"/>
    </row>
    <row r="5" spans="1:14" x14ac:dyDescent="0.2">
      <c r="A5" s="106"/>
      <c r="B5" s="159" t="s">
        <v>58</v>
      </c>
      <c r="C5" s="160" t="str">
        <f t="shared" si="1"/>
        <v>EUR2WD_SYNTH1M_Quote</v>
      </c>
      <c r="D5" s="160" t="str">
        <f>_xll.qlSimpleQuote(C5,,RateTickValue,Permanent,EvaluationDate,ObjectOverwrite)</f>
        <v>EUR2WD_SYNTH1M_Quote#0000</v>
      </c>
      <c r="E5" s="164" t="str">
        <f>_xll.ohRangeRetrieveError(D5)</f>
        <v/>
      </c>
      <c r="F5" s="14"/>
      <c r="G5" s="138" t="s">
        <v>58</v>
      </c>
      <c r="H5" s="139">
        <f>'1MSynthDepo'!V13</f>
        <v>-5.7876069573716189E-4</v>
      </c>
      <c r="I5" s="15" t="s">
        <v>56</v>
      </c>
      <c r="J5" s="132">
        <v>-2.022527404326497E-4</v>
      </c>
      <c r="K5" s="14"/>
      <c r="L5" s="120">
        <v>-5.7876069573716189E-4</v>
      </c>
      <c r="M5" s="121">
        <f>_xll.qlSimpleQuoteSetValue(D5,ROUND($L5,6),EvaluationDate)</f>
        <v>0</v>
      </c>
      <c r="N5" s="104"/>
    </row>
    <row r="6" spans="1:14" x14ac:dyDescent="0.2">
      <c r="A6" s="106"/>
      <c r="B6" s="159" t="s">
        <v>59</v>
      </c>
      <c r="C6" s="160" t="str">
        <f t="shared" si="1"/>
        <v>EUR3WD_SYNTH1M_Quote</v>
      </c>
      <c r="D6" s="160" t="str">
        <f>_xll.qlSimpleQuote(C6,,RateTickValue,Permanent,EvaluationDate,ObjectOverwrite)</f>
        <v>EUR3WD_SYNTH1M_Quote#0000</v>
      </c>
      <c r="E6" s="164" t="str">
        <f>_xll.ohRangeRetrieveError(D6)</f>
        <v/>
      </c>
      <c r="F6" s="14"/>
      <c r="G6" s="140" t="s">
        <v>59</v>
      </c>
      <c r="H6" s="139">
        <f>'1MSynthDepo'!V14</f>
        <v>-5.9272830149202454E-4</v>
      </c>
      <c r="I6" s="15" t="s">
        <v>56</v>
      </c>
      <c r="J6" s="133">
        <v>-2.8647777488328377E-4</v>
      </c>
      <c r="K6" s="14"/>
      <c r="L6" s="122">
        <v>-5.9272830149202454E-4</v>
      </c>
      <c r="M6" s="123">
        <f>_xll.qlSimpleQuoteSetValue(D6,ROUND($L6,6),EvaluationDate)</f>
        <v>0</v>
      </c>
      <c r="N6" s="104"/>
    </row>
    <row r="7" spans="1:14" x14ac:dyDescent="0.2">
      <c r="A7" s="106"/>
      <c r="B7" s="161" t="s">
        <v>60</v>
      </c>
      <c r="C7" s="162" t="str">
        <f t="shared" si="1"/>
        <v>EUR1MD_SYNTH1M_Quote</v>
      </c>
      <c r="D7" s="162" t="str">
        <f>_xll.qlSimpleQuote(C7,,RateTickValue,Permanent,EvaluationDate,ObjectOverwrite)</f>
        <v>EUR1MD_SYNTH1M_Quote#0000</v>
      </c>
      <c r="E7" s="165" t="str">
        <f>_xll.ohRangeRetrieveError(D7)</f>
        <v/>
      </c>
      <c r="F7" s="14"/>
      <c r="G7" s="141" t="s">
        <v>60</v>
      </c>
      <c r="H7" s="142">
        <f>'1MSynthDepo'!V15</f>
        <v>-6.1743165474681752E-4</v>
      </c>
      <c r="I7" s="15" t="s">
        <v>56</v>
      </c>
      <c r="J7" s="134">
        <v>-3.3999999999956287E-4</v>
      </c>
      <c r="K7" s="14"/>
      <c r="L7" s="124">
        <v>-6.1743165474681752E-4</v>
      </c>
      <c r="M7" s="125">
        <f>_xll.qlSimpleQuoteSetValue(D7,ROUND($L7,6),EvaluationDate)</f>
        <v>0</v>
      </c>
      <c r="N7" s="107"/>
    </row>
    <row r="8" spans="1:14" x14ac:dyDescent="0.2">
      <c r="A8" s="89">
        <v>3</v>
      </c>
      <c r="B8" s="157" t="s">
        <v>55</v>
      </c>
      <c r="C8" s="158" t="str">
        <f t="shared" ref="C8:C14" si="2">Currency&amp;$B8&amp;"_SYNTH"&amp;Tenor3M&amp;QuoteSuffix</f>
        <v>EURSND_SYNTH3M_Quote</v>
      </c>
      <c r="D8" s="158" t="str">
        <f>_xll.qlSimpleQuote(C8,,RateTickValue,Permanent,EvaluationDate,ObjectOverwrite)</f>
        <v>EURSND_SYNTH3M_Quote#0000</v>
      </c>
      <c r="E8" s="163"/>
      <c r="F8" s="16"/>
      <c r="G8" s="143" t="s">
        <v>55</v>
      </c>
      <c r="H8" s="144">
        <f>'3MSynthDepo'!I25</f>
        <v>-1.3505198438235055E-4</v>
      </c>
      <c r="I8" s="17"/>
      <c r="J8" s="132">
        <v>-6.5904013166750985E-5</v>
      </c>
      <c r="K8" s="16"/>
      <c r="L8" s="120">
        <v>-1.3505198438235055E-4</v>
      </c>
      <c r="M8" s="121">
        <f>_xll.qlSimpleQuoteSetValue(D8,ROUND($L8,6),EvaluationDate)</f>
        <v>0</v>
      </c>
      <c r="N8" s="108">
        <f>_xll.ohTrigger(M8:M14)</f>
        <v>48</v>
      </c>
    </row>
    <row r="9" spans="1:14" x14ac:dyDescent="0.2">
      <c r="A9" s="105" t="str">
        <f>_xll.qlPeriodEquivalent(Months3M&amp;"M")</f>
        <v>3M</v>
      </c>
      <c r="B9" s="159" t="s">
        <v>57</v>
      </c>
      <c r="C9" s="160" t="str">
        <f t="shared" si="2"/>
        <v>EURSWD_SYNTH3M_Quote</v>
      </c>
      <c r="D9" s="160" t="str">
        <f>_xll.qlSimpleQuote(C9,,RateTickValue,Permanent,EvaluationDate,ObjectOverwrite)</f>
        <v>EURSWD_SYNTH3M_Quote#0000</v>
      </c>
      <c r="E9" s="164"/>
      <c r="F9" s="16"/>
      <c r="G9" s="145" t="s">
        <v>57</v>
      </c>
      <c r="H9" s="139">
        <f>'3MSynthDepo'!I26</f>
        <v>-1.307744631156333E-4</v>
      </c>
      <c r="I9" s="17"/>
      <c r="J9" s="132">
        <v>6.7527620855045711E-5</v>
      </c>
      <c r="K9" s="16"/>
      <c r="L9" s="120">
        <v>-1.307744631156333E-4</v>
      </c>
      <c r="M9" s="121">
        <f>_xll.qlSimpleQuoteSetValue(D9,ROUND($L9,6),EvaluationDate)</f>
        <v>0</v>
      </c>
      <c r="N9" s="104"/>
    </row>
    <row r="10" spans="1:14" x14ac:dyDescent="0.2">
      <c r="A10" s="109"/>
      <c r="B10" s="159" t="s">
        <v>58</v>
      </c>
      <c r="C10" s="160" t="str">
        <f t="shared" si="2"/>
        <v>EUR2WD_SYNTH3M_Quote</v>
      </c>
      <c r="D10" s="160" t="str">
        <f>_xll.qlSimpleQuote(C10,,RateTickValue,Permanent,EvaluationDate,ObjectOverwrite)</f>
        <v>EUR2WD_SYNTH3M_Quote#0000</v>
      </c>
      <c r="E10" s="164"/>
      <c r="F10" s="16"/>
      <c r="G10" s="145" t="s">
        <v>58</v>
      </c>
      <c r="H10" s="139">
        <f>'3MSynthDepo'!I27</f>
        <v>-9.3422520025690913E-5</v>
      </c>
      <c r="I10" s="17"/>
      <c r="J10" s="132">
        <v>2.4652230037336409E-4</v>
      </c>
      <c r="K10" s="16"/>
      <c r="L10" s="120">
        <v>-9.3422520025690913E-5</v>
      </c>
      <c r="M10" s="121">
        <f>_xll.qlSimpleQuoteSetValue(D10,ROUND($L10,6),EvaluationDate)</f>
        <v>0</v>
      </c>
      <c r="N10" s="104"/>
    </row>
    <row r="11" spans="1:14" x14ac:dyDescent="0.2">
      <c r="A11" s="109"/>
      <c r="B11" s="159" t="s">
        <v>59</v>
      </c>
      <c r="C11" s="160" t="str">
        <f t="shared" si="2"/>
        <v>EUR3WD_SYNTH3M_Quote</v>
      </c>
      <c r="D11" s="160" t="str">
        <f>_xll.qlSimpleQuote(C11,,RateTickValue,Permanent,EvaluationDate,ObjectOverwrite)</f>
        <v>EUR3WD_SYNTH3M_Quote#0000</v>
      </c>
      <c r="E11" s="164"/>
      <c r="F11" s="16"/>
      <c r="G11" s="146" t="s">
        <v>59</v>
      </c>
      <c r="H11" s="147">
        <f>'3MSynthDepo'!I28</f>
        <v>-8.622357393596656E-5</v>
      </c>
      <c r="I11" s="17"/>
      <c r="J11" s="133">
        <v>1.5514146245010352E-4</v>
      </c>
      <c r="K11" s="16"/>
      <c r="L11" s="122">
        <v>-8.622357393596656E-5</v>
      </c>
      <c r="M11" s="123">
        <f>_xll.qlSimpleQuoteSetValue(D11,ROUND($L11,6),EvaluationDate)</f>
        <v>0</v>
      </c>
      <c r="N11" s="104"/>
    </row>
    <row r="12" spans="1:14" x14ac:dyDescent="0.2">
      <c r="A12" s="109"/>
      <c r="B12" s="159" t="s">
        <v>60</v>
      </c>
      <c r="C12" s="160" t="str">
        <f t="shared" si="2"/>
        <v>EUR1MD_SYNTH3M_Quote</v>
      </c>
      <c r="D12" s="160" t="str">
        <f>_xll.qlSimpleQuote(C12,,RateTickValue,Permanent,EvaluationDate,ObjectOverwrite)</f>
        <v>EUR1MD_SYNTH3M_Quote#0000</v>
      </c>
      <c r="E12" s="164"/>
      <c r="F12" s="16"/>
      <c r="G12" s="145" t="s">
        <v>60</v>
      </c>
      <c r="H12" s="139">
        <f>'3MSynthDepo'!I29</f>
        <v>-8.5539265429578025E-5</v>
      </c>
      <c r="I12" s="17"/>
      <c r="J12" s="132">
        <v>9.5648429845773819E-5</v>
      </c>
      <c r="K12" s="16"/>
      <c r="L12" s="120">
        <v>-8.5539265429578025E-5</v>
      </c>
      <c r="M12" s="121">
        <f>_xll.qlSimpleQuoteSetValue(D12,ROUND($L12,6),EvaluationDate)</f>
        <v>0</v>
      </c>
      <c r="N12" s="104"/>
    </row>
    <row r="13" spans="1:14" x14ac:dyDescent="0.2">
      <c r="A13" s="109"/>
      <c r="B13" s="159" t="s">
        <v>61</v>
      </c>
      <c r="C13" s="160" t="str">
        <f t="shared" si="2"/>
        <v>EUR2MD_SYNTH3M_Quote</v>
      </c>
      <c r="D13" s="160" t="str">
        <f>_xll.qlSimpleQuote(C13,,RateTickValue,Permanent,EvaluationDate,ObjectOverwrite)</f>
        <v>EUR2MD_SYNTH3M_Quote#0000</v>
      </c>
      <c r="E13" s="164"/>
      <c r="F13" s="16"/>
      <c r="G13" s="145" t="s">
        <v>61</v>
      </c>
      <c r="H13" s="139">
        <f>'3MSynthDepo'!I30</f>
        <v>-8.6490719934248007E-5</v>
      </c>
      <c r="I13" s="17"/>
      <c r="J13" s="132">
        <v>5.4506305091701146E-5</v>
      </c>
      <c r="K13" s="16"/>
      <c r="L13" s="120">
        <v>-8.6490719934248007E-5</v>
      </c>
      <c r="M13" s="121">
        <f>_xll.qlSimpleQuoteSetValue(D13,ROUND($L13,6),EvaluationDate)</f>
        <v>0</v>
      </c>
      <c r="N13" s="104"/>
    </row>
    <row r="14" spans="1:14" x14ac:dyDescent="0.2">
      <c r="A14" s="94"/>
      <c r="B14" s="161" t="s">
        <v>62</v>
      </c>
      <c r="C14" s="162" t="str">
        <f t="shared" si="2"/>
        <v>EUR3MD_SYNTH3M_Quote</v>
      </c>
      <c r="D14" s="162" t="str">
        <f>_xll.qlSimpleQuote(C14,,RateTickValue,Permanent,EvaluationDate,ObjectOverwrite)</f>
        <v>EUR3MD_SYNTH3M_Quote#0000</v>
      </c>
      <c r="E14" s="165"/>
      <c r="F14" s="16"/>
      <c r="G14" s="146" t="s">
        <v>62</v>
      </c>
      <c r="H14" s="147">
        <f>'3MSynthDepo'!I31</f>
        <v>-9.2702532836066103E-5</v>
      </c>
      <c r="I14" s="17"/>
      <c r="J14" s="133">
        <v>2.1169088631484696E-5</v>
      </c>
      <c r="K14" s="16"/>
      <c r="L14" s="122">
        <v>-9.2702532836066103E-5</v>
      </c>
      <c r="M14" s="123">
        <f>_xll.qlSimpleQuoteSetValue(D14,ROUND($L14,6),EvaluationDate)</f>
        <v>0</v>
      </c>
      <c r="N14" s="104"/>
    </row>
    <row r="15" spans="1:14" x14ac:dyDescent="0.2">
      <c r="A15" s="103">
        <v>6</v>
      </c>
      <c r="B15" s="157" t="s">
        <v>55</v>
      </c>
      <c r="C15" s="158" t="str">
        <f t="shared" ref="C15:C24" si="3">Currency&amp;$B15&amp;"_SYNTH"&amp;Tenor6M&amp;QuoteSuffix</f>
        <v>EURSND_SYNTH6M_Quote</v>
      </c>
      <c r="D15" s="158" t="str">
        <f>_xll.qlSimpleQuote(C15,,RateTickValue,Permanent,EvaluationDate,ObjectOverwrite)</f>
        <v>EURSND_SYNTH6M_Quote#0000</v>
      </c>
      <c r="E15" s="163" t="str">
        <f>_xll.ohRangeRetrieveError(D15)</f>
        <v/>
      </c>
      <c r="F15" s="16"/>
      <c r="G15" s="143" t="s">
        <v>55</v>
      </c>
      <c r="H15" s="144">
        <f>'6MSynthDepo'!I25</f>
        <v>3.2750721412178052E-4</v>
      </c>
      <c r="I15" s="17"/>
      <c r="J15" s="132">
        <v>9.1273369742239652E-4</v>
      </c>
      <c r="K15" s="16"/>
      <c r="L15" s="120">
        <v>3.2750721412178052E-4</v>
      </c>
      <c r="M15" s="121">
        <f>_xll.qlSimpleQuoteSetValue(D15,ROUND($L15,6),EvaluationDate)</f>
        <v>0</v>
      </c>
      <c r="N15" s="110">
        <f>_xll.ohTrigger(M15:M24)</f>
        <v>48</v>
      </c>
    </row>
    <row r="16" spans="1:14" x14ac:dyDescent="0.2">
      <c r="A16" s="105" t="str">
        <f>_xll.qlPeriodEquivalent(Months6M&amp;"M")</f>
        <v>6M</v>
      </c>
      <c r="B16" s="159" t="s">
        <v>57</v>
      </c>
      <c r="C16" s="160" t="str">
        <f t="shared" si="3"/>
        <v>EURSWD_SYNTH6M_Quote</v>
      </c>
      <c r="D16" s="160" t="str">
        <f>_xll.qlSimpleQuote(C16,,RateTickValue,Permanent,EvaluationDate,ObjectOverwrite)</f>
        <v>EURSWD_SYNTH6M_Quote#0000</v>
      </c>
      <c r="E16" s="164" t="str">
        <f>_xll.ohRangeRetrieveError(D16)</f>
        <v/>
      </c>
      <c r="F16" s="16"/>
      <c r="G16" s="145" t="s">
        <v>57</v>
      </c>
      <c r="H16" s="139">
        <f>'6MSynthDepo'!I26</f>
        <v>3.3439618567879644E-4</v>
      </c>
      <c r="I16" s="17"/>
      <c r="J16" s="132">
        <v>1.0323016171362046E-3</v>
      </c>
      <c r="K16" s="16"/>
      <c r="L16" s="120">
        <v>3.3439618567879644E-4</v>
      </c>
      <c r="M16" s="121">
        <f>_xll.qlSimpleQuoteSetValue(D16,ROUND($L16,6),EvaluationDate)</f>
        <v>0</v>
      </c>
      <c r="N16" s="111"/>
    </row>
    <row r="17" spans="1:14" x14ac:dyDescent="0.2">
      <c r="A17" s="112"/>
      <c r="B17" s="159" t="s">
        <v>58</v>
      </c>
      <c r="C17" s="160" t="str">
        <f t="shared" si="3"/>
        <v>EUR2WD_SYNTH6M_Quote</v>
      </c>
      <c r="D17" s="160" t="str">
        <f>_xll.qlSimpleQuote(C17,,RateTickValue,Permanent,EvaluationDate,ObjectOverwrite)</f>
        <v>EUR2WD_SYNTH6M_Quote#0000</v>
      </c>
      <c r="E17" s="164" t="str">
        <f>_xll.ohRangeRetrieveError(D17)</f>
        <v/>
      </c>
      <c r="F17" s="10"/>
      <c r="G17" s="145" t="s">
        <v>58</v>
      </c>
      <c r="H17" s="139">
        <f>'6MSynthDepo'!I27</f>
        <v>3.7626677468617837E-4</v>
      </c>
      <c r="I17" s="17"/>
      <c r="J17" s="132">
        <v>1.1954497369843459E-3</v>
      </c>
      <c r="K17" s="16"/>
      <c r="L17" s="120">
        <v>3.7626677468617837E-4</v>
      </c>
      <c r="M17" s="121">
        <f>_xll.qlSimpleQuoteSetValue(D17,ROUND($L17,6),EvaluationDate)</f>
        <v>0</v>
      </c>
      <c r="N17" s="111"/>
    </row>
    <row r="18" spans="1:14" x14ac:dyDescent="0.2">
      <c r="A18" s="109"/>
      <c r="B18" s="159" t="s">
        <v>59</v>
      </c>
      <c r="C18" s="160" t="str">
        <f t="shared" si="3"/>
        <v>EUR3WD_SYNTH6M_Quote</v>
      </c>
      <c r="D18" s="160" t="str">
        <f>_xll.qlSimpleQuote(C18,,RateTickValue,Permanent,EvaluationDate,ObjectOverwrite)</f>
        <v>EUR3WD_SYNTH6M_Quote#0000</v>
      </c>
      <c r="E18" s="164" t="str">
        <f>_xll.ohRangeRetrieveError(D18)</f>
        <v/>
      </c>
      <c r="F18" s="10"/>
      <c r="G18" s="145" t="s">
        <v>59</v>
      </c>
      <c r="H18" s="139">
        <f>'6MSynthDepo'!I28</f>
        <v>3.8791881952374548E-4</v>
      </c>
      <c r="I18" s="17"/>
      <c r="J18" s="132">
        <v>1.0885602616905743E-3</v>
      </c>
      <c r="K18" s="16"/>
      <c r="L18" s="120">
        <v>3.8791881952374548E-4</v>
      </c>
      <c r="M18" s="121">
        <f>_xll.qlSimpleQuoteSetValue(D18,ROUND($L18,6),EvaluationDate)</f>
        <v>0</v>
      </c>
      <c r="N18" s="111"/>
    </row>
    <row r="19" spans="1:14" x14ac:dyDescent="0.2">
      <c r="A19" s="109"/>
      <c r="B19" s="159" t="s">
        <v>60</v>
      </c>
      <c r="C19" s="160" t="str">
        <f t="shared" si="3"/>
        <v>EUR1MD_SYNTH6M_Quote</v>
      </c>
      <c r="D19" s="160" t="str">
        <f>_xll.qlSimpleQuote(C19,,RateTickValue,Permanent,EvaluationDate,ObjectOverwrite)</f>
        <v>EUR1MD_SYNTH6M_Quote#0000</v>
      </c>
      <c r="E19" s="164" t="str">
        <f>_xll.ohRangeRetrieveError(D19)</f>
        <v/>
      </c>
      <c r="F19" s="10"/>
      <c r="G19" s="143" t="s">
        <v>60</v>
      </c>
      <c r="H19" s="144">
        <f>'6MSynthDepo'!I29</f>
        <v>3.9485298415683237E-4</v>
      </c>
      <c r="I19" s="40"/>
      <c r="J19" s="135">
        <v>1.0096362776810253E-3</v>
      </c>
      <c r="K19" s="41"/>
      <c r="L19" s="126">
        <v>3.9485298415683237E-4</v>
      </c>
      <c r="M19" s="127">
        <f>_xll.qlSimpleQuoteSetValue(D19,ROUND($L19,6),EvaluationDate)</f>
        <v>0</v>
      </c>
      <c r="N19" s="111"/>
    </row>
    <row r="20" spans="1:14" x14ac:dyDescent="0.2">
      <c r="A20" s="109"/>
      <c r="B20" s="159" t="s">
        <v>61</v>
      </c>
      <c r="C20" s="160" t="str">
        <f t="shared" si="3"/>
        <v>EUR2MD_SYNTH6M_Quote</v>
      </c>
      <c r="D20" s="160" t="str">
        <f>_xll.qlSimpleQuote(C20,,RateTickValue,Permanent,EvaluationDate,ObjectOverwrite)</f>
        <v>EUR2MD_SYNTH6M_Quote#0000</v>
      </c>
      <c r="E20" s="164" t="str">
        <f>_xll.ohRangeRetrieveError(D20)</f>
        <v/>
      </c>
      <c r="F20" s="10"/>
      <c r="G20" s="145" t="s">
        <v>61</v>
      </c>
      <c r="H20" s="139">
        <f>'6MSynthDepo'!I30</f>
        <v>4.118898886290669E-4</v>
      </c>
      <c r="I20" s="17"/>
      <c r="J20" s="132">
        <v>9.0595425058635152E-4</v>
      </c>
      <c r="K20" s="16"/>
      <c r="L20" s="120">
        <v>4.118898886290669E-4</v>
      </c>
      <c r="M20" s="121">
        <f>_xll.qlSimpleQuoteSetValue(D20,ROUND($L20,6),EvaluationDate)</f>
        <v>0</v>
      </c>
      <c r="N20" s="111"/>
    </row>
    <row r="21" spans="1:14" x14ac:dyDescent="0.2">
      <c r="A21" s="109"/>
      <c r="B21" s="159" t="s">
        <v>62</v>
      </c>
      <c r="C21" s="160" t="str">
        <f t="shared" si="3"/>
        <v>EUR3MD_SYNTH6M_Quote</v>
      </c>
      <c r="D21" s="160" t="str">
        <f>_xll.qlSimpleQuote(C21,,RateTickValue,Permanent,EvaluationDate,ObjectOverwrite)</f>
        <v>EUR3MD_SYNTH6M_Quote#0000</v>
      </c>
      <c r="E21" s="164" t="str">
        <f>_xll.ohRangeRetrieveError(D21)</f>
        <v/>
      </c>
      <c r="F21" s="10"/>
      <c r="G21" s="145" t="s">
        <v>62</v>
      </c>
      <c r="H21" s="139">
        <f>'6MSynthDepo'!I31</f>
        <v>4.2421685789268684E-4</v>
      </c>
      <c r="I21" s="17"/>
      <c r="J21" s="132">
        <v>8.1856251305365826E-4</v>
      </c>
      <c r="K21" s="16"/>
      <c r="L21" s="120">
        <v>4.2421685789268684E-4</v>
      </c>
      <c r="M21" s="121">
        <f>_xll.qlSimpleQuoteSetValue(D21,ROUND($L21,6),EvaluationDate)</f>
        <v>0</v>
      </c>
      <c r="N21" s="111"/>
    </row>
    <row r="22" spans="1:14" x14ac:dyDescent="0.2">
      <c r="A22" s="109"/>
      <c r="B22" s="159" t="s">
        <v>63</v>
      </c>
      <c r="C22" s="160" t="str">
        <f t="shared" si="3"/>
        <v>EUR4MD_SYNTH6M_Quote</v>
      </c>
      <c r="D22" s="160" t="str">
        <f>_xll.qlSimpleQuote(C22,,RateTickValue,Permanent,EvaluationDate,ObjectOverwrite)</f>
        <v>EUR4MD_SYNTH6M_Quote#0000</v>
      </c>
      <c r="E22" s="164" t="str">
        <f>_xll.ohRangeRetrieveError(D22)</f>
        <v/>
      </c>
      <c r="F22" s="10"/>
      <c r="G22" s="145" t="s">
        <v>63</v>
      </c>
      <c r="H22" s="139">
        <f>'6MSynthDepo'!I32</f>
        <v>4.5434777872524067E-4</v>
      </c>
      <c r="I22" s="17"/>
      <c r="J22" s="132">
        <v>7.7358926811860727E-4</v>
      </c>
      <c r="K22" s="16"/>
      <c r="L22" s="120">
        <v>4.5434777872524067E-4</v>
      </c>
      <c r="M22" s="121">
        <f>_xll.qlSimpleQuoteSetValue(D22,ROUND($L22,6),EvaluationDate)</f>
        <v>0</v>
      </c>
      <c r="N22" s="111"/>
    </row>
    <row r="23" spans="1:14" x14ac:dyDescent="0.2">
      <c r="A23" s="109"/>
      <c r="B23" s="159" t="s">
        <v>64</v>
      </c>
      <c r="C23" s="160" t="str">
        <f t="shared" si="3"/>
        <v>EUR5MD_SYNTH6M_Quote</v>
      </c>
      <c r="D23" s="160" t="str">
        <f>_xll.qlSimpleQuote(C23,,RateTickValue,Permanent,EvaluationDate,ObjectOverwrite)</f>
        <v>EUR5MD_SYNTH6M_Quote#0000</v>
      </c>
      <c r="E23" s="164" t="str">
        <f>_xll.ohRangeRetrieveError(D23)</f>
        <v/>
      </c>
      <c r="F23" s="10"/>
      <c r="G23" s="145" t="s">
        <v>64</v>
      </c>
      <c r="H23" s="139">
        <f>'6MSynthDepo'!I33</f>
        <v>4.8912701611356242E-4</v>
      </c>
      <c r="I23" s="17"/>
      <c r="J23" s="132">
        <v>7.535141655863201E-4</v>
      </c>
      <c r="K23" s="16"/>
      <c r="L23" s="120">
        <v>4.8912701611356242E-4</v>
      </c>
      <c r="M23" s="121">
        <f>_xll.qlSimpleQuoteSetValue(D23,ROUND($L23,6),EvaluationDate)</f>
        <v>0</v>
      </c>
      <c r="N23" s="111"/>
    </row>
    <row r="24" spans="1:14" x14ac:dyDescent="0.2">
      <c r="A24" s="94"/>
      <c r="B24" s="161" t="s">
        <v>65</v>
      </c>
      <c r="C24" s="162" t="str">
        <f t="shared" si="3"/>
        <v>EUR6MD_SYNTH6M_Quote</v>
      </c>
      <c r="D24" s="162" t="str">
        <f>_xll.qlSimpleQuote(C24,,RateTickValue,Permanent,EvaluationDate,ObjectOverwrite)</f>
        <v>EUR6MD_SYNTH6M_Quote#0000</v>
      </c>
      <c r="E24" s="165" t="str">
        <f>_xll.ohRangeRetrieveError(D24)</f>
        <v/>
      </c>
      <c r="F24" s="10"/>
      <c r="G24" s="146" t="s">
        <v>65</v>
      </c>
      <c r="H24" s="147">
        <f>'6MSynthDepo'!I34</f>
        <v>5.2304913276806156E-4</v>
      </c>
      <c r="I24" s="17"/>
      <c r="J24" s="133">
        <v>7.1336998314508644E-4</v>
      </c>
      <c r="K24" s="16"/>
      <c r="L24" s="122">
        <v>5.2304913276806156E-4</v>
      </c>
      <c r="M24" s="123">
        <f>_xll.qlSimpleQuoteSetValue(D24,ROUND($L24,6),EvaluationDate)</f>
        <v>0</v>
      </c>
      <c r="N24" s="111"/>
    </row>
    <row r="25" spans="1:14" x14ac:dyDescent="0.2">
      <c r="A25" s="95">
        <v>12</v>
      </c>
      <c r="B25" s="159" t="s">
        <v>55</v>
      </c>
      <c r="C25" s="160" t="str">
        <f t="shared" ref="C25:C40" si="4">Currency&amp;$B25&amp;"_SYNTH"&amp;Tenor12M&amp;QuoteSuffix</f>
        <v>EURSND_SYNTH1Y_Quote</v>
      </c>
      <c r="D25" s="160" t="str">
        <f>_xll.qlSimpleQuote(C25,,RateTickValue,Permanent,EvaluationDate,ObjectOverwrite)</f>
        <v>EURSND_SYNTH1Y_Quote#0000</v>
      </c>
      <c r="E25" s="164" t="str">
        <f>_xll.ohRangeRetrieveError(D25)</f>
        <v/>
      </c>
      <c r="F25" s="16"/>
      <c r="G25" s="148" t="s">
        <v>55</v>
      </c>
      <c r="H25" s="144">
        <f>'1YSynthDepo'!I20</f>
        <v>1.4764517005527722E-3</v>
      </c>
      <c r="I25" s="17"/>
      <c r="J25" s="132">
        <v>1.9786760234286049E-3</v>
      </c>
      <c r="K25" s="16"/>
      <c r="L25" s="120">
        <v>1.4764517005527722E-3</v>
      </c>
      <c r="M25" s="121">
        <f>_xll.qlSimpleQuoteSetValue(D25,ROUND($L25,6),EvaluationDate)</f>
        <v>0</v>
      </c>
      <c r="N25" s="110">
        <f>_xll.ohTrigger(M25:M40)</f>
        <v>49</v>
      </c>
    </row>
    <row r="26" spans="1:14" x14ac:dyDescent="0.2">
      <c r="A26" s="89" t="str">
        <f>_xll.qlPeriodEquivalent(Months12M&amp;"M")</f>
        <v>1Y</v>
      </c>
      <c r="B26" s="159" t="s">
        <v>57</v>
      </c>
      <c r="C26" s="160" t="str">
        <f t="shared" si="4"/>
        <v>EURSWD_SYNTH1Y_Quote</v>
      </c>
      <c r="D26" s="160" t="str">
        <f>_xll.qlSimpleQuote(C26,,RateTickValue,Permanent,EvaluationDate,ObjectOverwrite)</f>
        <v>EURSWD_SYNTH1Y_Quote#0000</v>
      </c>
      <c r="E26" s="164" t="str">
        <f>_xll.ohRangeRetrieveError(D26)</f>
        <v/>
      </c>
      <c r="F26" s="16"/>
      <c r="G26" s="149" t="s">
        <v>57</v>
      </c>
      <c r="H26" s="139">
        <f>'1YSynthDepo'!I21</f>
        <v>1.4778043448274555E-3</v>
      </c>
      <c r="I26" s="17"/>
      <c r="J26" s="132">
        <v>2.0973449061261512E-3</v>
      </c>
      <c r="K26" s="16"/>
      <c r="L26" s="120">
        <v>1.4778043448274555E-3</v>
      </c>
      <c r="M26" s="121">
        <f>_xll.qlSimpleQuoteSetValue(D26,ROUND($L26,6),EvaluationDate)</f>
        <v>0</v>
      </c>
      <c r="N26" s="111"/>
    </row>
    <row r="27" spans="1:14" x14ac:dyDescent="0.2">
      <c r="A27" s="91"/>
      <c r="B27" s="159" t="s">
        <v>58</v>
      </c>
      <c r="C27" s="160" t="str">
        <f t="shared" si="4"/>
        <v>EUR2WD_SYNTH1Y_Quote</v>
      </c>
      <c r="D27" s="160" t="str">
        <f>_xll.qlSimpleQuote(C27,,RateTickValue,Permanent,EvaluationDate,ObjectOverwrite)</f>
        <v>EUR2WD_SYNTH1Y_Quote#0000</v>
      </c>
      <c r="E27" s="164" t="str">
        <f>_xll.ohRangeRetrieveError(D27)</f>
        <v/>
      </c>
      <c r="F27" s="10"/>
      <c r="G27" s="149" t="s">
        <v>58</v>
      </c>
      <c r="H27" s="139">
        <f>'1YSynthDepo'!I22</f>
        <v>1.5101854782478036E-3</v>
      </c>
      <c r="I27" s="17"/>
      <c r="J27" s="132">
        <v>2.2594679994477774E-3</v>
      </c>
      <c r="K27" s="16"/>
      <c r="L27" s="120">
        <v>1.5101854782478036E-3</v>
      </c>
      <c r="M27" s="121">
        <f>_xll.qlSimpleQuoteSetValue(D27,ROUND($L27,6),EvaluationDate)</f>
        <v>0</v>
      </c>
      <c r="N27" s="111"/>
    </row>
    <row r="28" spans="1:14" x14ac:dyDescent="0.2">
      <c r="A28" s="91"/>
      <c r="B28" s="159" t="s">
        <v>59</v>
      </c>
      <c r="C28" s="160" t="str">
        <f t="shared" si="4"/>
        <v>EUR3WD_SYNTH1Y_Quote</v>
      </c>
      <c r="D28" s="160" t="str">
        <f>_xll.qlSimpleQuote(C28,,RateTickValue,Permanent,EvaluationDate,ObjectOverwrite)</f>
        <v>EUR3WD_SYNTH1Y_Quote#0000</v>
      </c>
      <c r="E28" s="164" t="str">
        <f>_xll.ohRangeRetrieveError(D28)</f>
        <v/>
      </c>
      <c r="F28" s="10"/>
      <c r="G28" s="149" t="s">
        <v>59</v>
      </c>
      <c r="H28" s="139">
        <f>'1YSynthDepo'!I23</f>
        <v>1.5125965757561183E-3</v>
      </c>
      <c r="I28" s="17"/>
      <c r="J28" s="132">
        <v>2.1515623467774753E-3</v>
      </c>
      <c r="K28" s="16"/>
      <c r="L28" s="120">
        <v>1.5125965757561183E-3</v>
      </c>
      <c r="M28" s="121">
        <f>_xll.qlSimpleQuoteSetValue(D28,ROUND($L28,6),EvaluationDate)</f>
        <v>0</v>
      </c>
      <c r="N28" s="111"/>
    </row>
    <row r="29" spans="1:14" x14ac:dyDescent="0.2">
      <c r="A29" s="91"/>
      <c r="B29" s="159" t="s">
        <v>60</v>
      </c>
      <c r="C29" s="160" t="str">
        <f t="shared" si="4"/>
        <v>EUR1MD_SYNTH1Y_Quote</v>
      </c>
      <c r="D29" s="160" t="str">
        <f>_xll.qlSimpleQuote(C29,,RateTickValue,Permanent,EvaluationDate,ObjectOverwrite)</f>
        <v>EUR1MD_SYNTH1Y_Quote#0000</v>
      </c>
      <c r="E29" s="164" t="str">
        <f>_xll.ohRangeRetrieveError(D29)</f>
        <v/>
      </c>
      <c r="F29" s="10"/>
      <c r="G29" s="150" t="s">
        <v>60</v>
      </c>
      <c r="H29" s="147">
        <f>'1YSynthDepo'!I24</f>
        <v>1.506754834099319E-3</v>
      </c>
      <c r="I29" s="17"/>
      <c r="J29" s="133">
        <v>2.0713582690561338E-3</v>
      </c>
      <c r="K29" s="16"/>
      <c r="L29" s="122">
        <v>1.506754834099319E-3</v>
      </c>
      <c r="M29" s="123">
        <f>_xll.qlSimpleQuoteSetValue(D29,ROUND($L29,6),EvaluationDate)</f>
        <v>0</v>
      </c>
      <c r="N29" s="111"/>
    </row>
    <row r="30" spans="1:14" x14ac:dyDescent="0.2">
      <c r="A30" s="91"/>
      <c r="B30" s="159" t="s">
        <v>61</v>
      </c>
      <c r="C30" s="160" t="str">
        <f t="shared" si="4"/>
        <v>EUR2MD_SYNTH1Y_Quote</v>
      </c>
      <c r="D30" s="160" t="str">
        <f>_xll.qlSimpleQuote(C30,,RateTickValue,Permanent,EvaluationDate,ObjectOverwrite)</f>
        <v>EUR2MD_SYNTH1Y_Quote#0000</v>
      </c>
      <c r="E30" s="164" t="str">
        <f>_xll.ohRangeRetrieveError(D30)</f>
        <v/>
      </c>
      <c r="F30" s="10"/>
      <c r="G30" s="149" t="s">
        <v>61</v>
      </c>
      <c r="H30" s="139">
        <f>'1YSynthDepo'!I25</f>
        <v>1.4883884719828688E-3</v>
      </c>
      <c r="I30" s="17"/>
      <c r="J30" s="132">
        <v>1.9635040805632822E-3</v>
      </c>
      <c r="K30" s="16"/>
      <c r="L30" s="120">
        <v>1.4883884719828688E-3</v>
      </c>
      <c r="M30" s="121">
        <f>_xll.qlSimpleQuoteSetValue(D30,ROUND($L30,6),EvaluationDate)</f>
        <v>0</v>
      </c>
      <c r="N30" s="110"/>
    </row>
    <row r="31" spans="1:14" x14ac:dyDescent="0.2">
      <c r="A31" s="91"/>
      <c r="B31" s="159" t="s">
        <v>62</v>
      </c>
      <c r="C31" s="160" t="str">
        <f t="shared" si="4"/>
        <v>EUR3MD_SYNTH1Y_Quote</v>
      </c>
      <c r="D31" s="160" t="str">
        <f>_xll.qlSimpleQuote(C31,,RateTickValue,Permanent,EvaluationDate,ObjectOverwrite)</f>
        <v>EUR3MD_SYNTH1Y_Quote#0000</v>
      </c>
      <c r="E31" s="164" t="str">
        <f>_xll.ohRangeRetrieveError(D31)</f>
        <v/>
      </c>
      <c r="F31" s="10"/>
      <c r="G31" s="149" t="s">
        <v>62</v>
      </c>
      <c r="H31" s="139">
        <f>'1YSynthDepo'!I26</f>
        <v>1.4666190189284E-3</v>
      </c>
      <c r="I31" s="17"/>
      <c r="J31" s="132">
        <v>1.8724129563418969E-3</v>
      </c>
      <c r="K31" s="16"/>
      <c r="L31" s="120">
        <v>1.4666190189284E-3</v>
      </c>
      <c r="M31" s="121">
        <f>_xll.qlSimpleQuoteSetValue(D31,ROUND($L31,6),EvaluationDate)</f>
        <v>0</v>
      </c>
      <c r="N31" s="111"/>
    </row>
    <row r="32" spans="1:14" x14ac:dyDescent="0.2">
      <c r="A32" s="91"/>
      <c r="B32" s="159" t="s">
        <v>63</v>
      </c>
      <c r="C32" s="160" t="str">
        <f t="shared" si="4"/>
        <v>EUR4MD_SYNTH1Y_Quote</v>
      </c>
      <c r="D32" s="160" t="str">
        <f>_xll.qlSimpleQuote(C32,,RateTickValue,Permanent,EvaluationDate,ObjectOverwrite)</f>
        <v>EUR4MD_SYNTH1Y_Quote#0000</v>
      </c>
      <c r="E32" s="164" t="str">
        <f>_xll.ohRangeRetrieveError(D32)</f>
        <v/>
      </c>
      <c r="F32" s="10"/>
      <c r="G32" s="149" t="s">
        <v>63</v>
      </c>
      <c r="H32" s="139">
        <f>'1YSynthDepo'!I27</f>
        <v>1.4715856604616863E-3</v>
      </c>
      <c r="I32" s="17"/>
      <c r="J32" s="132">
        <v>1.8237721684577848E-3</v>
      </c>
      <c r="K32" s="16"/>
      <c r="L32" s="120">
        <v>1.4715856604616863E-3</v>
      </c>
      <c r="M32" s="121">
        <f>_xll.qlSimpleQuoteSetValue(D32,ROUND($L32,6),EvaluationDate)</f>
        <v>0</v>
      </c>
      <c r="N32" s="111"/>
    </row>
    <row r="33" spans="1:14" x14ac:dyDescent="0.2">
      <c r="A33" s="91"/>
      <c r="B33" s="159" t="s">
        <v>64</v>
      </c>
      <c r="C33" s="160" t="str">
        <f t="shared" si="4"/>
        <v>EUR5MD_SYNTH1Y_Quote</v>
      </c>
      <c r="D33" s="160" t="str">
        <f>_xll.qlSimpleQuote(C33,,RateTickValue,Permanent,EvaluationDate,ObjectOverwrite)</f>
        <v>EUR5MD_SYNTH1Y_Quote#0000</v>
      </c>
      <c r="E33" s="164" t="str">
        <f>_xll.ohRangeRetrieveError(D33)</f>
        <v/>
      </c>
      <c r="F33" s="16"/>
      <c r="G33" s="149" t="s">
        <v>64</v>
      </c>
      <c r="H33" s="139">
        <f>'1YSynthDepo'!I28</f>
        <v>1.4822917116486631E-3</v>
      </c>
      <c r="I33" s="17"/>
      <c r="J33" s="132">
        <v>1.8008225006785829E-3</v>
      </c>
      <c r="K33" s="16"/>
      <c r="L33" s="120">
        <v>1.4822917116486631E-3</v>
      </c>
      <c r="M33" s="121">
        <f>_xll.qlSimpleQuoteSetValue(D33,ROUND($L33,6),EvaluationDate)</f>
        <v>0</v>
      </c>
      <c r="N33" s="111"/>
    </row>
    <row r="34" spans="1:14" x14ac:dyDescent="0.2">
      <c r="A34" s="91"/>
      <c r="B34" s="159" t="s">
        <v>65</v>
      </c>
      <c r="C34" s="160" t="str">
        <f t="shared" si="4"/>
        <v>EUR6MD_SYNTH1Y_Quote</v>
      </c>
      <c r="D34" s="160" t="str">
        <f>_xll.qlSimpleQuote(C34,,RateTickValue,Permanent,EvaluationDate,ObjectOverwrite)</f>
        <v>EUR6MD_SYNTH1Y_Quote#0000</v>
      </c>
      <c r="E34" s="164" t="str">
        <f>_xll.ohRangeRetrieveError(D34)</f>
        <v/>
      </c>
      <c r="F34" s="16"/>
      <c r="G34" s="149" t="s">
        <v>65</v>
      </c>
      <c r="H34" s="139">
        <f>'1YSynthDepo'!I29</f>
        <v>1.495272877750576E-3</v>
      </c>
      <c r="I34" s="17"/>
      <c r="J34" s="132">
        <v>1.7580324292638017E-3</v>
      </c>
      <c r="K34" s="16"/>
      <c r="L34" s="120">
        <v>1.495272877750576E-3</v>
      </c>
      <c r="M34" s="121">
        <f>_xll.qlSimpleQuoteSetValue(D34,ROUND($L34,6),EvaluationDate)</f>
        <v>0</v>
      </c>
      <c r="N34" s="111"/>
    </row>
    <row r="35" spans="1:14" x14ac:dyDescent="0.2">
      <c r="A35" s="91"/>
      <c r="B35" s="159" t="s">
        <v>66</v>
      </c>
      <c r="C35" s="160" t="str">
        <f t="shared" si="4"/>
        <v>EUR7MD_SYNTH1Y_Quote</v>
      </c>
      <c r="D35" s="160" t="str">
        <f>_xll.qlSimpleQuote(C35,,RateTickValue,Permanent,EvaluationDate,ObjectOverwrite)</f>
        <v>EUR7MD_SYNTH1Y_Quote#0000</v>
      </c>
      <c r="E35" s="164" t="str">
        <f>_xll.ohRangeRetrieveError(D35)</f>
        <v/>
      </c>
      <c r="F35" s="16"/>
      <c r="G35" s="149" t="s">
        <v>66</v>
      </c>
      <c r="H35" s="139">
        <f>'1YSynthDepo'!I30</f>
        <v>1.6814497329626097E-3</v>
      </c>
      <c r="I35" s="17"/>
      <c r="J35" s="132">
        <v>1.7605253080593816E-3</v>
      </c>
      <c r="K35" s="16"/>
      <c r="L35" s="120">
        <v>1.6814497329626097E-3</v>
      </c>
      <c r="M35" s="121">
        <f>_xll.qlSimpleQuoteSetValue(D35,ROUND($L35,6),EvaluationDate)</f>
        <v>0</v>
      </c>
      <c r="N35" s="111"/>
    </row>
    <row r="36" spans="1:14" x14ac:dyDescent="0.2">
      <c r="A36" s="91"/>
      <c r="B36" s="159" t="s">
        <v>67</v>
      </c>
      <c r="C36" s="160" t="str">
        <f t="shared" si="4"/>
        <v>EUR8MD_SYNTH1Y_Quote</v>
      </c>
      <c r="D36" s="160" t="str">
        <f>_xll.qlSimpleQuote(C36,,RateTickValue,Permanent,EvaluationDate,ObjectOverwrite)</f>
        <v>EUR8MD_SYNTH1Y_Quote#0000</v>
      </c>
      <c r="E36" s="164" t="str">
        <f>_xll.ohRangeRetrieveError(D36)</f>
        <v/>
      </c>
      <c r="F36" s="16"/>
      <c r="G36" s="149" t="s">
        <v>67</v>
      </c>
      <c r="H36" s="139">
        <f>'1YSynthDepo'!I31</f>
        <v>1.6814497329626097E-3</v>
      </c>
      <c r="I36" s="17"/>
      <c r="J36" s="132">
        <v>1.7377762759480189E-3</v>
      </c>
      <c r="K36" s="16"/>
      <c r="L36" s="120">
        <v>1.6814497329626097E-3</v>
      </c>
      <c r="M36" s="121">
        <f>_xll.qlSimpleQuoteSetValue(D36,ROUND($L36,6),EvaluationDate)</f>
        <v>0</v>
      </c>
      <c r="N36" s="111"/>
    </row>
    <row r="37" spans="1:14" x14ac:dyDescent="0.2">
      <c r="A37" s="92"/>
      <c r="B37" s="159" t="s">
        <v>68</v>
      </c>
      <c r="C37" s="160" t="str">
        <f t="shared" si="4"/>
        <v>EUR9MD_SYNTH1Y_Quote</v>
      </c>
      <c r="D37" s="160" t="str">
        <f>_xll.qlSimpleQuote(C37,,RateTickValue,Permanent,EvaluationDate,ObjectOverwrite)</f>
        <v>EUR9MD_SYNTH1Y_Quote#0000</v>
      </c>
      <c r="E37" s="164" t="str">
        <f>_xll.ohRangeRetrieveError(D37)</f>
        <v/>
      </c>
      <c r="F37" s="16"/>
      <c r="G37" s="149" t="s">
        <v>68</v>
      </c>
      <c r="H37" s="139">
        <f>'1YSynthDepo'!I32</f>
        <v>1.6814497329626097E-3</v>
      </c>
      <c r="I37" s="17"/>
      <c r="J37" s="132">
        <v>1.7481493380464806E-3</v>
      </c>
      <c r="K37" s="16"/>
      <c r="L37" s="120">
        <v>1.6814497329626097E-3</v>
      </c>
      <c r="M37" s="121">
        <f>_xll.qlSimpleQuoteSetValue(D37,ROUND($L37,6),EvaluationDate)</f>
        <v>0</v>
      </c>
      <c r="N37" s="111"/>
    </row>
    <row r="38" spans="1:14" x14ac:dyDescent="0.2">
      <c r="A38" s="93"/>
      <c r="B38" s="159" t="s">
        <v>69</v>
      </c>
      <c r="C38" s="160" t="str">
        <f t="shared" si="4"/>
        <v>EUR10MD_SYNTH1Y_Quote</v>
      </c>
      <c r="D38" s="160" t="str">
        <f>_xll.qlSimpleQuote(C38,,RateTickValue,Permanent,EvaluationDate,ObjectOverwrite)</f>
        <v>EUR10MD_SYNTH1Y_Quote#0000</v>
      </c>
      <c r="E38" s="164" t="str">
        <f>_xll.ohRangeRetrieveError(D38)</f>
        <v/>
      </c>
      <c r="F38" s="16"/>
      <c r="G38" s="149" t="s">
        <v>69</v>
      </c>
      <c r="H38" s="139">
        <f>'1YSynthDepo'!I33</f>
        <v>1.6814497329626097E-3</v>
      </c>
      <c r="I38" s="17"/>
      <c r="J38" s="132">
        <v>1.7372768337085925E-3</v>
      </c>
      <c r="K38" s="16"/>
      <c r="L38" s="120">
        <v>1.6814497329626097E-3</v>
      </c>
      <c r="M38" s="121">
        <f>_xll.qlSimpleQuoteSetValue(D38,ROUND($L38,6),EvaluationDate)</f>
        <v>0</v>
      </c>
      <c r="N38" s="111"/>
    </row>
    <row r="39" spans="1:14" x14ac:dyDescent="0.2">
      <c r="A39" s="91"/>
      <c r="B39" s="159" t="s">
        <v>70</v>
      </c>
      <c r="C39" s="160" t="str">
        <f t="shared" si="4"/>
        <v>EUR11MD_SYNTH1Y_Quote</v>
      </c>
      <c r="D39" s="160" t="str">
        <f>_xll.qlSimpleQuote(C39,,RateTickValue,Permanent,EvaluationDate,ObjectOverwrite)</f>
        <v>EUR11MD_SYNTH1Y_Quote#0000</v>
      </c>
      <c r="E39" s="164" t="str">
        <f>_xll.ohRangeRetrieveError(D39)</f>
        <v/>
      </c>
      <c r="F39" s="16"/>
      <c r="G39" s="149" t="s">
        <v>70</v>
      </c>
      <c r="H39" s="139">
        <f>'1YSynthDepo'!I34</f>
        <v>1.6814497329626097E-3</v>
      </c>
      <c r="I39" s="17"/>
      <c r="J39" s="132">
        <v>1.7247550505565812E-3</v>
      </c>
      <c r="K39" s="16"/>
      <c r="L39" s="120">
        <v>1.6814497329626097E-3</v>
      </c>
      <c r="M39" s="121">
        <f>_xll.qlSimpleQuoteSetValue(D39,ROUND($L39,6),EvaluationDate)</f>
        <v>0</v>
      </c>
      <c r="N39" s="111"/>
    </row>
    <row r="40" spans="1:14" x14ac:dyDescent="0.2">
      <c r="A40" s="94"/>
      <c r="B40" s="161" t="s">
        <v>71</v>
      </c>
      <c r="C40" s="160" t="str">
        <f t="shared" si="4"/>
        <v>EUR1YD_SYNTH1Y_Quote</v>
      </c>
      <c r="D40" s="160" t="str">
        <f>_xll.qlSimpleQuote(C40,,RateTickValue,Permanent,EvaluationDate,ObjectOverwrite)</f>
        <v>EUR1YD_SYNTH1Y_Quote#0000</v>
      </c>
      <c r="E40" s="164" t="str">
        <f>_xll.ohRangeRetrieveError(D40)</f>
        <v/>
      </c>
      <c r="F40" s="16"/>
      <c r="G40" s="150" t="s">
        <v>71</v>
      </c>
      <c r="H40" s="147">
        <f>'1YSynthDepo'!I35</f>
        <v>1.6814497329626097E-3</v>
      </c>
      <c r="I40" s="17"/>
      <c r="J40" s="133">
        <v>1.7100000000000858E-3</v>
      </c>
      <c r="K40" s="16"/>
      <c r="L40" s="122">
        <v>1.6814497329626097E-3</v>
      </c>
      <c r="M40" s="123">
        <f>_xll.qlSimpleQuoteSetValue(D40,ROUND($L40,6),EvaluationDate)</f>
        <v>0</v>
      </c>
      <c r="N40" s="110"/>
    </row>
    <row r="41" spans="1:14" x14ac:dyDescent="0.2">
      <c r="A41" s="90">
        <v>1</v>
      </c>
      <c r="B41" s="157" t="str">
        <f t="shared" ref="B41:B63" si="5">A41&amp;"x"&amp;A41+Months12M&amp;"F"</f>
        <v>1x13F</v>
      </c>
      <c r="C41" s="158" t="str">
        <f t="shared" ref="C41:C63" si="6">Currency&amp;$B41&amp;"_SYNTH"&amp;"1Y"&amp;"_Quote"</f>
        <v>EUR1x13F_SYNTH1Y_Quote</v>
      </c>
      <c r="D41" s="158" t="str">
        <f>_xll.qlSimpleQuote(C41,,RateTickValue,Permanent,Trigger,ObjectOverwrite)</f>
        <v>EUR1x13F_SYNTH1Y_Quote#0000</v>
      </c>
      <c r="E41" s="163" t="str">
        <f>_xll.ohRangeRetrieveError(D41)</f>
        <v/>
      </c>
      <c r="F41" s="10">
        <v>1</v>
      </c>
      <c r="G41" s="151" t="str">
        <f t="shared" ref="G41:G62" si="7">F41&amp;"x"&amp;(F41+Months12M)&amp;"F"</f>
        <v>1x13F</v>
      </c>
      <c r="H41" s="152">
        <f>SynthFra!G4</f>
        <v>1.7799999999999997E-3</v>
      </c>
      <c r="I41" s="18"/>
      <c r="J41" s="136">
        <v>1.6605416176082449E-3</v>
      </c>
      <c r="K41" s="19"/>
      <c r="L41" s="128">
        <v>1.7799999999999997E-3</v>
      </c>
      <c r="M41" s="129">
        <f>_xll.qlSimpleQuoteSetValue(D41,ROUND(L41,6),EvaluationDate)</f>
        <v>0</v>
      </c>
      <c r="N41" s="110">
        <f>_xll.ohTrigger(M41:M63)</f>
        <v>49</v>
      </c>
    </row>
    <row r="42" spans="1:14" x14ac:dyDescent="0.2">
      <c r="A42" s="113">
        <v>2</v>
      </c>
      <c r="B42" s="159" t="str">
        <f t="shared" si="5"/>
        <v>2x14F</v>
      </c>
      <c r="C42" s="160" t="str">
        <f t="shared" si="6"/>
        <v>EUR2x14F_SYNTH1Y_Quote</v>
      </c>
      <c r="D42" s="160" t="str">
        <f>_xll.qlSimpleQuote(C42,,RateTickValue,Permanent,Trigger,ObjectOverwrite)</f>
        <v>EUR2x14F_SYNTH1Y_Quote#0000</v>
      </c>
      <c r="E42" s="164" t="str">
        <f>_xll.ohRangeRetrieveError(D42)</f>
        <v/>
      </c>
      <c r="F42" s="10">
        <v>2</v>
      </c>
      <c r="G42" s="153" t="str">
        <f t="shared" si="7"/>
        <v>2x14F</v>
      </c>
      <c r="H42" s="154">
        <f>SynthFra!G5</f>
        <v>1.83E-3</v>
      </c>
      <c r="I42" s="19"/>
      <c r="J42" s="136">
        <v>1.6383825167237793E-3</v>
      </c>
      <c r="K42" s="19"/>
      <c r="L42" s="128">
        <v>1.83E-3</v>
      </c>
      <c r="M42" s="129">
        <f>_xll.qlSimpleQuoteSetValue(D42,ROUND(L42,6),EvaluationDate)</f>
        <v>0</v>
      </c>
      <c r="N42" s="111"/>
    </row>
    <row r="43" spans="1:14" x14ac:dyDescent="0.2">
      <c r="A43" s="113">
        <v>3</v>
      </c>
      <c r="B43" s="159" t="str">
        <f t="shared" si="5"/>
        <v>3x15F</v>
      </c>
      <c r="C43" s="160" t="str">
        <f t="shared" si="6"/>
        <v>EUR3x15F_SYNTH1Y_Quote</v>
      </c>
      <c r="D43" s="160" t="str">
        <f>_xll.qlSimpleQuote(C43,,RateTickValue,Permanent,Trigger,ObjectOverwrite)</f>
        <v>EUR3x15F_SYNTH1Y_Quote#0000</v>
      </c>
      <c r="E43" s="164" t="str">
        <f>_xll.ohRangeRetrieveError(D43)</f>
        <v/>
      </c>
      <c r="F43" s="10">
        <v>3</v>
      </c>
      <c r="G43" s="153" t="str">
        <f t="shared" si="7"/>
        <v>3x15F</v>
      </c>
      <c r="H43" s="154">
        <f>SynthFra!G6</f>
        <v>1.8799999999999997E-3</v>
      </c>
      <c r="I43" s="19"/>
      <c r="J43" s="136">
        <v>1.6315359165180374E-3</v>
      </c>
      <c r="K43" s="19"/>
      <c r="L43" s="128">
        <v>1.8799999999999997E-3</v>
      </c>
      <c r="M43" s="129">
        <f>_xll.qlSimpleQuoteSetValue(D43,ROUND(L43,6),EvaluationDate)</f>
        <v>0</v>
      </c>
      <c r="N43" s="111"/>
    </row>
    <row r="44" spans="1:14" x14ac:dyDescent="0.2">
      <c r="A44" s="113">
        <v>4</v>
      </c>
      <c r="B44" s="159" t="str">
        <f t="shared" si="5"/>
        <v>4x16F</v>
      </c>
      <c r="C44" s="160" t="str">
        <f t="shared" si="6"/>
        <v>EUR4x16F_SYNTH1Y_Quote</v>
      </c>
      <c r="D44" s="160" t="str">
        <f>_xll.qlSimpleQuote(C44,,RateTickValue,Permanent,Trigger,ObjectOverwrite)</f>
        <v>EUR4x16F_SYNTH1Y_Quote#0000</v>
      </c>
      <c r="E44" s="164" t="str">
        <f>_xll.ohRangeRetrieveError(D44)</f>
        <v/>
      </c>
      <c r="F44" s="10">
        <v>4</v>
      </c>
      <c r="G44" s="153" t="str">
        <f t="shared" si="7"/>
        <v>4x16F</v>
      </c>
      <c r="H44" s="154">
        <f>SynthFra!G7</f>
        <v>1.9300000000000003E-3</v>
      </c>
      <c r="I44" s="19"/>
      <c r="J44" s="136">
        <v>1.6217354128587164E-3</v>
      </c>
      <c r="K44" s="19"/>
      <c r="L44" s="128">
        <v>1.9300000000000003E-3</v>
      </c>
      <c r="M44" s="129">
        <f>_xll.qlSimpleQuoteSetValue(D44,ROUND(L44,6),EvaluationDate)</f>
        <v>0</v>
      </c>
      <c r="N44" s="111"/>
    </row>
    <row r="45" spans="1:14" x14ac:dyDescent="0.2">
      <c r="A45" s="113">
        <v>5</v>
      </c>
      <c r="B45" s="159" t="str">
        <f t="shared" si="5"/>
        <v>5x17F</v>
      </c>
      <c r="C45" s="160" t="str">
        <f t="shared" si="6"/>
        <v>EUR5x17F_SYNTH1Y_Quote</v>
      </c>
      <c r="D45" s="160" t="str">
        <f>_xll.qlSimpleQuote(C45,,RateTickValue,Permanent,Trigger,ObjectOverwrite)</f>
        <v>EUR5x17F_SYNTH1Y_Quote#0000</v>
      </c>
      <c r="E45" s="164" t="str">
        <f>_xll.ohRangeRetrieveError(D45)</f>
        <v/>
      </c>
      <c r="F45" s="10">
        <v>5</v>
      </c>
      <c r="G45" s="153" t="str">
        <f t="shared" si="7"/>
        <v>5x17F</v>
      </c>
      <c r="H45" s="154">
        <f>SynthFra!G8</f>
        <v>1.9899999999999996E-3</v>
      </c>
      <c r="I45" s="19"/>
      <c r="J45" s="136">
        <v>1.611490590887736E-3</v>
      </c>
      <c r="K45" s="19"/>
      <c r="L45" s="128">
        <v>1.9899999999999996E-3</v>
      </c>
      <c r="M45" s="129">
        <f>_xll.qlSimpleQuoteSetValue(D45,ROUND(L45,6),EvaluationDate)</f>
        <v>0</v>
      </c>
      <c r="N45" s="111"/>
    </row>
    <row r="46" spans="1:14" x14ac:dyDescent="0.2">
      <c r="A46" s="113">
        <v>6</v>
      </c>
      <c r="B46" s="159" t="str">
        <f t="shared" si="5"/>
        <v>6x18F</v>
      </c>
      <c r="C46" s="160" t="str">
        <f t="shared" si="6"/>
        <v>EUR6x18F_SYNTH1Y_Quote</v>
      </c>
      <c r="D46" s="160" t="str">
        <f>_xll.qlSimpleQuote(C46,,RateTickValue,Permanent,Trigger,ObjectOverwrite)</f>
        <v>EUR6x18F_SYNTH1Y_Quote#0000</v>
      </c>
      <c r="E46" s="164" t="str">
        <f>_xll.ohRangeRetrieveError(D46)</f>
        <v/>
      </c>
      <c r="F46" s="10">
        <v>6</v>
      </c>
      <c r="G46" s="153" t="str">
        <f t="shared" si="7"/>
        <v>6x18F</v>
      </c>
      <c r="H46" s="154">
        <f>SynthFra!G9</f>
        <v>2.0499999999999997E-3</v>
      </c>
      <c r="I46" s="19"/>
      <c r="J46" s="136">
        <v>1.6152355880216236E-3</v>
      </c>
      <c r="K46" s="19"/>
      <c r="L46" s="128">
        <v>2.0499999999999997E-3</v>
      </c>
      <c r="M46" s="129">
        <f>_xll.qlSimpleQuoteSetValue(D46,ROUND(L46,6),EvaluationDate)</f>
        <v>0</v>
      </c>
      <c r="N46" s="111"/>
    </row>
    <row r="47" spans="1:14" x14ac:dyDescent="0.2">
      <c r="A47" s="113">
        <v>7</v>
      </c>
      <c r="B47" s="159" t="str">
        <f t="shared" si="5"/>
        <v>7x19F</v>
      </c>
      <c r="C47" s="160" t="str">
        <f t="shared" si="6"/>
        <v>EUR7x19F_SYNTH1Y_Quote</v>
      </c>
      <c r="D47" s="160" t="str">
        <f>_xll.qlSimpleQuote(C47,,RateTickValue,Permanent,Trigger,ObjectOverwrite)</f>
        <v>EUR7x19F_SYNTH1Y_Quote#0000</v>
      </c>
      <c r="E47" s="164" t="str">
        <f>_xll.ohRangeRetrieveError(D47)</f>
        <v/>
      </c>
      <c r="F47" s="10">
        <v>7</v>
      </c>
      <c r="G47" s="153" t="str">
        <f t="shared" si="7"/>
        <v>7x19F</v>
      </c>
      <c r="H47" s="154">
        <f>SynthFra!G10</f>
        <v>2.1400000000000004E-3</v>
      </c>
      <c r="I47" s="19"/>
      <c r="J47" s="136">
        <v>1.6027837766431675E-3</v>
      </c>
      <c r="K47" s="19"/>
      <c r="L47" s="128">
        <v>2.1400000000000004E-3</v>
      </c>
      <c r="M47" s="129">
        <f>_xll.qlSimpleQuoteSetValue(D47,ROUND(L47,6),EvaluationDate)</f>
        <v>0</v>
      </c>
      <c r="N47" s="111"/>
    </row>
    <row r="48" spans="1:14" x14ac:dyDescent="0.2">
      <c r="A48" s="113">
        <v>8</v>
      </c>
      <c r="B48" s="159" t="str">
        <f t="shared" si="5"/>
        <v>8x20F</v>
      </c>
      <c r="C48" s="160" t="str">
        <f t="shared" si="6"/>
        <v>EUR8x20F_SYNTH1Y_Quote</v>
      </c>
      <c r="D48" s="160" t="str">
        <f>_xll.qlSimpleQuote(C48,,RateTickValue,Permanent,Trigger,ObjectOverwrite)</f>
        <v>EUR8x20F_SYNTH1Y_Quote#0000</v>
      </c>
      <c r="E48" s="164" t="str">
        <f>_xll.ohRangeRetrieveError(D48)</f>
        <v/>
      </c>
      <c r="F48" s="10">
        <v>8</v>
      </c>
      <c r="G48" s="153" t="str">
        <f t="shared" si="7"/>
        <v>8x20F</v>
      </c>
      <c r="H48" s="154">
        <f>SynthFra!G11</f>
        <v>2.2500000000000003E-3</v>
      </c>
      <c r="I48" s="19"/>
      <c r="J48" s="136">
        <v>1.6116373612167782E-3</v>
      </c>
      <c r="K48" s="19"/>
      <c r="L48" s="128">
        <v>2.2500000000000003E-3</v>
      </c>
      <c r="M48" s="129">
        <f>_xll.qlSimpleQuoteSetValue(D48,ROUND(L48,6),EvaluationDate)</f>
        <v>0</v>
      </c>
      <c r="N48" s="111"/>
    </row>
    <row r="49" spans="1:14" x14ac:dyDescent="0.2">
      <c r="A49" s="113">
        <v>9</v>
      </c>
      <c r="B49" s="159" t="str">
        <f t="shared" si="5"/>
        <v>9x21F</v>
      </c>
      <c r="C49" s="160" t="str">
        <f t="shared" si="6"/>
        <v>EUR9x21F_SYNTH1Y_Quote</v>
      </c>
      <c r="D49" s="160" t="str">
        <f>_xll.qlSimpleQuote(C49,,RateTickValue,Permanent,Trigger,ObjectOverwrite)</f>
        <v>EUR9x21F_SYNTH1Y_Quote#0000</v>
      </c>
      <c r="E49" s="164" t="str">
        <f>_xll.ohRangeRetrieveError(D49)</f>
        <v/>
      </c>
      <c r="F49" s="10">
        <v>9</v>
      </c>
      <c r="G49" s="153" t="str">
        <f t="shared" si="7"/>
        <v>9x21F</v>
      </c>
      <c r="H49" s="154">
        <f>SynthFra!G12</f>
        <v>2.3599999999999997E-3</v>
      </c>
      <c r="I49" s="19"/>
      <c r="J49" s="136">
        <v>1.6110335582855382E-3</v>
      </c>
      <c r="K49" s="19"/>
      <c r="L49" s="128">
        <v>2.3599999999999997E-3</v>
      </c>
      <c r="M49" s="129">
        <f>_xll.qlSimpleQuoteSetValue(D49,ROUND(L49,6),EvaluationDate)</f>
        <v>0</v>
      </c>
      <c r="N49" s="111"/>
    </row>
    <row r="50" spans="1:14" x14ac:dyDescent="0.2">
      <c r="A50" s="113">
        <v>10</v>
      </c>
      <c r="B50" s="159" t="str">
        <f t="shared" si="5"/>
        <v>10x22F</v>
      </c>
      <c r="C50" s="160" t="str">
        <f t="shared" si="6"/>
        <v>EUR10x22F_SYNTH1Y_Quote</v>
      </c>
      <c r="D50" s="160" t="str">
        <f>_xll.qlSimpleQuote(C50,,RateTickValue,Permanent,Trigger,ObjectOverwrite)</f>
        <v>EUR10x22F_SYNTH1Y_Quote#0000</v>
      </c>
      <c r="E50" s="164" t="str">
        <f>_xll.ohRangeRetrieveError(D50)</f>
        <v/>
      </c>
      <c r="F50" s="10">
        <v>10</v>
      </c>
      <c r="G50" s="153" t="str">
        <f t="shared" si="7"/>
        <v>10x22F</v>
      </c>
      <c r="H50" s="154">
        <f>SynthFra!G13</f>
        <v>2.4800000000000004E-3</v>
      </c>
      <c r="I50" s="19"/>
      <c r="J50" s="136">
        <v>1.6260050614706461E-3</v>
      </c>
      <c r="K50" s="19"/>
      <c r="L50" s="128">
        <v>2.4800000000000004E-3</v>
      </c>
      <c r="M50" s="129">
        <f>_xll.qlSimpleQuoteSetValue(D50,ROUND(L50,6),EvaluationDate)</f>
        <v>0</v>
      </c>
      <c r="N50" s="111"/>
    </row>
    <row r="51" spans="1:14" x14ac:dyDescent="0.2">
      <c r="A51" s="113">
        <v>11</v>
      </c>
      <c r="B51" s="159" t="str">
        <f t="shared" si="5"/>
        <v>11x23F</v>
      </c>
      <c r="C51" s="160" t="str">
        <f t="shared" si="6"/>
        <v>EUR11x23F_SYNTH1Y_Quote</v>
      </c>
      <c r="D51" s="160" t="str">
        <f>_xll.qlSimpleQuote(C51,,RateTickValue,Permanent,Trigger,ObjectOverwrite)</f>
        <v>EUR11x23F_SYNTH1Y_Quote#0000</v>
      </c>
      <c r="E51" s="164" t="str">
        <f>_xll.ohRangeRetrieveError(D51)</f>
        <v/>
      </c>
      <c r="F51" s="10">
        <v>11</v>
      </c>
      <c r="G51" s="153" t="str">
        <f t="shared" si="7"/>
        <v>11x23F</v>
      </c>
      <c r="H51" s="154">
        <f>SynthFra!G14</f>
        <v>2.6299999999999995E-3</v>
      </c>
      <c r="I51" s="19"/>
      <c r="J51" s="136">
        <v>1.6510956425379811E-3</v>
      </c>
      <c r="K51" s="19"/>
      <c r="L51" s="128">
        <v>2.6299999999999995E-3</v>
      </c>
      <c r="M51" s="129">
        <f>_xll.qlSimpleQuoteSetValue(D51,ROUND(L51,6),EvaluationDate)</f>
        <v>0</v>
      </c>
      <c r="N51" s="111"/>
    </row>
    <row r="52" spans="1:14" x14ac:dyDescent="0.2">
      <c r="A52" s="113">
        <v>13</v>
      </c>
      <c r="B52" s="159" t="str">
        <f t="shared" si="5"/>
        <v>13x25F</v>
      </c>
      <c r="C52" s="160" t="str">
        <f t="shared" si="6"/>
        <v>EUR13x25F_SYNTH1Y_Quote</v>
      </c>
      <c r="D52" s="160" t="str">
        <f>_xll.qlSimpleQuote(C52,,RateTickValue,Permanent,Trigger,ObjectOverwrite)</f>
        <v>EUR13x25F_SYNTH1Y_Quote#0000</v>
      </c>
      <c r="E52" s="164" t="str">
        <f>_xll.ohRangeRetrieveError(D52)</f>
        <v/>
      </c>
      <c r="F52" s="10">
        <v>13</v>
      </c>
      <c r="G52" s="153" t="str">
        <f t="shared" si="7"/>
        <v>13x25F</v>
      </c>
      <c r="H52" s="154">
        <f>SynthFra!G16</f>
        <v>2.9154161716136539E-3</v>
      </c>
      <c r="I52" s="19"/>
      <c r="J52" s="136">
        <v>1.7293198715218703E-3</v>
      </c>
      <c r="K52" s="19"/>
      <c r="L52" s="128">
        <v>2.9154161716136539E-3</v>
      </c>
      <c r="M52" s="129">
        <f>_xll.qlSimpleQuoteSetValue(D52,ROUND(L52,6),EvaluationDate)</f>
        <v>0</v>
      </c>
      <c r="N52" s="111"/>
    </row>
    <row r="53" spans="1:14" x14ac:dyDescent="0.2">
      <c r="A53" s="113">
        <v>14</v>
      </c>
      <c r="B53" s="159" t="str">
        <f t="shared" si="5"/>
        <v>14x26F</v>
      </c>
      <c r="C53" s="160" t="str">
        <f t="shared" si="6"/>
        <v>EUR14x26F_SYNTH1Y_Quote</v>
      </c>
      <c r="D53" s="160" t="str">
        <f>_xll.qlSimpleQuote(C53,,RateTickValue,Permanent,Trigger,ObjectOverwrite)</f>
        <v>EUR14x26F_SYNTH1Y_Quote#0000</v>
      </c>
      <c r="E53" s="164" t="str">
        <f>_xll.ohRangeRetrieveError(D53)</f>
        <v/>
      </c>
      <c r="F53" s="10">
        <v>14</v>
      </c>
      <c r="G53" s="153" t="str">
        <f t="shared" si="7"/>
        <v>14x26F</v>
      </c>
      <c r="H53" s="154">
        <f>SynthFra!G17</f>
        <v>3.072667660334811E-3</v>
      </c>
      <c r="I53" s="19"/>
      <c r="J53" s="136">
        <v>1.7685177753047356E-3</v>
      </c>
      <c r="K53" s="19"/>
      <c r="L53" s="128">
        <v>3.072667660334811E-3</v>
      </c>
      <c r="M53" s="129">
        <f>_xll.qlSimpleQuoteSetValue(D53,ROUND(L53,6),EvaluationDate)</f>
        <v>0</v>
      </c>
      <c r="N53" s="111"/>
    </row>
    <row r="54" spans="1:14" x14ac:dyDescent="0.2">
      <c r="A54" s="113">
        <v>15</v>
      </c>
      <c r="B54" s="159" t="str">
        <f t="shared" si="5"/>
        <v>15x27F</v>
      </c>
      <c r="C54" s="160" t="str">
        <f t="shared" si="6"/>
        <v>EUR15x27F_SYNTH1Y_Quote</v>
      </c>
      <c r="D54" s="160" t="str">
        <f>_xll.qlSimpleQuote(C54,,RateTickValue,Permanent,Trigger,ObjectOverwrite)</f>
        <v>EUR15x27F_SYNTH1Y_Quote#0000</v>
      </c>
      <c r="E54" s="164" t="str">
        <f>_xll.ohRangeRetrieveError(D54)</f>
        <v/>
      </c>
      <c r="F54" s="10">
        <v>15</v>
      </c>
      <c r="G54" s="153" t="str">
        <f t="shared" si="7"/>
        <v>15x27F</v>
      </c>
      <c r="H54" s="154">
        <f>SynthFra!G18</f>
        <v>3.229056330368667E-3</v>
      </c>
      <c r="I54" s="19"/>
      <c r="J54" s="136">
        <v>1.8203716252033035E-3</v>
      </c>
      <c r="K54" s="19"/>
      <c r="L54" s="128">
        <v>3.229056330368667E-3</v>
      </c>
      <c r="M54" s="129">
        <f>_xll.qlSimpleQuoteSetValue(D54,ROUND(L54,6),EvaluationDate)</f>
        <v>0</v>
      </c>
      <c r="N54" s="111"/>
    </row>
    <row r="55" spans="1:14" x14ac:dyDescent="0.2">
      <c r="A55" s="113">
        <v>16</v>
      </c>
      <c r="B55" s="159" t="str">
        <f t="shared" si="5"/>
        <v>16x28F</v>
      </c>
      <c r="C55" s="160" t="str">
        <f t="shared" si="6"/>
        <v>EUR16x28F_SYNTH1Y_Quote</v>
      </c>
      <c r="D55" s="160" t="str">
        <f>_xll.qlSimpleQuote(C55,,RateTickValue,Permanent,Trigger,ObjectOverwrite)</f>
        <v>EUR16x28F_SYNTH1Y_Quote#0000</v>
      </c>
      <c r="E55" s="164" t="str">
        <f>_xll.ohRangeRetrieveError(D55)</f>
        <v/>
      </c>
      <c r="F55" s="10">
        <v>16</v>
      </c>
      <c r="G55" s="153" t="str">
        <f t="shared" si="7"/>
        <v>16x28F</v>
      </c>
      <c r="H55" s="154">
        <f>SynthFra!G19</f>
        <v>3.3966146101621275E-3</v>
      </c>
      <c r="I55" s="19"/>
      <c r="J55" s="136">
        <v>1.8842824044602055E-3</v>
      </c>
      <c r="K55" s="19"/>
      <c r="L55" s="128">
        <v>3.3966146101621275E-3</v>
      </c>
      <c r="M55" s="129">
        <f>_xll.qlSimpleQuoteSetValue(D55,ROUND(L55,6),EvaluationDate)</f>
        <v>0</v>
      </c>
      <c r="N55" s="111"/>
    </row>
    <row r="56" spans="1:14" x14ac:dyDescent="0.2">
      <c r="A56" s="113">
        <v>17</v>
      </c>
      <c r="B56" s="159" t="str">
        <f t="shared" si="5"/>
        <v>17x29F</v>
      </c>
      <c r="C56" s="160" t="str">
        <f t="shared" si="6"/>
        <v>EUR17x29F_SYNTH1Y_Quote</v>
      </c>
      <c r="D56" s="160" t="str">
        <f>_xll.qlSimpleQuote(C56,,RateTickValue,Permanent,Trigger,ObjectOverwrite)</f>
        <v>EUR17x29F_SYNTH1Y_Quote#0000</v>
      </c>
      <c r="E56" s="164" t="str">
        <f>_xll.ohRangeRetrieveError(D56)</f>
        <v/>
      </c>
      <c r="F56" s="10">
        <v>17</v>
      </c>
      <c r="G56" s="153" t="str">
        <f t="shared" si="7"/>
        <v>17x29F</v>
      </c>
      <c r="H56" s="154">
        <f>SynthFra!G20</f>
        <v>3.5967000451229605E-3</v>
      </c>
      <c r="I56" s="19"/>
      <c r="J56" s="136">
        <v>1.9620591824041763E-3</v>
      </c>
      <c r="K56" s="19"/>
      <c r="L56" s="128">
        <v>3.5967000451229605E-3</v>
      </c>
      <c r="M56" s="129">
        <f>_xll.qlSimpleQuoteSetValue(D56,ROUND(L56,6),EvaluationDate)</f>
        <v>0</v>
      </c>
      <c r="N56" s="111"/>
    </row>
    <row r="57" spans="1:14" x14ac:dyDescent="0.2">
      <c r="A57" s="113">
        <v>18</v>
      </c>
      <c r="B57" s="159" t="str">
        <f t="shared" si="5"/>
        <v>18x30F</v>
      </c>
      <c r="C57" s="160" t="str">
        <f t="shared" si="6"/>
        <v>EUR18x30F_SYNTH1Y_Quote</v>
      </c>
      <c r="D57" s="160" t="str">
        <f>_xll.qlSimpleQuote(C57,,RateTickValue,Permanent,Trigger,ObjectOverwrite)</f>
        <v>EUR18x30F_SYNTH1Y_Quote#0000</v>
      </c>
      <c r="E57" s="164" t="str">
        <f>_xll.ohRangeRetrieveError(D57)</f>
        <v/>
      </c>
      <c r="F57" s="10">
        <v>18</v>
      </c>
      <c r="G57" s="153" t="str">
        <f t="shared" si="7"/>
        <v>18x30F</v>
      </c>
      <c r="H57" s="154">
        <f>SynthFra!G21</f>
        <v>3.7820581639375944E-3</v>
      </c>
      <c r="I57" s="19"/>
      <c r="J57" s="136">
        <v>2.0525920677748541E-3</v>
      </c>
      <c r="K57" s="19"/>
      <c r="L57" s="128">
        <v>3.7820581639375944E-3</v>
      </c>
      <c r="M57" s="129">
        <f>_xll.qlSimpleQuoteSetValue(D57,ROUND(L57,6),EvaluationDate)</f>
        <v>0</v>
      </c>
      <c r="N57" s="111"/>
    </row>
    <row r="58" spans="1:14" x14ac:dyDescent="0.2">
      <c r="A58" s="113">
        <v>19</v>
      </c>
      <c r="B58" s="159" t="str">
        <f t="shared" si="5"/>
        <v>19x31F</v>
      </c>
      <c r="C58" s="160" t="str">
        <f t="shared" si="6"/>
        <v>EUR19x31F_SYNTH1Y_Quote</v>
      </c>
      <c r="D58" s="160" t="str">
        <f>_xll.qlSimpleQuote(C58,,RateTickValue,Permanent,Trigger,ObjectOverwrite)</f>
        <v>EUR19x31F_SYNTH1Y_Quote#0000</v>
      </c>
      <c r="E58" s="164" t="str">
        <f>_xll.ohRangeRetrieveError(D58)</f>
        <v/>
      </c>
      <c r="F58" s="10">
        <v>19</v>
      </c>
      <c r="G58" s="153" t="str">
        <f t="shared" si="7"/>
        <v>19x31F</v>
      </c>
      <c r="H58" s="154">
        <f>SynthFra!G22</f>
        <v>3.9710670312247173E-3</v>
      </c>
      <c r="I58" s="19"/>
      <c r="J58" s="136">
        <v>2.1415420157302706E-3</v>
      </c>
      <c r="K58" s="19"/>
      <c r="L58" s="128">
        <v>3.9710670312247173E-3</v>
      </c>
      <c r="M58" s="129">
        <f>_xll.qlSimpleQuoteSetValue(D58,ROUND(L58,6),EvaluationDate)</f>
        <v>0</v>
      </c>
      <c r="N58" s="111"/>
    </row>
    <row r="59" spans="1:14" x14ac:dyDescent="0.2">
      <c r="A59" s="113">
        <v>20</v>
      </c>
      <c r="B59" s="159" t="str">
        <f t="shared" si="5"/>
        <v>20x32F</v>
      </c>
      <c r="C59" s="160" t="str">
        <f t="shared" si="6"/>
        <v>EUR20x32F_SYNTH1Y_Quote</v>
      </c>
      <c r="D59" s="160" t="str">
        <f>_xll.qlSimpleQuote(C59,,RateTickValue,Permanent,Trigger,ObjectOverwrite)</f>
        <v>EUR20x32F_SYNTH1Y_Quote#0000</v>
      </c>
      <c r="E59" s="164" t="str">
        <f>_xll.ohRangeRetrieveError(D59)</f>
        <v/>
      </c>
      <c r="F59" s="10">
        <v>20</v>
      </c>
      <c r="G59" s="153" t="str">
        <f t="shared" si="7"/>
        <v>20x32F</v>
      </c>
      <c r="H59" s="154">
        <f>SynthFra!G23</f>
        <v>4.2180317011112538E-3</v>
      </c>
      <c r="I59" s="19"/>
      <c r="J59" s="136">
        <v>2.239062995801116E-3</v>
      </c>
      <c r="K59" s="19"/>
      <c r="L59" s="128">
        <v>4.2180317011112538E-3</v>
      </c>
      <c r="M59" s="129">
        <f>_xll.qlSimpleQuoteSetValue(D59,ROUND(L59,6),EvaluationDate)</f>
        <v>0</v>
      </c>
      <c r="N59" s="111"/>
    </row>
    <row r="60" spans="1:14" x14ac:dyDescent="0.2">
      <c r="A60" s="113">
        <v>21</v>
      </c>
      <c r="B60" s="159" t="str">
        <f t="shared" si="5"/>
        <v>21x33F</v>
      </c>
      <c r="C60" s="160" t="str">
        <f t="shared" si="6"/>
        <v>EUR21x33F_SYNTH1Y_Quote</v>
      </c>
      <c r="D60" s="160" t="str">
        <f>_xll.qlSimpleQuote(C60,,RateTickValue,Permanent,Trigger,ObjectOverwrite)</f>
        <v>EUR21x33F_SYNTH1Y_Quote#0000</v>
      </c>
      <c r="E60" s="164" t="str">
        <f>_xll.ohRangeRetrieveError(D60)</f>
        <v/>
      </c>
      <c r="F60" s="10">
        <v>21</v>
      </c>
      <c r="G60" s="153" t="str">
        <f t="shared" si="7"/>
        <v>21x33F</v>
      </c>
      <c r="H60" s="154">
        <f>SynthFra!G24</f>
        <v>4.4435800760123934E-3</v>
      </c>
      <c r="I60" s="19"/>
      <c r="J60" s="136">
        <v>2.3413834432000026E-3</v>
      </c>
      <c r="K60" s="19"/>
      <c r="L60" s="128">
        <v>4.4435800760123934E-3</v>
      </c>
      <c r="M60" s="129">
        <f>_xll.qlSimpleQuoteSetValue(D60,ROUND(L60,6),EvaluationDate)</f>
        <v>0</v>
      </c>
      <c r="N60" s="111"/>
    </row>
    <row r="61" spans="1:14" x14ac:dyDescent="0.2">
      <c r="A61" s="113">
        <v>22</v>
      </c>
      <c r="B61" s="159" t="str">
        <f t="shared" si="5"/>
        <v>22x34F</v>
      </c>
      <c r="C61" s="160" t="str">
        <f t="shared" si="6"/>
        <v>EUR22x34F_SYNTH1Y_Quote</v>
      </c>
      <c r="D61" s="160" t="str">
        <f>_xll.qlSimpleQuote(C61,,RateTickValue,Permanent,Trigger,ObjectOverwrite)</f>
        <v>EUR22x34F_SYNTH1Y_Quote#0000</v>
      </c>
      <c r="E61" s="164" t="str">
        <f>_xll.ohRangeRetrieveError(D61)</f>
        <v/>
      </c>
      <c r="F61" s="10">
        <v>22</v>
      </c>
      <c r="G61" s="153" t="str">
        <f t="shared" si="7"/>
        <v>22x34F</v>
      </c>
      <c r="H61" s="154">
        <f>SynthFra!G25</f>
        <v>4.6921045654283334E-3</v>
      </c>
      <c r="I61" s="19"/>
      <c r="J61" s="136">
        <v>2.4430084796921575E-3</v>
      </c>
      <c r="K61" s="19"/>
      <c r="L61" s="128">
        <v>4.6921045654283334E-3</v>
      </c>
      <c r="M61" s="129">
        <f>_xll.qlSimpleQuoteSetValue(D61,ROUND(L61,6),EvaluationDate)</f>
        <v>0</v>
      </c>
      <c r="N61" s="111"/>
    </row>
    <row r="62" spans="1:14" x14ac:dyDescent="0.2">
      <c r="A62" s="113">
        <v>23</v>
      </c>
      <c r="B62" s="159" t="str">
        <f t="shared" si="5"/>
        <v>23x35F</v>
      </c>
      <c r="C62" s="160" t="str">
        <f t="shared" si="6"/>
        <v>EUR23x35F_SYNTH1Y_Quote</v>
      </c>
      <c r="D62" s="160" t="str">
        <f>_xll.qlSimpleQuote(C62,,RateTickValue,Permanent,Trigger,ObjectOverwrite)</f>
        <v>EUR23x35F_SYNTH1Y_Quote#0000</v>
      </c>
      <c r="E62" s="164" t="str">
        <f>_xll.ohRangeRetrieveError(D62)</f>
        <v/>
      </c>
      <c r="F62" s="10">
        <v>23</v>
      </c>
      <c r="G62" s="153" t="str">
        <f t="shared" si="7"/>
        <v>23x35F</v>
      </c>
      <c r="H62" s="154">
        <f>SynthFra!G26</f>
        <v>4.9592574703317873E-3</v>
      </c>
      <c r="I62" s="19"/>
      <c r="J62" s="136">
        <v>2.5460698839072883E-3</v>
      </c>
      <c r="K62" s="19"/>
      <c r="L62" s="128">
        <v>4.9592574703317873E-3</v>
      </c>
      <c r="M62" s="129">
        <f>_xll.qlSimpleQuoteSetValue(D62,ROUND(L62,6),EvaluationDate)</f>
        <v>0</v>
      </c>
      <c r="N62" s="111"/>
    </row>
    <row r="63" spans="1:14" x14ac:dyDescent="0.2">
      <c r="A63" s="114">
        <v>24</v>
      </c>
      <c r="B63" s="161" t="str">
        <f t="shared" si="5"/>
        <v>24x36F</v>
      </c>
      <c r="C63" s="162" t="str">
        <f t="shared" si="6"/>
        <v>EUR24x36F_SYNTH1Y_Quote</v>
      </c>
      <c r="D63" s="162" t="str">
        <f>_xll.qlSimpleQuote(C63,,RateTickValue,Permanent,Trigger,ObjectOverwrite)</f>
        <v>EUR24x36F_SYNTH1Y_Quote#0000</v>
      </c>
      <c r="E63" s="165" t="str">
        <f>_xll.ohRangeRetrieveError(D63)</f>
        <v/>
      </c>
      <c r="F63" s="10">
        <v>24</v>
      </c>
      <c r="G63" s="155" t="str">
        <f t="shared" ref="G63" si="8">F63&amp;"x"&amp;(F63+Months12M)&amp;"F"</f>
        <v>24x36F</v>
      </c>
      <c r="H63" s="156">
        <f>SynthFra!G27</f>
        <v>5.2300000000000003E-3</v>
      </c>
      <c r="I63" s="19"/>
      <c r="J63" s="137">
        <v>2.5460698839072883E-3</v>
      </c>
      <c r="K63" s="19"/>
      <c r="L63" s="130">
        <v>5.2300000000000003E-3</v>
      </c>
      <c r="M63" s="131">
        <f>_xll.qlSimpleQuoteSetValue(D63,ROUND(L63,6),EvaluationDate)</f>
        <v>0</v>
      </c>
      <c r="N63" s="111"/>
    </row>
    <row r="64" spans="1:14" x14ac:dyDescent="0.2">
      <c r="A64" s="115"/>
      <c r="B64" s="116"/>
      <c r="C64" s="117"/>
      <c r="D64" s="117"/>
      <c r="E64" s="117"/>
      <c r="F64" s="118"/>
      <c r="G64" s="118"/>
      <c r="H64" s="118"/>
      <c r="I64" s="118"/>
      <c r="J64" s="118"/>
      <c r="K64" s="118"/>
      <c r="L64" s="118"/>
      <c r="M64" s="118"/>
      <c r="N64" s="11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2015-06-03T15:49:26Z</dcterms:modified>
</cp:coreProperties>
</file>