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 firstSheet="1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L3" i="33" l="1" a="1"/>
  <c r="G63" i="33" l="1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7" i="45"/>
  <c r="K8" i="45"/>
  <c r="K9" i="45"/>
  <c r="L9" i="45" s="1"/>
  <c r="L8" i="45"/>
  <c r="K4" i="45"/>
  <c r="L4" i="45" s="1"/>
  <c r="L1" i="45"/>
  <c r="K5" i="45"/>
  <c r="L5" i="45" s="1"/>
  <c r="L7" i="45"/>
  <c r="K6" i="45"/>
  <c r="L6" i="45"/>
  <c r="D6" i="40" l="1"/>
  <c r="D5" i="40"/>
  <c r="A7" i="40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G34" i="40"/>
  <c r="E9" i="52"/>
  <c r="F9" i="52" s="1"/>
  <c r="H29" i="40"/>
  <c r="E9" i="51"/>
  <c r="H25" i="51"/>
  <c r="F9" i="51"/>
  <c r="E16" i="52"/>
  <c r="F16" i="52" s="1"/>
  <c r="E8" i="52"/>
  <c r="F8" i="52" s="1"/>
  <c r="H28" i="52"/>
  <c r="H24" i="52"/>
  <c r="G30" i="40"/>
  <c r="G27" i="51"/>
  <c r="G29" i="52"/>
  <c r="G33" i="52"/>
  <c r="R8" i="45"/>
  <c r="U12" i="45"/>
  <c r="H29" i="52"/>
  <c r="G27" i="40"/>
  <c r="T14" i="45"/>
  <c r="H28" i="40"/>
  <c r="H33" i="52"/>
  <c r="G28" i="52"/>
  <c r="U14" i="45"/>
  <c r="E7" i="51"/>
  <c r="F7" i="51" s="1"/>
  <c r="H23" i="52"/>
  <c r="G29" i="40"/>
  <c r="G25" i="52"/>
  <c r="G26" i="51"/>
  <c r="E10" i="51"/>
  <c r="F10" i="51" s="1"/>
  <c r="G32" i="52"/>
  <c r="E10" i="52"/>
  <c r="H30" i="40"/>
  <c r="G20" i="52"/>
  <c r="M8" i="52"/>
  <c r="H25" i="40"/>
  <c r="G31" i="52"/>
  <c r="G25" i="40"/>
  <c r="M9" i="52"/>
  <c r="T11" i="45"/>
  <c r="E13" i="52"/>
  <c r="F13" i="52" s="1"/>
  <c r="R7" i="45"/>
  <c r="H27" i="40"/>
  <c r="G25" i="51"/>
  <c r="H27" i="51"/>
  <c r="G24" i="52"/>
  <c r="H35" i="52"/>
  <c r="E6" i="51"/>
  <c r="G35" i="52"/>
  <c r="G26" i="40"/>
  <c r="H22" i="52"/>
  <c r="E12" i="52"/>
  <c r="L10" i="51"/>
  <c r="T13" i="45"/>
  <c r="G23" i="52"/>
  <c r="G33" i="40"/>
  <c r="E6" i="52"/>
  <c r="H26" i="51"/>
  <c r="E5" i="51"/>
  <c r="F5" i="51" s="1"/>
  <c r="G34" i="52"/>
  <c r="G29" i="51"/>
  <c r="H31" i="52"/>
  <c r="H32" i="52"/>
  <c r="H27" i="52"/>
  <c r="E7" i="52"/>
  <c r="E14" i="52"/>
  <c r="F14" i="52" s="1"/>
  <c r="L5" i="51"/>
  <c r="H29" i="51"/>
  <c r="H28" i="51"/>
  <c r="H33" i="40"/>
  <c r="T12" i="45"/>
  <c r="G21" i="52"/>
  <c r="M14" i="52"/>
  <c r="R5" i="45"/>
  <c r="G28" i="40"/>
  <c r="M16" i="52"/>
  <c r="H31" i="51"/>
  <c r="E17" i="52"/>
  <c r="H34" i="52"/>
  <c r="E11" i="52"/>
  <c r="H34" i="40"/>
  <c r="U11" i="45"/>
  <c r="G31" i="51"/>
  <c r="H21" i="52"/>
  <c r="H25" i="52"/>
  <c r="L7" i="51"/>
  <c r="L9" i="51"/>
  <c r="H26" i="40"/>
  <c r="G27" i="52"/>
  <c r="G30" i="51"/>
  <c r="M13" i="52"/>
  <c r="H20" i="52"/>
  <c r="H32" i="40"/>
  <c r="U15" i="45"/>
  <c r="U13" i="45"/>
  <c r="G30" i="52"/>
  <c r="G32" i="40"/>
  <c r="T15" i="45"/>
  <c r="R6" i="45"/>
  <c r="G26" i="52"/>
  <c r="G22" i="52"/>
  <c r="G28" i="51"/>
  <c r="G31" i="40"/>
  <c r="H26" i="52"/>
  <c r="H30" i="52"/>
  <c r="E5" i="52"/>
  <c r="C11" i="51"/>
  <c r="E15" i="52"/>
  <c r="H30" i="51"/>
  <c r="E8" i="51"/>
  <c r="H31" i="40"/>
  <c r="M10" i="52"/>
  <c r="F10" i="52"/>
  <c r="L6" i="51"/>
  <c r="F6" i="51"/>
  <c r="M12" i="52"/>
  <c r="F12" i="52"/>
  <c r="M6" i="52"/>
  <c r="F6" i="52"/>
  <c r="M7" i="52"/>
  <c r="F7" i="52"/>
  <c r="M17" i="52"/>
  <c r="F17" i="52"/>
  <c r="M11" i="52"/>
  <c r="F11" i="52"/>
  <c r="M5" i="52"/>
  <c r="F5" i="52"/>
  <c r="C12" i="51"/>
  <c r="E11" i="51"/>
  <c r="M15" i="52"/>
  <c r="F15" i="52"/>
  <c r="L8" i="51"/>
  <c r="F8" i="51"/>
  <c r="C13" i="51"/>
  <c r="E12" i="51"/>
  <c r="L11" i="51"/>
  <c r="F11" i="51"/>
  <c r="E13" i="51"/>
  <c r="C14" i="51"/>
  <c r="L12" i="51"/>
  <c r="F12" i="51"/>
  <c r="L13" i="51"/>
  <c r="F13" i="51"/>
  <c r="E14" i="51"/>
  <c r="C15" i="51"/>
  <c r="L14" i="51"/>
  <c r="F14" i="51"/>
  <c r="E15" i="51"/>
  <c r="C16" i="51"/>
  <c r="L15" i="51"/>
  <c r="F15" i="51"/>
  <c r="E16" i="51"/>
  <c r="C17" i="51"/>
  <c r="L16" i="51"/>
  <c r="F16" i="51"/>
  <c r="E17" i="51"/>
  <c r="C18" i="51"/>
  <c r="L17" i="51"/>
  <c r="F17" i="51"/>
  <c r="C19" i="51"/>
  <c r="E18" i="51"/>
  <c r="E19" i="51"/>
  <c r="C20" i="51"/>
  <c r="L18" i="51"/>
  <c r="F18" i="51"/>
  <c r="L19" i="51"/>
  <c r="F19" i="51"/>
  <c r="E20" i="51"/>
  <c r="C21" i="51"/>
  <c r="L20" i="51"/>
  <c r="F20" i="51"/>
  <c r="C22" i="51"/>
  <c r="E22" i="51" s="1"/>
  <c r="E21" i="51"/>
  <c r="L22" i="51"/>
  <c r="F22" i="51"/>
  <c r="L21" i="51"/>
  <c r="F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Z4" i="45"/>
  <c r="F4" i="51"/>
  <c r="Z3" i="45"/>
  <c r="L3" i="51"/>
  <c r="M4" i="52"/>
  <c r="F3" i="51"/>
  <c r="F4" i="52"/>
  <c r="L4" i="40"/>
  <c r="M3" i="52"/>
  <c r="F3" i="52"/>
  <c r="L4" i="51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62" i="33"/>
  <c r="D44" i="33"/>
  <c r="D61" i="33"/>
  <c r="D57" i="33"/>
  <c r="D49" i="33"/>
  <c r="D42" i="33"/>
  <c r="D46" i="33"/>
  <c r="D54" i="33"/>
  <c r="D51" i="33"/>
  <c r="D47" i="33"/>
  <c r="D53" i="33"/>
  <c r="D48" i="33"/>
  <c r="D55" i="33"/>
  <c r="D58" i="33"/>
  <c r="D52" i="33"/>
  <c r="D41" i="33"/>
  <c r="D63" i="33"/>
  <c r="D60" i="33"/>
  <c r="D45" i="33"/>
  <c r="D50" i="33"/>
  <c r="D59" i="33"/>
  <c r="D56" i="33"/>
  <c r="D43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61" i="33"/>
  <c r="E50" i="33"/>
  <c r="E55" i="33"/>
  <c r="E57" i="33"/>
  <c r="E60" i="33"/>
  <c r="E62" i="33"/>
  <c r="E41" i="33"/>
  <c r="E56" i="33"/>
  <c r="E59" i="33"/>
  <c r="E49" i="33"/>
  <c r="E54" i="33"/>
  <c r="E46" i="33"/>
  <c r="E43" i="33"/>
  <c r="E48" i="33"/>
  <c r="E63" i="33"/>
  <c r="E51" i="33"/>
  <c r="E52" i="33"/>
  <c r="E44" i="33"/>
  <c r="E58" i="33"/>
  <c r="E47" i="33"/>
  <c r="E53" i="33"/>
  <c r="E45" i="33"/>
  <c r="E42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D14" i="33"/>
  <c r="D8" i="33"/>
  <c r="D37" i="33"/>
  <c r="D22" i="33"/>
  <c r="D20" i="33"/>
  <c r="E14" i="40"/>
  <c r="E16" i="40"/>
  <c r="D3" i="33"/>
  <c r="C12" i="35"/>
  <c r="D38" i="33"/>
  <c r="C23" i="35"/>
  <c r="D23" i="35"/>
  <c r="D36" i="33"/>
  <c r="D35" i="33"/>
  <c r="D11" i="33"/>
  <c r="C21" i="35"/>
  <c r="D21" i="35" s="1"/>
  <c r="C22" i="35"/>
  <c r="D34" i="33"/>
  <c r="D25" i="33"/>
  <c r="E25" i="33" s="1"/>
  <c r="C3" i="35"/>
  <c r="C7" i="35"/>
  <c r="D16" i="33"/>
  <c r="D4" i="33"/>
  <c r="B12" i="35"/>
  <c r="E22" i="40"/>
  <c r="E20" i="40"/>
  <c r="C20" i="35"/>
  <c r="B20" i="35" s="1"/>
  <c r="F3" i="40"/>
  <c r="C16" i="35"/>
  <c r="D16" i="35" s="1"/>
  <c r="D6" i="33"/>
  <c r="D26" i="33"/>
  <c r="E11" i="40"/>
  <c r="D24" i="33"/>
  <c r="D30" i="33"/>
  <c r="E8" i="40"/>
  <c r="D19" i="33"/>
  <c r="C27" i="35"/>
  <c r="C17" i="35"/>
  <c r="B17" i="35" s="1"/>
  <c r="C11" i="35"/>
  <c r="D11" i="35" s="1"/>
  <c r="D33" i="33"/>
  <c r="C13" i="35"/>
  <c r="B7" i="35"/>
  <c r="K3" i="45"/>
  <c r="C18" i="35"/>
  <c r="B18" i="35" s="1"/>
  <c r="D5" i="33"/>
  <c r="G13" i="45" a="1"/>
  <c r="D13" i="33"/>
  <c r="D18" i="35"/>
  <c r="D31" i="33"/>
  <c r="C24" i="35"/>
  <c r="D24" i="35" s="1"/>
  <c r="D27" i="33"/>
  <c r="C10" i="35"/>
  <c r="C25" i="35"/>
  <c r="E6" i="40"/>
  <c r="D18" i="33"/>
  <c r="D23" i="33"/>
  <c r="E7" i="40"/>
  <c r="F6" i="40"/>
  <c r="B11" i="35"/>
  <c r="B23" i="35"/>
  <c r="D7" i="33"/>
  <c r="D9" i="33"/>
  <c r="D20" i="35"/>
  <c r="D17" i="35"/>
  <c r="D12" i="35"/>
  <c r="F4" i="40"/>
  <c r="E12" i="40"/>
  <c r="F12" i="40" s="1"/>
  <c r="C6" i="35"/>
  <c r="D6" i="35" s="1"/>
  <c r="D12" i="33"/>
  <c r="E17" i="40"/>
  <c r="F17" i="40" s="1"/>
  <c r="B3" i="35"/>
  <c r="D10" i="33"/>
  <c r="B1" i="29"/>
  <c r="E9" i="40"/>
  <c r="E10" i="40"/>
  <c r="F10" i="40" s="1"/>
  <c r="C14" i="35"/>
  <c r="D10" i="35"/>
  <c r="D7" i="35"/>
  <c r="E13" i="40"/>
  <c r="F13" i="40" s="1"/>
  <c r="D39" i="33"/>
  <c r="C9" i="35"/>
  <c r="F7" i="40"/>
  <c r="B22" i="35"/>
  <c r="B9" i="35"/>
  <c r="E21" i="40"/>
  <c r="E18" i="40"/>
  <c r="F18" i="40" s="1"/>
  <c r="D29" i="33"/>
  <c r="F21" i="40"/>
  <c r="D32" i="33"/>
  <c r="F8" i="40"/>
  <c r="C8" i="35"/>
  <c r="B16" i="35"/>
  <c r="B10" i="35"/>
  <c r="E5" i="40"/>
  <c r="F22" i="40"/>
  <c r="C26" i="35"/>
  <c r="D3" i="35"/>
  <c r="E15" i="40"/>
  <c r="D15" i="33"/>
  <c r="F9" i="40"/>
  <c r="D40" i="33"/>
  <c r="B6" i="35"/>
  <c r="D28" i="33"/>
  <c r="C5" i="35"/>
  <c r="C4" i="35"/>
  <c r="D4" i="35" s="1"/>
  <c r="F14" i="40"/>
  <c r="D22" i="35"/>
  <c r="D9" i="35"/>
  <c r="E19" i="40"/>
  <c r="F19" i="40" s="1"/>
  <c r="D17" i="33"/>
  <c r="F5" i="40"/>
  <c r="C19" i="35"/>
  <c r="B24" i="35"/>
  <c r="D21" i="33"/>
  <c r="C15" i="35"/>
  <c r="L3" i="45"/>
  <c r="B4" i="35"/>
  <c r="B21" i="35"/>
  <c r="D27" i="35"/>
  <c r="B27" i="35"/>
  <c r="D13" i="35"/>
  <c r="B13" i="35"/>
  <c r="D25" i="35"/>
  <c r="B25" i="35"/>
  <c r="B14" i="35"/>
  <c r="D14" i="35"/>
  <c r="D8" i="35"/>
  <c r="B8" i="35"/>
  <c r="D26" i="35"/>
  <c r="B26" i="35"/>
  <c r="L15" i="40"/>
  <c r="F15" i="40"/>
  <c r="D5" i="35"/>
  <c r="B5" i="35"/>
  <c r="B19" i="35"/>
  <c r="D19" i="35"/>
  <c r="D15" i="35"/>
  <c r="B15" i="35"/>
  <c r="G20" i="45" l="1"/>
  <c r="G16" i="45"/>
  <c r="G17" i="45"/>
  <c r="G14" i="45"/>
  <c r="G13" i="45"/>
  <c r="G18" i="45"/>
  <c r="G19" i="45"/>
  <c r="G21" i="45"/>
  <c r="G15" i="45"/>
  <c r="L20" i="45"/>
  <c r="L18" i="45"/>
  <c r="J15" i="45"/>
  <c r="I14" i="45"/>
  <c r="H20" i="45"/>
  <c r="L9" i="40"/>
  <c r="E22" i="33"/>
  <c r="E36" i="33"/>
  <c r="E31" i="33"/>
  <c r="E28" i="33"/>
  <c r="E5" i="33"/>
  <c r="Z6" i="45"/>
  <c r="J16" i="45"/>
  <c r="E21" i="33"/>
  <c r="H17" i="45"/>
  <c r="K13" i="45"/>
  <c r="E26" i="33"/>
  <c r="L8" i="40"/>
  <c r="J17" i="45"/>
  <c r="E7" i="33"/>
  <c r="L21" i="45"/>
  <c r="L17" i="45"/>
  <c r="K19" i="45"/>
  <c r="H16" i="45"/>
  <c r="J14" i="45"/>
  <c r="I20" i="45"/>
  <c r="L20" i="40"/>
  <c r="E24" i="33"/>
  <c r="E40" i="33"/>
  <c r="E16" i="33"/>
  <c r="E20" i="33"/>
  <c r="F11" i="40"/>
  <c r="Z7" i="45"/>
  <c r="H18" i="45"/>
  <c r="L18" i="40"/>
  <c r="E30" i="33"/>
  <c r="E37" i="33"/>
  <c r="E32" i="33"/>
  <c r="J21" i="45"/>
  <c r="H19" i="45"/>
  <c r="L6" i="40"/>
  <c r="H15" i="45"/>
  <c r="E19" i="33"/>
  <c r="E15" i="33"/>
  <c r="K21" i="45"/>
  <c r="K17" i="45"/>
  <c r="L19" i="45"/>
  <c r="I16" i="45"/>
  <c r="H13" i="45"/>
  <c r="J20" i="45"/>
  <c r="E17" i="33"/>
  <c r="F20" i="40"/>
  <c r="L19" i="40"/>
  <c r="L13" i="40"/>
  <c r="L16" i="40"/>
  <c r="L11" i="40"/>
  <c r="H21" i="45"/>
  <c r="F16" i="40"/>
  <c r="L22" i="40"/>
  <c r="L12" i="40"/>
  <c r="I17" i="45"/>
  <c r="E39" i="33"/>
  <c r="E38" i="33"/>
  <c r="L13" i="45"/>
  <c r="L21" i="40"/>
  <c r="K15" i="45"/>
  <c r="K14" i="45"/>
  <c r="E4" i="33"/>
  <c r="I19" i="45"/>
  <c r="L15" i="45"/>
  <c r="L14" i="45"/>
  <c r="I21" i="45"/>
  <c r="I18" i="45"/>
  <c r="E33" i="33"/>
  <c r="L17" i="40"/>
  <c r="K20" i="45"/>
  <c r="K18" i="45"/>
  <c r="I15" i="45"/>
  <c r="H14" i="45"/>
  <c r="J19" i="45"/>
  <c r="L10" i="40"/>
  <c r="E27" i="33"/>
  <c r="E6" i="33"/>
  <c r="E35" i="33"/>
  <c r="E29" i="33"/>
  <c r="L14" i="40"/>
  <c r="E23" i="33"/>
  <c r="Z8" i="45"/>
  <c r="I13" i="45"/>
  <c r="L7" i="40"/>
  <c r="J13" i="45"/>
  <c r="E3" i="33"/>
  <c r="K16" i="45"/>
  <c r="J18" i="45"/>
  <c r="L5" i="40"/>
  <c r="L16" i="45"/>
  <c r="E34" i="33"/>
  <c r="E18" i="33"/>
  <c r="D34" i="29"/>
  <c r="D35" i="29"/>
  <c r="D28" i="29"/>
  <c r="S4" i="45"/>
  <c r="C38" i="29"/>
  <c r="C37" i="29"/>
  <c r="S8" i="45"/>
  <c r="S7" i="45"/>
  <c r="S6" i="45"/>
  <c r="S3" i="45"/>
  <c r="S5" i="45"/>
  <c r="D37" i="29"/>
  <c r="D38" i="29"/>
  <c r="I19" i="29" l="1"/>
  <c r="I20" i="29"/>
  <c r="T5" i="45"/>
  <c r="T8" i="45"/>
  <c r="T6" i="45"/>
  <c r="T7" i="45"/>
  <c r="T3" i="45"/>
  <c r="M12" i="45" a="1"/>
  <c r="N18" i="40"/>
  <c r="H7" i="51"/>
  <c r="H6" i="40"/>
  <c r="G13" i="51"/>
  <c r="H4" i="40"/>
  <c r="G17" i="40"/>
  <c r="G6" i="40"/>
  <c r="H18" i="40"/>
  <c r="H8" i="40"/>
  <c r="N11" i="40"/>
  <c r="N7" i="40"/>
  <c r="N10" i="51"/>
  <c r="N20" i="51"/>
  <c r="H22" i="51"/>
  <c r="H19" i="51"/>
  <c r="H15" i="51"/>
  <c r="G15" i="51"/>
  <c r="G9" i="51"/>
  <c r="N9" i="51"/>
  <c r="N11" i="51"/>
  <c r="G5" i="51"/>
  <c r="H7" i="40"/>
  <c r="H14" i="51"/>
  <c r="N10" i="40"/>
  <c r="G20" i="40"/>
  <c r="N6" i="40"/>
  <c r="N21" i="51"/>
  <c r="N17" i="51"/>
  <c r="H21" i="51"/>
  <c r="H10" i="51"/>
  <c r="G22" i="51"/>
  <c r="G20" i="51"/>
  <c r="G7" i="51"/>
  <c r="N12" i="51"/>
  <c r="N14" i="40"/>
  <c r="H17" i="40"/>
  <c r="N13" i="51"/>
  <c r="N15" i="51"/>
  <c r="H13" i="51"/>
  <c r="H17" i="51"/>
  <c r="G14" i="51"/>
  <c r="G18" i="51"/>
  <c r="G6" i="51"/>
  <c r="G14" i="40"/>
  <c r="N22" i="40"/>
  <c r="H11" i="51"/>
  <c r="H12" i="40"/>
  <c r="H16" i="40"/>
  <c r="H4" i="51"/>
  <c r="N17" i="40"/>
  <c r="H5" i="40"/>
  <c r="N4" i="40"/>
  <c r="G13" i="40"/>
  <c r="H15" i="40"/>
  <c r="G5" i="40"/>
  <c r="G12" i="40"/>
  <c r="H13" i="40"/>
  <c r="N20" i="40"/>
  <c r="N16" i="40"/>
  <c r="N22" i="51"/>
  <c r="N5" i="51"/>
  <c r="N19" i="51"/>
  <c r="H5" i="51"/>
  <c r="H9" i="51"/>
  <c r="G12" i="51"/>
  <c r="G16" i="51"/>
  <c r="G9" i="40"/>
  <c r="G8" i="51"/>
  <c r="H19" i="40"/>
  <c r="N8" i="51"/>
  <c r="H6" i="51"/>
  <c r="H9" i="40"/>
  <c r="N13" i="40"/>
  <c r="G7" i="40"/>
  <c r="N5" i="40"/>
  <c r="H14" i="40"/>
  <c r="H10" i="40"/>
  <c r="H22" i="40"/>
  <c r="G8" i="40"/>
  <c r="G15" i="40"/>
  <c r="N12" i="40"/>
  <c r="N8" i="40"/>
  <c r="N14" i="51"/>
  <c r="N16" i="51"/>
  <c r="N18" i="51"/>
  <c r="H20" i="51"/>
  <c r="H16" i="51"/>
  <c r="G19" i="51"/>
  <c r="G11" i="51"/>
  <c r="G14" i="52"/>
  <c r="G6" i="52"/>
  <c r="G8" i="52"/>
  <c r="G13" i="52"/>
  <c r="G12" i="52"/>
  <c r="G17" i="52"/>
  <c r="G9" i="52"/>
  <c r="G15" i="52"/>
  <c r="G11" i="52"/>
  <c r="G16" i="52"/>
  <c r="G5" i="52"/>
  <c r="G10" i="52"/>
  <c r="G7" i="52"/>
  <c r="H15" i="52"/>
  <c r="H5" i="52"/>
  <c r="H17" i="52"/>
  <c r="N7" i="52"/>
  <c r="N13" i="52"/>
  <c r="N5" i="52"/>
  <c r="N16" i="52"/>
  <c r="H14" i="52"/>
  <c r="H7" i="52"/>
  <c r="N15" i="52"/>
  <c r="N11" i="52"/>
  <c r="N6" i="52"/>
  <c r="H12" i="52"/>
  <c r="H10" i="52"/>
  <c r="H9" i="52"/>
  <c r="H16" i="52"/>
  <c r="N12" i="52"/>
  <c r="H13" i="52"/>
  <c r="H6" i="52"/>
  <c r="N14" i="52"/>
  <c r="N10" i="52"/>
  <c r="N17" i="52"/>
  <c r="H11" i="52"/>
  <c r="N9" i="52"/>
  <c r="N8" i="52"/>
  <c r="H8" i="52"/>
  <c r="U4" i="45"/>
  <c r="AA3" i="45"/>
  <c r="N4" i="52"/>
  <c r="H4" i="52"/>
  <c r="AA4" i="45"/>
  <c r="U5" i="45"/>
  <c r="AA5" i="45"/>
  <c r="E17" i="35"/>
  <c r="E12" i="35"/>
  <c r="E3" i="35"/>
  <c r="E22" i="35"/>
  <c r="E8" i="35"/>
  <c r="E16" i="35"/>
  <c r="E4" i="35"/>
  <c r="E20" i="35"/>
  <c r="E27" i="35"/>
  <c r="E25" i="35"/>
  <c r="E13" i="35"/>
  <c r="E26" i="35"/>
  <c r="E14" i="35"/>
  <c r="E15" i="35"/>
  <c r="E19" i="35"/>
  <c r="E21" i="35"/>
  <c r="E24" i="35"/>
  <c r="E18" i="35"/>
  <c r="E5" i="35"/>
  <c r="E7" i="35"/>
  <c r="E6" i="35"/>
  <c r="E11" i="35"/>
  <c r="E10" i="35"/>
  <c r="E23" i="35"/>
  <c r="E9" i="35"/>
  <c r="AA6" i="45"/>
  <c r="U8" i="45"/>
  <c r="U7" i="45"/>
  <c r="AA8" i="45"/>
  <c r="AA7" i="45"/>
  <c r="U6" i="45"/>
  <c r="G21" i="40"/>
  <c r="G21" i="51"/>
  <c r="N21" i="40"/>
  <c r="H18" i="51"/>
  <c r="G22" i="40"/>
  <c r="G16" i="40"/>
  <c r="G18" i="40"/>
  <c r="G10" i="40"/>
  <c r="N9" i="40"/>
  <c r="G19" i="40"/>
  <c r="G11" i="40"/>
  <c r="H11" i="40"/>
  <c r="H20" i="40"/>
  <c r="H21" i="40"/>
  <c r="N19" i="40"/>
  <c r="N15" i="40"/>
  <c r="N6" i="51"/>
  <c r="N7" i="51"/>
  <c r="N4" i="51"/>
  <c r="H12" i="51"/>
  <c r="H8" i="51"/>
  <c r="G17" i="51"/>
  <c r="G10" i="51"/>
  <c r="G4" i="51"/>
  <c r="G4" i="40"/>
  <c r="T4" i="45"/>
  <c r="G4" i="52"/>
  <c r="I4" i="52" l="1"/>
  <c r="V4" i="45"/>
  <c r="I4" i="40"/>
  <c r="I4" i="51"/>
  <c r="I10" i="51"/>
  <c r="I17" i="51"/>
  <c r="I11" i="40"/>
  <c r="I19" i="40"/>
  <c r="I10" i="40"/>
  <c r="I18" i="40"/>
  <c r="I16" i="40"/>
  <c r="I22" i="40"/>
  <c r="I21" i="51"/>
  <c r="I21" i="40"/>
  <c r="I7" i="52"/>
  <c r="I10" i="52"/>
  <c r="I5" i="52"/>
  <c r="I16" i="52"/>
  <c r="I11" i="52"/>
  <c r="I15" i="52"/>
  <c r="I9" i="52"/>
  <c r="I17" i="52"/>
  <c r="I12" i="52"/>
  <c r="I13" i="52"/>
  <c r="I8" i="52"/>
  <c r="I6" i="52"/>
  <c r="I14" i="52"/>
  <c r="I11" i="51"/>
  <c r="I19" i="51"/>
  <c r="I15" i="40"/>
  <c r="I8" i="40"/>
  <c r="I7" i="40"/>
  <c r="I8" i="51"/>
  <c r="I9" i="40"/>
  <c r="I16" i="51"/>
  <c r="I12" i="51"/>
  <c r="I12" i="40"/>
  <c r="I5" i="40"/>
  <c r="I13" i="40"/>
  <c r="I14" i="40"/>
  <c r="I6" i="51"/>
  <c r="I18" i="51"/>
  <c r="I14" i="51"/>
  <c r="I7" i="51"/>
  <c r="I20" i="51"/>
  <c r="I22" i="51"/>
  <c r="I20" i="40"/>
  <c r="I5" i="51"/>
  <c r="I9" i="51"/>
  <c r="I15" i="51"/>
  <c r="I6" i="40"/>
  <c r="I17" i="40"/>
  <c r="I13" i="51"/>
  <c r="M17" i="45"/>
  <c r="M18" i="45"/>
  <c r="M12" i="45"/>
  <c r="M13" i="45"/>
  <c r="M15" i="45"/>
  <c r="M14" i="45"/>
  <c r="M20" i="45"/>
  <c r="M16" i="45"/>
  <c r="M19" i="45"/>
  <c r="M21" i="45"/>
  <c r="V7" i="45"/>
  <c r="V6" i="45"/>
  <c r="V8" i="45"/>
  <c r="V5" i="45"/>
  <c r="D19" i="29" l="1"/>
  <c r="F25" i="35"/>
  <c r="F19" i="35"/>
  <c r="F17" i="35"/>
  <c r="R6" i="40"/>
  <c r="R13" i="40" s="1" a="1"/>
  <c r="R6" i="51"/>
  <c r="R13" i="51" s="1" a="1"/>
  <c r="F18" i="35"/>
  <c r="F14" i="35"/>
  <c r="F24" i="35"/>
  <c r="R7" i="40"/>
  <c r="R7" i="51"/>
  <c r="F21" i="35"/>
  <c r="F7" i="35"/>
  <c r="R8" i="51"/>
  <c r="F15" i="35"/>
  <c r="F5" i="35"/>
  <c r="R8" i="40"/>
  <c r="R6" i="52"/>
  <c r="R13" i="52" s="1" a="1"/>
  <c r="R10" i="52"/>
  <c r="R9" i="52"/>
  <c r="F6" i="35"/>
  <c r="F20" i="35"/>
  <c r="F26" i="35"/>
  <c r="F12" i="35"/>
  <c r="R10" i="40"/>
  <c r="F4" i="35"/>
  <c r="F23" i="35"/>
  <c r="R9" i="40"/>
  <c r="F27" i="35"/>
  <c r="F16" i="35"/>
  <c r="F10" i="35"/>
  <c r="R9" i="51"/>
  <c r="F11" i="35"/>
  <c r="F22" i="35"/>
  <c r="R10" i="51"/>
  <c r="R7" i="52"/>
  <c r="F9" i="35"/>
  <c r="F13" i="35"/>
  <c r="R8" i="52"/>
  <c r="F8" i="35"/>
  <c r="F3" i="35"/>
  <c r="R13" i="52" l="1"/>
  <c r="R14" i="52"/>
  <c r="R15" i="52"/>
  <c r="R16" i="52"/>
  <c r="R17" i="52"/>
  <c r="R13" i="51"/>
  <c r="R14" i="51"/>
  <c r="R15" i="51"/>
  <c r="R16" i="51"/>
  <c r="R17" i="51"/>
  <c r="R16" i="40"/>
  <c r="R17" i="40"/>
  <c r="R13" i="40"/>
  <c r="R14" i="40"/>
  <c r="R15" i="40"/>
  <c r="G6" i="35"/>
  <c r="H43" i="33" s="1"/>
  <c r="L43" i="33" s="1"/>
  <c r="M43" i="33"/>
  <c r="G14" i="35"/>
  <c r="H51" i="33" s="1"/>
  <c r="L51" i="33" s="1"/>
  <c r="M51" i="33"/>
  <c r="G8" i="35"/>
  <c r="H45" i="33" s="1"/>
  <c r="L45" i="33" s="1"/>
  <c r="M45" i="33"/>
  <c r="G7" i="35"/>
  <c r="H44" i="33" s="1"/>
  <c r="L44" i="33" s="1"/>
  <c r="M44" i="33"/>
  <c r="G26" i="35"/>
  <c r="H62" i="33"/>
  <c r="L62" i="33" s="1"/>
  <c r="M62" i="33"/>
  <c r="G22" i="35"/>
  <c r="H58" i="33" s="1"/>
  <c r="L58" i="33" s="1"/>
  <c r="M58" i="33"/>
  <c r="G5" i="35"/>
  <c r="H42" i="33" s="1"/>
  <c r="L42" i="33" s="1"/>
  <c r="M42" i="33"/>
  <c r="G13" i="35"/>
  <c r="H50" i="33" s="1"/>
  <c r="L50" i="33" s="1"/>
  <c r="M50" i="33"/>
  <c r="G3" i="35"/>
  <c r="G18" i="35"/>
  <c r="H54" i="33" s="1"/>
  <c r="L54" i="33" s="1"/>
  <c r="M54" i="33"/>
  <c r="G25" i="35"/>
  <c r="H61" i="33"/>
  <c r="L61" i="33" s="1"/>
  <c r="M61" i="33"/>
  <c r="G12" i="35"/>
  <c r="H49" i="33" s="1"/>
  <c r="L49" i="33" s="1"/>
  <c r="M49" i="33"/>
  <c r="G9" i="35"/>
  <c r="H46" i="33" s="1"/>
  <c r="L46" i="33" s="1"/>
  <c r="M46" i="33"/>
  <c r="G24" i="35"/>
  <c r="H60" i="33" s="1"/>
  <c r="L60" i="33" s="1"/>
  <c r="M60" i="33"/>
  <c r="G27" i="35"/>
  <c r="H63" i="33" s="1"/>
  <c r="L63" i="33" s="1"/>
  <c r="M63" i="33"/>
  <c r="G17" i="35"/>
  <c r="H53" i="33"/>
  <c r="L53" i="33" s="1"/>
  <c r="M53" i="33"/>
  <c r="G23" i="35"/>
  <c r="H59" i="33"/>
  <c r="L59" i="33"/>
  <c r="M59" i="33"/>
  <c r="G21" i="35"/>
  <c r="H57" i="33" s="1"/>
  <c r="L57" i="33" s="1"/>
  <c r="M57" i="33"/>
  <c r="G20" i="35"/>
  <c r="H56" i="33" s="1"/>
  <c r="L56" i="33" s="1"/>
  <c r="M56" i="33"/>
  <c r="G10" i="35"/>
  <c r="H47" i="33"/>
  <c r="L47" i="33"/>
  <c r="M47" i="33"/>
  <c r="G19" i="35"/>
  <c r="H55" i="33" s="1"/>
  <c r="L55" i="33" s="1"/>
  <c r="M55" i="33"/>
  <c r="G4" i="35"/>
  <c r="H41" i="33"/>
  <c r="L41" i="33" s="1"/>
  <c r="M41" i="33"/>
  <c r="G11" i="35"/>
  <c r="H48" i="33" s="1"/>
  <c r="L48" i="33" s="1"/>
  <c r="M48" i="33"/>
  <c r="G15" i="35"/>
  <c r="G16" i="35"/>
  <c r="H52" i="33" s="1"/>
  <c r="L52" i="33" s="1"/>
  <c r="M52" i="33"/>
  <c r="R18" i="40"/>
  <c r="R18" i="51"/>
  <c r="R18" i="52"/>
  <c r="I32" i="40"/>
  <c r="H22" i="33"/>
  <c r="L22" i="33"/>
  <c r="J4" i="40"/>
  <c r="M4" i="40"/>
  <c r="K4" i="40" s="1"/>
  <c r="I31" i="40"/>
  <c r="H21" i="33"/>
  <c r="L21" i="33" s="1"/>
  <c r="I29" i="40"/>
  <c r="H19" i="33"/>
  <c r="L19" i="33" s="1"/>
  <c r="J3" i="51"/>
  <c r="G3" i="51"/>
  <c r="J20" i="51"/>
  <c r="M20" i="51"/>
  <c r="K20" i="51" s="1"/>
  <c r="J17" i="51"/>
  <c r="M17" i="51"/>
  <c r="K17" i="51" s="1"/>
  <c r="I31" i="51"/>
  <c r="H14" i="33"/>
  <c r="L14" i="33"/>
  <c r="J6" i="52"/>
  <c r="L6" i="52"/>
  <c r="K6" i="52" s="1"/>
  <c r="J14" i="52"/>
  <c r="L14" i="52"/>
  <c r="K14" i="52" s="1"/>
  <c r="J3" i="52"/>
  <c r="G3" i="52"/>
  <c r="I21" i="52"/>
  <c r="H26" i="33"/>
  <c r="L26" i="33"/>
  <c r="I25" i="52"/>
  <c r="H30" i="33"/>
  <c r="L30" i="33"/>
  <c r="J8" i="40"/>
  <c r="M8" i="40"/>
  <c r="K8" i="40" s="1"/>
  <c r="J19" i="40"/>
  <c r="M19" i="40"/>
  <c r="K19" i="40" s="1"/>
  <c r="J14" i="40"/>
  <c r="M14" i="40"/>
  <c r="K14" i="40" s="1"/>
  <c r="J16" i="51"/>
  <c r="M16" i="51"/>
  <c r="K16" i="51" s="1"/>
  <c r="J22" i="51"/>
  <c r="M22" i="51"/>
  <c r="K22" i="51" s="1"/>
  <c r="I28" i="51"/>
  <c r="H11" i="33"/>
  <c r="L11" i="33" s="1"/>
  <c r="J7" i="52"/>
  <c r="L7" i="52"/>
  <c r="K7" i="52" s="1"/>
  <c r="J15" i="52"/>
  <c r="L15" i="52"/>
  <c r="K15" i="52" s="1"/>
  <c r="I35" i="52"/>
  <c r="H40" i="33"/>
  <c r="L40" i="33" s="1"/>
  <c r="I22" i="52"/>
  <c r="H27" i="33"/>
  <c r="L27" i="33"/>
  <c r="J12" i="40"/>
  <c r="M12" i="40"/>
  <c r="K12" i="40" s="1"/>
  <c r="J3" i="40"/>
  <c r="G3" i="40"/>
  <c r="J11" i="40"/>
  <c r="M11" i="40"/>
  <c r="K11" i="40"/>
  <c r="J18" i="40"/>
  <c r="M18" i="40"/>
  <c r="K18" i="40" s="1"/>
  <c r="J5" i="51"/>
  <c r="M5" i="51"/>
  <c r="K5" i="51" s="1"/>
  <c r="J6" i="51"/>
  <c r="M6" i="51"/>
  <c r="K6" i="51" s="1"/>
  <c r="J7" i="51"/>
  <c r="M7" i="51"/>
  <c r="K7" i="51" s="1"/>
  <c r="I25" i="51"/>
  <c r="H8" i="33"/>
  <c r="L8" i="33"/>
  <c r="J8" i="52"/>
  <c r="L8" i="52"/>
  <c r="K8" i="52" s="1"/>
  <c r="J4" i="52"/>
  <c r="L4" i="52"/>
  <c r="K4" i="52"/>
  <c r="I34" i="52"/>
  <c r="H39" i="33"/>
  <c r="L39" i="33" s="1"/>
  <c r="J14" i="51"/>
  <c r="M14" i="51"/>
  <c r="K14" i="51" s="1"/>
  <c r="I30" i="51"/>
  <c r="H13" i="33"/>
  <c r="L13" i="33" s="1"/>
  <c r="J9" i="52"/>
  <c r="L9" i="52"/>
  <c r="K9" i="52" s="1"/>
  <c r="J16" i="52"/>
  <c r="L16" i="52"/>
  <c r="K16" i="52" s="1"/>
  <c r="I33" i="52"/>
  <c r="H38" i="33"/>
  <c r="L38" i="33"/>
  <c r="J19" i="51"/>
  <c r="M19" i="51"/>
  <c r="K19" i="51" s="1"/>
  <c r="J16" i="40"/>
  <c r="M16" i="40"/>
  <c r="K16" i="40" s="1"/>
  <c r="I27" i="51"/>
  <c r="H10" i="33"/>
  <c r="L10" i="33"/>
  <c r="J13" i="52"/>
  <c r="L13" i="52"/>
  <c r="K13" i="52" s="1"/>
  <c r="I31" i="52"/>
  <c r="H36" i="33"/>
  <c r="L36" i="33" s="1"/>
  <c r="J13" i="40"/>
  <c r="M13" i="40"/>
  <c r="K13" i="40" s="1"/>
  <c r="I28" i="40"/>
  <c r="H18" i="33"/>
  <c r="L18" i="33"/>
  <c r="J15" i="40"/>
  <c r="M15" i="40"/>
  <c r="K15" i="40" s="1"/>
  <c r="J9" i="51"/>
  <c r="M9" i="51"/>
  <c r="K9" i="51" s="1"/>
  <c r="J21" i="51"/>
  <c r="M21" i="51"/>
  <c r="K21" i="51" s="1"/>
  <c r="I30" i="40"/>
  <c r="H20" i="33"/>
  <c r="L20" i="33" s="1"/>
  <c r="I33" i="40"/>
  <c r="H23" i="33"/>
  <c r="L23" i="33" s="1"/>
  <c r="J13" i="51"/>
  <c r="M13" i="51"/>
  <c r="K13" i="51" s="1"/>
  <c r="I23" i="52"/>
  <c r="H28" i="33"/>
  <c r="L28" i="33"/>
  <c r="J21" i="40"/>
  <c r="M21" i="40"/>
  <c r="K21" i="40"/>
  <c r="J9" i="40"/>
  <c r="M9" i="40"/>
  <c r="K9" i="40"/>
  <c r="J20" i="40"/>
  <c r="M20" i="40"/>
  <c r="K20" i="40" s="1"/>
  <c r="I26" i="40"/>
  <c r="H16" i="33"/>
  <c r="L16" i="33" s="1"/>
  <c r="J8" i="51"/>
  <c r="M8" i="51"/>
  <c r="K8" i="51"/>
  <c r="J12" i="51"/>
  <c r="M12" i="51"/>
  <c r="K12" i="51" s="1"/>
  <c r="J17" i="52"/>
  <c r="L17" i="52"/>
  <c r="K17" i="52" s="1"/>
  <c r="J4" i="51"/>
  <c r="M4" i="51"/>
  <c r="K4" i="51"/>
  <c r="J5" i="52"/>
  <c r="L5" i="52"/>
  <c r="K5" i="52" s="1"/>
  <c r="I28" i="52"/>
  <c r="H33" i="33"/>
  <c r="L33" i="33"/>
  <c r="I29" i="52"/>
  <c r="H34" i="33"/>
  <c r="L34" i="33"/>
  <c r="I34" i="40"/>
  <c r="H24" i="33"/>
  <c r="L24" i="33" s="1"/>
  <c r="J6" i="40"/>
  <c r="M6" i="40"/>
  <c r="K6" i="40" s="1"/>
  <c r="J22" i="40"/>
  <c r="M22" i="40"/>
  <c r="K22" i="40" s="1"/>
  <c r="J10" i="40"/>
  <c r="M10" i="40"/>
  <c r="K10" i="40"/>
  <c r="J10" i="51"/>
  <c r="M10" i="51"/>
  <c r="K10" i="51" s="1"/>
  <c r="J15" i="51"/>
  <c r="M15" i="51"/>
  <c r="K15" i="51" s="1"/>
  <c r="J10" i="52"/>
  <c r="L10" i="52"/>
  <c r="K10" i="52" s="1"/>
  <c r="I30" i="52"/>
  <c r="H35" i="33"/>
  <c r="L35" i="33"/>
  <c r="I20" i="52"/>
  <c r="H25" i="33"/>
  <c r="L25" i="33" s="1"/>
  <c r="I27" i="40"/>
  <c r="H17" i="33"/>
  <c r="L17" i="33" s="1"/>
  <c r="I26" i="51"/>
  <c r="H9" i="33"/>
  <c r="L9" i="33" s="1"/>
  <c r="J11" i="52"/>
  <c r="L11" i="52"/>
  <c r="K11" i="52" s="1"/>
  <c r="J7" i="40"/>
  <c r="M7" i="40"/>
  <c r="K7" i="40"/>
  <c r="I25" i="40"/>
  <c r="H15" i="33"/>
  <c r="L15" i="33" s="1"/>
  <c r="J5" i="40"/>
  <c r="M5" i="40"/>
  <c r="K5" i="40" s="1"/>
  <c r="J18" i="51"/>
  <c r="M18" i="51"/>
  <c r="K18" i="51" s="1"/>
  <c r="J11" i="51"/>
  <c r="M11" i="51"/>
  <c r="K11" i="51" s="1"/>
  <c r="I29" i="51"/>
  <c r="H12" i="33"/>
  <c r="L12" i="33"/>
  <c r="J12" i="52"/>
  <c r="L12" i="52"/>
  <c r="K12" i="52" s="1"/>
  <c r="I32" i="52"/>
  <c r="H37" i="33"/>
  <c r="L37" i="33" s="1"/>
  <c r="I27" i="52"/>
  <c r="H32" i="33"/>
  <c r="L32" i="33"/>
  <c r="I24" i="52"/>
  <c r="H29" i="33"/>
  <c r="L29" i="33" s="1"/>
  <c r="J17" i="40"/>
  <c r="M17" i="40"/>
  <c r="K17" i="40" s="1"/>
  <c r="I26" i="52"/>
  <c r="H31" i="33"/>
  <c r="L31" i="33" s="1"/>
  <c r="M24" i="33"/>
  <c r="M29" i="33"/>
  <c r="M38" i="33"/>
  <c r="M21" i="33"/>
  <c r="M37" i="33"/>
  <c r="M17" i="33"/>
  <c r="M9" i="33"/>
  <c r="M13" i="33"/>
  <c r="M14" i="33"/>
  <c r="M30" i="33"/>
  <c r="M16" i="33"/>
  <c r="M35" i="33"/>
  <c r="M18" i="33"/>
  <c r="M11" i="33"/>
  <c r="M40" i="33"/>
  <c r="M33" i="33"/>
  <c r="M31" i="33"/>
  <c r="M19" i="33"/>
  <c r="M8" i="33"/>
  <c r="M15" i="33"/>
  <c r="M39" i="33"/>
  <c r="M28" i="33"/>
  <c r="M34" i="33"/>
  <c r="M36" i="33"/>
  <c r="M20" i="33"/>
  <c r="M32" i="33"/>
  <c r="M27" i="33"/>
  <c r="M12" i="33"/>
  <c r="M10" i="33"/>
  <c r="M23" i="33"/>
  <c r="M25" i="33"/>
  <c r="M26" i="33"/>
  <c r="M22" i="33"/>
  <c r="N8" i="33"/>
  <c r="N25" i="33"/>
  <c r="N15" i="33"/>
  <c r="N41" i="33"/>
  <c r="AE6" i="45"/>
  <c r="AE7" i="45"/>
  <c r="AE8" i="45"/>
  <c r="AE9" i="45"/>
  <c r="AE10" i="45"/>
  <c r="AE13" i="45" a="1"/>
  <c r="AE13" i="45"/>
  <c r="AE14" i="45"/>
  <c r="AE15" i="45"/>
  <c r="AE16" i="45"/>
  <c r="AE17" i="45"/>
  <c r="AE18" i="45"/>
  <c r="V12" i="45"/>
  <c r="H4" i="33"/>
  <c r="L4" i="33"/>
  <c r="V13" i="45"/>
  <c r="H5" i="33"/>
  <c r="L5" i="33"/>
  <c r="W3" i="45"/>
  <c r="V14" i="45"/>
  <c r="H6" i="33"/>
  <c r="L6" i="33"/>
  <c r="W5" i="45"/>
  <c r="V15" i="45"/>
  <c r="H7" i="33"/>
  <c r="L7" i="33"/>
  <c r="W6" i="45"/>
  <c r="W4" i="45"/>
  <c r="Y4" i="45"/>
  <c r="X4" i="45" s="1"/>
  <c r="W7" i="45"/>
  <c r="W8" i="45"/>
  <c r="V11" i="45"/>
  <c r="H3" i="33"/>
  <c r="L3" i="33"/>
  <c r="Y6" i="45"/>
  <c r="Y5" i="45"/>
  <c r="Y8" i="45"/>
  <c r="X8" i="45"/>
  <c r="X6" i="45"/>
  <c r="X5" i="45"/>
  <c r="Y7" i="45"/>
  <c r="X7" i="45"/>
  <c r="M3" i="33"/>
  <c r="M5" i="33"/>
  <c r="M6" i="33"/>
  <c r="M4" i="33"/>
  <c r="M7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<sst xmlns="http://schemas.openxmlformats.org/spreadsheetml/2006/main" count="406" uniqueCount="139">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</sst>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26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M5</v>
          </cell>
        </row>
        <row r="7">
          <cell r="D7" t="str">
            <v>N5</v>
          </cell>
        </row>
      </sheetData>
      <sheetData sheetId="10">
        <row r="6">
          <cell r="D6" t="str">
            <v>Future Code</v>
          </cell>
        </row>
        <row r="7">
          <cell r="D7" t="str">
            <v>M5</v>
          </cell>
        </row>
      </sheetData>
      <sheetData sheetId="11">
        <row r="6">
          <cell r="D6" t="str">
            <v>M5</v>
          </cell>
        </row>
        <row r="7">
          <cell r="D7" t="str">
            <v>N5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42153</v>
          </cell>
        </row>
        <row r="7">
          <cell r="D7">
            <v>42152</v>
          </cell>
        </row>
      </sheetData>
      <sheetData sheetId="29">
        <row r="6">
          <cell r="D6">
            <v>42153</v>
          </cell>
        </row>
        <row r="7">
          <cell r="D7">
            <v>42152</v>
          </cell>
        </row>
      </sheetData>
      <sheetData sheetId="30">
        <row r="6">
          <cell r="D6">
            <v>42156</v>
          </cell>
        </row>
        <row r="7">
          <cell r="D7">
            <v>42153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Jun  1 2015 10:45:27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42121.73238425926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1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42158</v>
      </c>
      <c r="E17" s="212"/>
      <c r="G17" s="225"/>
      <c r="H17" s="2" t="s">
        <v>21</v>
      </c>
      <c r="I17" s="233">
        <v>42156.751331018517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42156</v>
      </c>
      <c r="J18" s="111"/>
    </row>
    <row r="19" spans="2:10" x14ac:dyDescent="0.2">
      <c r="B19" s="211"/>
      <c r="C19" s="2" t="s">
        <v>86</v>
      </c>
      <c r="D19" s="25" t="str">
        <f>_xll.qlInterpolation(,BasisInterpolation,'1YSynthDepo'!E5:E17,'1YSynthDepo'!I5:I17)</f>
        <v>obj_005db#0025</v>
      </c>
      <c r="E19" s="212"/>
      <c r="G19" s="225"/>
      <c r="H19" s="2" t="s">
        <v>23</v>
      </c>
      <c r="I19" s="34">
        <f>[1]!TriggerCounter</f>
        <v>26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1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obj_005df#0000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obj_005de#0000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42158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42373</v>
      </c>
      <c r="D38" s="38">
        <f>_xll.qlYieldTSDiscount(D34,C38,,Trigger)</f>
        <v>1.0003764380866382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AE13" sqref="AE13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obj_00596#0000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obj_005c8#0000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42158</v>
      </c>
      <c r="S3" s="331">
        <f>_xll.qlInterestRateIndexMaturity(iborindex1M,R3,Trigger)</f>
        <v>42188</v>
      </c>
      <c r="T3" s="62">
        <f>_xll.qlIndexFixing(iborindex1M,_xll.qlInterestRateIndexFixingDate(iborindex1M,R3,Trigger),TRUE,AllTriggers)</f>
        <v>-5.7000000000106965E-4</v>
      </c>
      <c r="U3" s="239"/>
      <c r="V3" s="239"/>
      <c r="W3" s="190">
        <f>_xll.qlTenorBasisValue(TenorBasis1M,R3,Trigger)</f>
        <v>6.3549954047648072E-4</v>
      </c>
      <c r="X3" s="239"/>
      <c r="Y3" s="239"/>
      <c r="Z3" s="59">
        <f>_xll.qlDayCounterYearFraction("actual/365 (fixed)",SettlementDate,R3,,,Trigger)</f>
        <v>0</v>
      </c>
      <c r="AA3" s="59">
        <f>_xll.qlYieldTSDiscount(Discounting,R3,,AllTriggers)</f>
        <v>1.0000066667000043</v>
      </c>
      <c r="AB3" s="257"/>
      <c r="AD3" s="277" t="s">
        <v>135</v>
      </c>
      <c r="AE3" s="190" t="str">
        <f>_xll.qlIborIndex(,,S1,2,Currency,Calendar,"mf",TRUE,DayCounter,Discounting,,Trigger)</f>
        <v>obj_00592#0000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obj_0059a#0000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42158</v>
      </c>
      <c r="S4" s="294">
        <f>_xll.qlInterestRateIndexMaturity(iborindex1M,R4,Trigger)</f>
        <v>42188</v>
      </c>
      <c r="T4" s="190">
        <f>_xll.qlQuoteValue(Q4,LastFixingsTrigger)</f>
        <v>-5.7000000000000009E-4</v>
      </c>
      <c r="U4" s="190">
        <f>_xll.qlIndexFixing(ON_1M_index,_xll.qlInterestRateIndexFixingDate(ON_1M_index,R4),,AllTriggers)</f>
        <v>-1.2054995404775504E-3</v>
      </c>
      <c r="V4" s="258">
        <f>T4-U4</f>
        <v>6.3549954047755028E-4</v>
      </c>
      <c r="W4" s="186">
        <f>_xll.qlTenorBasisValue(TenorBasis1M,R4,Trigger)</f>
        <v>6.3549954047648072E-4</v>
      </c>
      <c r="X4" s="187">
        <f>Y4*10000</f>
        <v>1.0695654431569501E-11</v>
      </c>
      <c r="Y4" s="278">
        <f>V4-W4</f>
        <v>1.0695654431569501E-15</v>
      </c>
      <c r="Z4" s="284">
        <f>_xll.qlDayCounterYearFraction("actual/365 (fixed)",SettlementDate,R4,,,Trigger)</f>
        <v>0</v>
      </c>
      <c r="AA4" s="336">
        <f>_xll.qlYieldTSDiscount(Discounting,R4,,AllTriggers)</f>
        <v>1.0000066667000043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obj_0059b#0000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42158</v>
      </c>
      <c r="S5" s="331">
        <f>_xll.qlInterestRateIndexMaturity(iborindex1M,R5,Trigger)</f>
        <v>42188</v>
      </c>
      <c r="T5" s="62">
        <f>_xll.qlIndexFixing(iborindex1M,_xll.qlInterestRateIndexFixingDate(iborindex1M,R5,Trigger),TRUE,AllTriggers)</f>
        <v>-5.7000000000106965E-4</v>
      </c>
      <c r="U5" s="62">
        <f>_xll.qlIndexFixing(ON_1M_index,_xll.qlInterestRateIndexFixingDate(ON_1M_index,R5),,AllTriggers)</f>
        <v>-1.2054995404775504E-3</v>
      </c>
      <c r="V5" s="265">
        <f>T5-U5</f>
        <v>6.3549954047648072E-4</v>
      </c>
      <c r="W5" s="67">
        <f>_xll.qlTenorBasisValue(TenorBasis1M,R5,Trigger)</f>
        <v>6.3549954047648072E-4</v>
      </c>
      <c r="X5" s="240">
        <f>Y5*10000</f>
        <v>0</v>
      </c>
      <c r="Y5" s="234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1.0000066667000043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obj_0059c#0000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42188</v>
      </c>
      <c r="S6" s="331">
        <f>_xll.qlInterestRateIndexMaturity(iborindex1M,R6,Trigger)</f>
        <v>42219</v>
      </c>
      <c r="T6" s="62">
        <f>_xll.qlIndexFixing(iborindex1M,_xll.qlInterestRateIndexFixingDate(iborindex1M,R6,Trigger),TRUE,AllTriggers)</f>
        <v>-6.6844746190231064E-4</v>
      </c>
      <c r="U6" s="62">
        <f>_xll.qlIndexFixing(ON_1M_index,_xll.qlInterestRateIndexFixingDate(ON_1M_index,R6),,AllTriggers)</f>
        <v>-1.2708447715228674E-3</v>
      </c>
      <c r="V6" s="265">
        <f>T6-U6</f>
        <v>6.023973096205568E-4</v>
      </c>
      <c r="W6" s="62">
        <f>_xll.qlTenorBasisValue(TenorBasis1M,R6,Trigger)</f>
        <v>6.0239730962055669E-4</v>
      </c>
      <c r="X6" s="188">
        <f t="shared" ref="X6:X8" si="1">Y6*10000</f>
        <v>0</v>
      </c>
      <c r="Y6" s="234">
        <f t="shared" ref="Y6:Y8" si="2">V6-W6</f>
        <v>0</v>
      </c>
      <c r="Z6" s="59">
        <f>_xll.qlDayCounterYearFraction("actual/365 (fixed)",SettlementDate,R6,,,Trigger)</f>
        <v>8.2191780821917804E-2</v>
      </c>
      <c r="AA6" s="59">
        <f>_xll.qlYieldTSDiscount(Discounting,R6,,AllTriggers)</f>
        <v>1.0001071357577196</v>
      </c>
      <c r="AB6" s="237" t="b">
        <v>1</v>
      </c>
      <c r="AD6" s="277" t="s">
        <v>126</v>
      </c>
      <c r="AE6" s="282" t="str">
        <f>_xll.qlPolynomialCalibration(,_xll.ohFilter($Z$5:$Z$8,$AB$5:$AB$8),_xll.ohFilter($V$5:$V$8,$AB$5:$AB$8),_xll.ohFilter($AA$5:$AA$8,$AB$5:$AB$8),_xll.ohFilter(AG13:AG17,AF13:AF17),,,,,Trigger)</f>
        <v>obj_005e0#0026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obj_00597#0000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42219</v>
      </c>
      <c r="S7" s="331">
        <f>_xll.qlInterestRateIndexMaturity(iborindex1M,R7,Trigger)</f>
        <v>42250</v>
      </c>
      <c r="T7" s="62">
        <f>_xll.qlIndexFixing(iborindex1M,_xll.qlInterestRateIndexFixingDate(iborindex1M,R7,Trigger),TRUE,AllTriggers)</f>
        <v>-7.0916673347751831E-4</v>
      </c>
      <c r="U7" s="62">
        <f>_xll.qlIndexFixing(ON_1M_index,_xll.qlInterestRateIndexFixingDate(ON_1M_index,R7),,AllTriggers)</f>
        <v>-1.2800409632497006E-3</v>
      </c>
      <c r="V7" s="265">
        <f>T7-U7</f>
        <v>5.7087422977218226E-4</v>
      </c>
      <c r="W7" s="62">
        <f>_xll.qlTenorBasisValue(TenorBasis1M,R7,Trigger)</f>
        <v>5.7087422977218237E-4</v>
      </c>
      <c r="X7" s="188">
        <f t="shared" si="1"/>
        <v>0</v>
      </c>
      <c r="Y7" s="234">
        <f t="shared" si="2"/>
        <v>0</v>
      </c>
      <c r="Z7" s="59">
        <f>_xll.qlDayCounterYearFraction("actual/365 (fixed)",SettlementDate,R7,,,Trigger)</f>
        <v>0.16712328767123288</v>
      </c>
      <c r="AA7" s="59">
        <f>_xll.qlYieldTSDiscount(Discounting,R7,,AllTriggers)</f>
        <v>1.0002165933156868</v>
      </c>
      <c r="AB7" s="237" t="b">
        <v>1</v>
      </c>
      <c r="AD7" s="277" t="s">
        <v>127</v>
      </c>
      <c r="AE7" s="282" t="b">
        <f>_xll.qlPolynomialCalibrationCompute($AE$6)</f>
        <v>1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obj_00598#0000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42250</v>
      </c>
      <c r="S8" s="332">
        <f>_xll.qlInterestRateIndexMaturity(iborindex1M,R8,Trigger)</f>
        <v>42282</v>
      </c>
      <c r="T8" s="65">
        <f>_xll.qlIndexFixing(iborindex1M,_xll.qlInterestRateIndexFixingDate(iborindex1M,R8,Trigger),TRUE,AllTriggers)</f>
        <v>-6.8896532811835165E-4</v>
      </c>
      <c r="U8" s="65">
        <f>_xll.qlIndexFixing(ON_1M_index,_xll.qlInterestRateIndexFixingDate(ON_1M_index,R8),,AllTriggers)</f>
        <v>-1.2962896801896329E-3</v>
      </c>
      <c r="V8" s="260">
        <f>T8-U8</f>
        <v>6.0732435207128121E-4</v>
      </c>
      <c r="W8" s="65">
        <f>_xll.qlTenorBasisValue(TenorBasis1M,R8,Trigger)</f>
        <v>6.0732435207128121E-4</v>
      </c>
      <c r="X8" s="189">
        <f t="shared" si="1"/>
        <v>0</v>
      </c>
      <c r="Y8" s="235">
        <f t="shared" si="2"/>
        <v>0</v>
      </c>
      <c r="Z8" s="60">
        <f>_xll.qlDayCounterYearFraction("actual/365 (fixed)",SettlementDate,R8,,,Trigger)</f>
        <v>0.25205479452054796</v>
      </c>
      <c r="AA8" s="60">
        <f>_xll.qlYieldTSDiscount(Discounting,R8,,AllTriggers)</f>
        <v>1.0003268550931477</v>
      </c>
      <c r="AB8" s="238" t="b">
        <v>1</v>
      </c>
      <c r="AD8" s="277" t="s">
        <v>128</v>
      </c>
      <c r="AE8" s="282" t="str">
        <f>_xll.qlPolynomialCalibrationEndCriteria(AE6,)</f>
        <v>StationaryFunctionValue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obj_00599#0000</v>
      </c>
      <c r="L9" s="203" t="str">
        <f>_xll.ohRangeRetrieveError(K9)</f>
        <v/>
      </c>
      <c r="M9" s="335" t="b">
        <v>1</v>
      </c>
      <c r="AD9" s="277" t="s">
        <v>89</v>
      </c>
      <c r="AE9" s="190">
        <f>_xll.qlPolynomialCalibrationError(AE6,)</f>
        <v>8.8524628342376661E-20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>
        <f>_xll.qlPolynomialCalibrationMaxError(AE6,)</f>
        <v>1.0842021724855044E-19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42158</v>
      </c>
      <c r="U11" s="269">
        <f>_xll.qlCalendarAdvance(Calendar,SettlementDate,S11,"Following",,Trigger)</f>
        <v>42159</v>
      </c>
      <c r="V11" s="287">
        <f>_xll.qlTenorBasisForwardRate2(TenorBasis1M,T11,U11,AllTriggers)</f>
        <v>-5.9073182157920456E-4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42158</v>
      </c>
      <c r="U12" s="271">
        <f>_xll.qlCalendarAdvance(Calendar,SettlementDate,S12,"Following",,Trigger)</f>
        <v>42165</v>
      </c>
      <c r="V12" s="288">
        <f>_xll.qlTenorBasisForwardRate2(TenorBasis1M,T12,U12,AllTriggers)</f>
        <v>-5.8946434709383766E-4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obj_005c8#0000</v>
      </c>
      <c r="H13" s="193" t="str">
        <f>_xll.qlRateHelperQuoteName(G13,Trigger)</f>
        <v>Euribor1MLastFixing_Quote</v>
      </c>
      <c r="I13" s="194">
        <f>_xll.qlRateHelperRate(G13,Trigger)</f>
        <v>-4.8000000000000001E-4</v>
      </c>
      <c r="J13" s="195" t="str">
        <f>IFERROR(_xll.qlSwapRateHelperSpread(G13),"--")</f>
        <v>--</v>
      </c>
      <c r="K13" s="329">
        <f>_xll.qlRateHelperEarliestDate(G13,Trigger)</f>
        <v>42158</v>
      </c>
      <c r="L13" s="329">
        <f>_xll.qlRateHelperLatestDate(G13,Trigger)</f>
        <v>42188</v>
      </c>
      <c r="M13" s="196">
        <v>1.0000475022563573</v>
      </c>
      <c r="S13" s="63" t="s">
        <v>40</v>
      </c>
      <c r="T13" s="270">
        <f>_xll.qlCalendarAdvance(Calendar,SettlementDate,0&amp;"M","mf",TRUE,Trigger)</f>
        <v>42158</v>
      </c>
      <c r="U13" s="271">
        <f>_xll.qlCalendarAdvance(Calendar,SettlementDate,S13,"Following",,Trigger)</f>
        <v>42172</v>
      </c>
      <c r="V13" s="288">
        <f>_xll.qlTenorBasisForwardRate2(TenorBasis1M,T13,U13,AllTriggers)</f>
        <v>-5.5928301386692122E-4</v>
      </c>
      <c r="AD13" s="277" t="s">
        <v>113</v>
      </c>
      <c r="AE13" s="190">
        <f t="array" ref="AE13:AE17">_xll.qlPolynomialCalibrationCoefficients($AE$6,$AE$6)</f>
        <v>6.3549954047648072E-4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obj_0059a#0000</v>
      </c>
      <c r="H14" s="193" t="str">
        <f>_xll.qlRateHelperQuoteName(G14,Trigger)</f>
        <v>EUR2X1S_Quote</v>
      </c>
      <c r="I14" s="194">
        <f>_xll.qlRateHelperRate(G14,Trigger)</f>
        <v>-5.5000000000000003E-4</v>
      </c>
      <c r="J14" s="195">
        <f>IFERROR(_xll.qlSwapRateHelperSpread(G14),"--")</f>
        <v>0</v>
      </c>
      <c r="K14" s="329">
        <f>_xll.qlRateHelperEarliestDate(G14,Trigger)</f>
        <v>42158</v>
      </c>
      <c r="L14" s="329">
        <f>_xll.qlRateHelperLatestDate(G14,Trigger)</f>
        <v>42219</v>
      </c>
      <c r="M14" s="196">
        <v>1.0001050690578752</v>
      </c>
      <c r="S14" s="63" t="s">
        <v>41</v>
      </c>
      <c r="T14" s="270">
        <f>_xll.qlCalendarAdvance(Calendar,SettlementDate,0&amp;"M","mf",TRUE,Trigger)</f>
        <v>42158</v>
      </c>
      <c r="U14" s="271">
        <f>_xll.qlCalendarAdvance(Calendar,SettlementDate,S14,"Following",,Trigger)</f>
        <v>42179</v>
      </c>
      <c r="V14" s="288">
        <f>_xll.qlTenorBasisForwardRate2(TenorBasis1M,T14,U14,AllTriggers)</f>
        <v>-5.5030575293800259E-4</v>
      </c>
      <c r="AD14" s="277" t="s">
        <v>114</v>
      </c>
      <c r="AE14" s="190">
        <v>-1.7180909492636967E-4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obj_0059b#0000</v>
      </c>
      <c r="H15" s="193" t="str">
        <f>_xll.qlRateHelperQuoteName(G15,Trigger)</f>
        <v>EUR3X1S_Quote</v>
      </c>
      <c r="I15" s="194">
        <f>_xll.qlRateHelperRate(G15,Trigger)</f>
        <v>-5.8E-4</v>
      </c>
      <c r="J15" s="195">
        <f>IFERROR(_xll.qlSwapRateHelperSpread(G15),"--")</f>
        <v>0</v>
      </c>
      <c r="K15" s="329">
        <f>_xll.qlRateHelperEarliestDate(G15,Trigger)</f>
        <v>42158</v>
      </c>
      <c r="L15" s="329">
        <f>_xll.qlRateHelperLatestDate(G15,Trigger)</f>
        <v>42250</v>
      </c>
      <c r="M15" s="196">
        <v>1.000166146339339</v>
      </c>
      <c r="S15" s="267" t="s">
        <v>35</v>
      </c>
      <c r="T15" s="276">
        <f>_xll.qlCalendarAdvance(Calendar,SettlementDate,0&amp;"M","mf",TRUE,Trigger)</f>
        <v>42158</v>
      </c>
      <c r="U15" s="337">
        <f>_xll.qlCalendarAdvance(Calendar,SettlementDate,S15,"mf",TRUE,Trigger)</f>
        <v>42188</v>
      </c>
      <c r="V15" s="338">
        <f>_xll.qlTenorBasisForwardRate2(TenorBasis1M,T15,U15,AllTriggers)</f>
        <v>-5.7858972055324642E-4</v>
      </c>
      <c r="AD15" s="277" t="s">
        <v>115</v>
      </c>
      <c r="AE15" s="190">
        <v>-4.2844750409139869E-3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obj_0059c#0000</v>
      </c>
      <c r="H16" s="193" t="str">
        <f>_xll.qlRateHelperQuoteName(G16,Trigger)</f>
        <v>EUR4X1S_Quote</v>
      </c>
      <c r="I16" s="194">
        <f>_xll.qlRateHelperRate(G16,Trigger)</f>
        <v>-5.8999999999999992E-4</v>
      </c>
      <c r="J16" s="195">
        <f>IFERROR(_xll.qlSwapRateHelperSpread(G16),"--")</f>
        <v>0</v>
      </c>
      <c r="K16" s="329">
        <f>_xll.qlRateHelperEarliestDate(G16,Trigger)</f>
        <v>42158</v>
      </c>
      <c r="L16" s="329">
        <f>_xll.qlRateHelperLatestDate(G16,Trigger)</f>
        <v>42282</v>
      </c>
      <c r="M16" s="196">
        <v>1.000227401628224</v>
      </c>
      <c r="AD16" s="277" t="s">
        <v>116</v>
      </c>
      <c r="AE16" s="190">
        <v>1.7943027165827498E-2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obj_00597#0000</v>
      </c>
      <c r="H17" s="193" t="str">
        <f>_xll.qlRateHelperQuoteName(G17,Trigger)</f>
        <v>EUR5X1S_Quote</v>
      </c>
      <c r="I17" s="194">
        <f>_xll.qlRateHelperRate(G17,Trigger)</f>
        <v>-5.9999999999999995E-4</v>
      </c>
      <c r="J17" s="195">
        <f>IFERROR(_xll.qlSwapRateHelperSpread(G17),"--")</f>
        <v>0</v>
      </c>
      <c r="K17" s="329">
        <f>_xll.qlRateHelperEarliestDate(G17,Trigger)</f>
        <v>42158</v>
      </c>
      <c r="L17" s="329">
        <f>_xll.qlRateHelperLatestDate(G17,Trigger)</f>
        <v>42311</v>
      </c>
      <c r="M17" s="196">
        <v>1.0002806069902574</v>
      </c>
      <c r="AD17" s="277" t="s">
        <v>117</v>
      </c>
      <c r="AE17" s="190" t="e">
        <v>#N/A</v>
      </c>
      <c r="AF17" s="190" t="b">
        <v>0</v>
      </c>
      <c r="AG17" s="190">
        <v>0</v>
      </c>
    </row>
    <row r="18" spans="4:33" ht="11.25" customHeight="1" x14ac:dyDescent="0.2">
      <c r="G18" s="202" t="str">
        <v>obj_00598#0000</v>
      </c>
      <c r="H18" s="193" t="str">
        <f>_xll.qlRateHelperQuoteName(G18,Trigger)</f>
        <v>EUR6X1S_Quote</v>
      </c>
      <c r="I18" s="194">
        <f>_xll.qlRateHelperRate(G18,Trigger)</f>
        <v>-5.9999999999999995E-4</v>
      </c>
      <c r="J18" s="195">
        <f>IFERROR(_xll.qlSwapRateHelperSpread(G18),"--")</f>
        <v>0</v>
      </c>
      <c r="K18" s="329">
        <f>_xll.qlRateHelperEarliestDate(G18,Trigger)</f>
        <v>42158</v>
      </c>
      <c r="L18" s="329">
        <f>_xll.qlRateHelperLatestDate(G18,Trigger)</f>
        <v>42341</v>
      </c>
      <c r="M18" s="196">
        <v>1.0003407409611167</v>
      </c>
      <c r="AD18" s="277" t="s">
        <v>118</v>
      </c>
      <c r="AE18" s="190" t="str">
        <f>_xll.qlPolynomialTenorBasis(,SettlementDate,PROPER(Currency)&amp;IborType&amp;$S1,Discounting,TRUE,_xll.ohFilter(AE13:AE17,AF13:AF17),,Trigger)</f>
        <v>obj_005e3#0026</v>
      </c>
      <c r="AF18" s="54"/>
      <c r="AG18" s="55"/>
    </row>
    <row r="19" spans="4:33" ht="11.25" customHeight="1" x14ac:dyDescent="0.2">
      <c r="G19" s="202" t="str">
        <v>obj_00599#0000</v>
      </c>
      <c r="H19" s="193" t="str">
        <f>_xll.qlRateHelperQuoteName(G19,Trigger)</f>
        <v>EUR7X1S_Quote</v>
      </c>
      <c r="I19" s="194">
        <f>_xll.qlRateHelperRate(G19,Trigger)</f>
        <v>-6.3000000000000003E-4</v>
      </c>
      <c r="J19" s="195">
        <f>IFERROR(_xll.qlSwapRateHelperSpread(G19),"--")</f>
        <v>0</v>
      </c>
      <c r="K19" s="329">
        <f>_xll.qlRateHelperEarliestDate(G19,Trigger)</f>
        <v>42158</v>
      </c>
      <c r="L19" s="329">
        <f>_xll.qlRateHelperLatestDate(G19,Trigger)</f>
        <v>42373</v>
      </c>
      <c r="M19" s="196">
        <v>1.0003824338593201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42158</v>
      </c>
      <c r="F3" s="294">
        <f>_xll.qlInterestRateIndexMaturity(PROPER(Currency)&amp;"ibor"&amp;$F$1,E3)</f>
        <v>42250</v>
      </c>
      <c r="G3" s="258">
        <f>J3+$H$4</f>
        <v>-4.3154237215535952E-5</v>
      </c>
      <c r="H3" s="239"/>
      <c r="I3" s="239"/>
      <c r="J3" s="190">
        <f>_xll.qlTenorBasisValue($R$18,E3,Trigger)</f>
        <v>1.2093474798235784E-3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obj_00595#0000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42158</v>
      </c>
      <c r="F4" s="294">
        <f>_xll.qlInterestRateIndexMaturity(ON_6M_index,E4)</f>
        <v>42341</v>
      </c>
      <c r="G4" s="190">
        <f>_xll.qlQuoteValue(D4,LastFixingsTrigger)</f>
        <v>-1.3000000000000002E-4</v>
      </c>
      <c r="H4" s="190">
        <f>_xll.qlIndexFixing(ON_3M_index,_xll.qlInterestRateIndexFixingDate(ON_3M_index,E4),,AllTriggers)</f>
        <v>-1.2525017170391143E-3</v>
      </c>
      <c r="I4" s="258">
        <f t="shared" ref="I4:I22" si="0">G4-H4</f>
        <v>1.1225017170391144E-3</v>
      </c>
      <c r="J4" s="186">
        <f>_xll.qlTenorBasisValue($R$18,E4,Trigger)</f>
        <v>1.2093474798235784E-3</v>
      </c>
      <c r="K4" s="187">
        <f>M4*10000</f>
        <v>-0.86845762784463953</v>
      </c>
      <c r="L4" s="284">
        <f>_xll.qlDayCounterYearFraction("actual/365 (fixed)",SettlementDate,E4,,,Trigger)</f>
        <v>0</v>
      </c>
      <c r="M4" s="278">
        <f t="shared" ref="M4:M22" si="1">I4-J4</f>
        <v>-8.6845762784463956E-5</v>
      </c>
      <c r="N4" s="281">
        <f>_xll.qlYieldTSDiscount(Discounting,E4,,AllTriggers)</f>
        <v>1.0000066667000043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42188</v>
      </c>
      <c r="F5" s="295">
        <f>_xll.qlInterestRateIndexMaturity(ON_6M_index,E5)</f>
        <v>42373</v>
      </c>
      <c r="G5" s="67">
        <f>_xll.qlQuoteValue(D5,AllTriggers)</f>
        <v>-1.0000000000000009E-5</v>
      </c>
      <c r="H5" s="67">
        <f>_xll.qlIndexFixing(ON_3M_index,_xll.qlInterestRateIndexFixingDate(ON_3M_index,E5),,AllTriggers)</f>
        <v>-1.2823965299013876E-3</v>
      </c>
      <c r="I5" s="280">
        <f t="shared" si="0"/>
        <v>1.2723965299013876E-3</v>
      </c>
      <c r="J5" s="67">
        <f>_xll.qlTenorBasisValue($R$18,E5,Trigger)</f>
        <v>1.2532310694692624E-3</v>
      </c>
      <c r="K5" s="240">
        <f t="shared" ref="K5:K22" si="4">M5*10000</f>
        <v>0.19165460432125175</v>
      </c>
      <c r="L5" s="285">
        <f>_xll.qlDayCounterYearFraction("actual/365 (fixed)",SettlementDate,E5,,,Trigger)</f>
        <v>8.2191780821917804E-2</v>
      </c>
      <c r="M5" s="279">
        <f t="shared" si="1"/>
        <v>1.9165460432125176E-5</v>
      </c>
      <c r="N5" s="183">
        <f>_xll.qlYieldTSDiscount(Discounting,E5,,AllTriggers)</f>
        <v>1.0001071357577196</v>
      </c>
      <c r="O5" s="241" t="b">
        <v>0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42219</v>
      </c>
      <c r="F6" s="296">
        <f>_xll.qlInterestRateIndexMaturity(ON_6M_index,E6)</f>
        <v>42403</v>
      </c>
      <c r="G6" s="62">
        <f>_xll.qlQuoteValue(D6,AllTriggers)</f>
        <v>2.9999999999999974E-5</v>
      </c>
      <c r="H6" s="62">
        <f>_xll.qlIndexFixing(ON_3M_index,_xll.qlInterestRateIndexFixingDate(ON_3M_index,E6),,AllTriggers)</f>
        <v>-1.2912037135058504E-3</v>
      </c>
      <c r="I6" s="265">
        <f t="shared" si="0"/>
        <v>1.3212037135058505E-3</v>
      </c>
      <c r="J6" s="62">
        <f>_xll.qlTenorBasisValue($R$18,E6,Trigger)</f>
        <v>1.2927862150628174E-3</v>
      </c>
      <c r="K6" s="188">
        <f t="shared" si="4"/>
        <v>0.2841749844303314</v>
      </c>
      <c r="L6" s="206">
        <f>_xll.qlDayCounterYearFraction("actual/365 (fixed)",SettlementDate,E6,,,Trigger)</f>
        <v>0.16712328767123288</v>
      </c>
      <c r="M6" s="234">
        <f t="shared" si="1"/>
        <v>2.8417498443033141E-5</v>
      </c>
      <c r="N6" s="184">
        <f>_xll.qlYieldTSDiscount(Discounting,E6,,AllTriggers)</f>
        <v>1.0002165933156868</v>
      </c>
      <c r="O6" s="237" t="b">
        <v>0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obj_00844#0024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42250</v>
      </c>
      <c r="F7" s="296">
        <f>_xll.qlInterestRateIndexMaturity(ON_6M_index,E7)</f>
        <v>42432</v>
      </c>
      <c r="G7" s="62">
        <f>_xll.qlQuoteValue(D7,AllTriggers)</f>
        <v>4.9999999999999996E-5</v>
      </c>
      <c r="H7" s="62">
        <f>_xll.qlIndexFixing(ON_3M_index,_xll.qlInterestRateIndexFixingDate(ON_3M_index,E7),,AllTriggers)</f>
        <v>-1.294621091851831E-3</v>
      </c>
      <c r="I7" s="265">
        <f t="shared" si="0"/>
        <v>1.3446210918518309E-3</v>
      </c>
      <c r="J7" s="62">
        <f>_xll.qlTenorBasisValue($R$18,E7,Trigger)</f>
        <v>1.3268723777307052E-3</v>
      </c>
      <c r="K7" s="188">
        <f t="shared" si="4"/>
        <v>0.17748714121125669</v>
      </c>
      <c r="L7" s="206">
        <f>_xll.qlDayCounterYearFraction("actual/365 (fixed)",SettlementDate,E7,,,Trigger)</f>
        <v>0.25205479452054796</v>
      </c>
      <c r="M7" s="234">
        <f t="shared" si="1"/>
        <v>1.7748714121125671E-5</v>
      </c>
      <c r="N7" s="184">
        <f>_xll.qlYieldTSDiscount(Discounting,E7,,AllTriggers)</f>
        <v>1.0003268550931477</v>
      </c>
      <c r="O7" s="237" t="b">
        <v>0</v>
      </c>
      <c r="Q7" s="277" t="s">
        <v>127</v>
      </c>
      <c r="R7" s="282" t="b">
        <f>_xll.qlPolynomialCalibrationCompute($R$6)</f>
        <v>1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42282</v>
      </c>
      <c r="F8" s="296">
        <f>_xll.qlInterestRateIndexMaturity(ON_6M_index,E8)</f>
        <v>42465</v>
      </c>
      <c r="G8" s="62">
        <f>_xll.qlQuoteValue(D8,AllTriggers)</f>
        <v>7.9999999999999979E-5</v>
      </c>
      <c r="H8" s="62">
        <f>_xll.qlIndexFixing(ON_3M_index,_xll.qlInterestRateIndexFixingDate(ON_3M_index,E8),,AllTriggers)</f>
        <v>-1.2806549094859909E-3</v>
      </c>
      <c r="I8" s="265">
        <f t="shared" si="0"/>
        <v>1.3606549094859908E-3</v>
      </c>
      <c r="J8" s="62">
        <f>_xll.qlTenorBasisValue($R$18,E8,Trigger)</f>
        <v>1.356768739354864E-3</v>
      </c>
      <c r="K8" s="188">
        <f t="shared" si="4"/>
        <v>3.8861701311268884E-2</v>
      </c>
      <c r="L8" s="206">
        <f>_xll.qlDayCounterYearFraction("actual/365 (fixed)",SettlementDate,E8,,,Trigger)</f>
        <v>0.33972602739726027</v>
      </c>
      <c r="M8" s="234">
        <f t="shared" si="1"/>
        <v>3.8861701311268884E-6</v>
      </c>
      <c r="N8" s="184">
        <f>_xll.qlYieldTSDiscount(Discounting,E8,,AllTriggers)</f>
        <v>1.0004421317874643</v>
      </c>
      <c r="O8" s="237" t="b">
        <v>0</v>
      </c>
      <c r="Q8" s="277" t="s">
        <v>128</v>
      </c>
      <c r="R8" s="282" t="str">
        <f>_xll.qlPolynomialCalibrationEndCriteria(R6,)</f>
        <v>StationaryFunctionValue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42311</v>
      </c>
      <c r="F9" s="296">
        <f>_xll.qlInterestRateIndexMaturity(ON_6M_index,E9)</f>
        <v>42493</v>
      </c>
      <c r="G9" s="62">
        <f>_xll.qlQuoteValue(D9,AllTriggers)</f>
        <v>9.9999999999999991E-5</v>
      </c>
      <c r="H9" s="62">
        <f>_xll.qlIndexFixing(ON_3M_index,_xll.qlInterestRateIndexFixingDate(ON_3M_index,E9),,AllTriggers)</f>
        <v>-1.2681575673526618E-3</v>
      </c>
      <c r="I9" s="265">
        <f t="shared" si="0"/>
        <v>1.3681575673526619E-3</v>
      </c>
      <c r="J9" s="62">
        <f>_xll.qlTenorBasisValue($R$18,E9,Trigger)</f>
        <v>1.3796049890570851E-3</v>
      </c>
      <c r="K9" s="188">
        <f t="shared" si="4"/>
        <v>-0.11447421704423268</v>
      </c>
      <c r="L9" s="206">
        <f>_xll.qlDayCounterYearFraction("actual/365 (fixed)",SettlementDate,E9,,,Trigger)</f>
        <v>0.41917808219178082</v>
      </c>
      <c r="M9" s="234">
        <f t="shared" si="1"/>
        <v>-1.1447421704423267E-5</v>
      </c>
      <c r="N9" s="184">
        <f>_xll.qlYieldTSDiscount(Discounting,E9,,AllTriggers)</f>
        <v>1.0005467480108097</v>
      </c>
      <c r="O9" s="237" t="b">
        <v>0</v>
      </c>
      <c r="Q9" s="277" t="s">
        <v>89</v>
      </c>
      <c r="R9" s="190">
        <f>_xll.qlPolynomialCalibrationError(R6,)</f>
        <v>1.0250214250354349E-5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42341</v>
      </c>
      <c r="F10" s="296">
        <f>_xll.qlInterestRateIndexMaturity(ON_6M_index,E10)</f>
        <v>42524</v>
      </c>
      <c r="G10" s="62">
        <f>_xll.qlQuoteValue(D10,AllTriggers)</f>
        <v>1.2999999999999999E-4</v>
      </c>
      <c r="H10" s="62">
        <f>_xll.qlIndexFixing(ON_3M_index,_xll.qlInterestRateIndexFixingDate(ON_3M_index,E10),,AllTriggers)</f>
        <v>-1.264740572951769E-3</v>
      </c>
      <c r="I10" s="265">
        <f t="shared" si="0"/>
        <v>1.3947405729517689E-3</v>
      </c>
      <c r="J10" s="62">
        <f>_xll.qlTenorBasisValue($R$18,E10,Trigger)</f>
        <v>1.3993489778082535E-3</v>
      </c>
      <c r="K10" s="188">
        <f t="shared" si="4"/>
        <v>-4.6084048564846214E-2</v>
      </c>
      <c r="L10" s="206">
        <f>_xll.qlDayCounterYearFraction("actual/365 (fixed)",SettlementDate,E10,,,Trigger)</f>
        <v>0.50136986301369868</v>
      </c>
      <c r="M10" s="234">
        <f t="shared" si="1"/>
        <v>-4.608404856484621E-6</v>
      </c>
      <c r="N10" s="184">
        <f>_xll.qlYieldTSDiscount(Discounting,E10,,AllTriggers)</f>
        <v>1.0006543206631913</v>
      </c>
      <c r="O10" s="237" t="b">
        <v>0</v>
      </c>
      <c r="Q10" s="277" t="s">
        <v>124</v>
      </c>
      <c r="R10" s="190">
        <f>_xll.qlPolynomialCalibrationMaxError(R6,)</f>
        <v>1.8222063581872002E-5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M5</v>
      </c>
      <c r="D11" s="248" t="str">
        <f t="shared" ref="D11:D22" si="6">Currency&amp;"FUT"&amp;"3M"&amp;C11&amp;QuoteSuffix</f>
        <v>EURFUT3MM5_Quote</v>
      </c>
      <c r="E11" s="295">
        <f>_xll.qlIMMdate(C11,SettlementDate,Trigger)</f>
        <v>42172</v>
      </c>
      <c r="F11" s="295">
        <f>_xll.qlInterestRateIndexMaturity(ON_6M_index,E11)</f>
        <v>42355</v>
      </c>
      <c r="G11" s="67">
        <f>1-_xll.qlQuoteValue(D11,AllTriggers)/100-_xll.qlQuoteValue(Currency&amp;"FUT"&amp;"3M"&amp;C11&amp;"ConvAdj_Quote")</f>
        <v>-2.4999999999941735E-5</v>
      </c>
      <c r="H11" s="67">
        <f>_xll.qlIndexFixing(ON_3M_index,_xll.qlInterestRateIndexFixingDate(ON_3M_index,E11),,AllTriggers)</f>
        <v>-1.2679446093900931E-3</v>
      </c>
      <c r="I11" s="280">
        <f t="shared" si="0"/>
        <v>1.2429446093901514E-3</v>
      </c>
      <c r="J11" s="67">
        <f>_xll.qlTenorBasisValue($R$18,E11,Trigger)</f>
        <v>1.2305373323989849E-3</v>
      </c>
      <c r="K11" s="240">
        <f t="shared" si="4"/>
        <v>0.12407276991166419</v>
      </c>
      <c r="L11" s="285">
        <f>_xll.qlDayCounterYearFraction("actual/365 (fixed)",SettlementDate,E11,,,Trigger)</f>
        <v>3.8356164383561646E-2</v>
      </c>
      <c r="M11" s="279">
        <f t="shared" si="1"/>
        <v>1.2407276991166418E-5</v>
      </c>
      <c r="N11" s="183">
        <f>_xll.qlYieldTSDiscount(Discounting,E11,,AllTriggers)</f>
        <v>1.0000529469280481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N5</v>
      </c>
      <c r="D12" s="249" t="str">
        <f t="shared" si="6"/>
        <v>EURFUT3MN5_Quote</v>
      </c>
      <c r="E12" s="296">
        <f>_xll.qlIMMdate(C12,SettlementDate,Trigger)</f>
        <v>42200</v>
      </c>
      <c r="F12" s="296">
        <f>_xll.qlInterestRateIndexMaturity(ON_6M_index,E12)</f>
        <v>42384</v>
      </c>
      <c r="G12" s="62">
        <f>1-_xll.qlQuoteValue(D12,AllTriggers)/100-_xll.qlQuoteValue(Currency&amp;"FUT"&amp;"3M"&amp;C12&amp;"ConvAdj_Quote")</f>
        <v>0</v>
      </c>
      <c r="H12" s="62">
        <f>_xll.qlIndexFixing(ON_3M_index,_xll.qlInterestRateIndexFixingDate(ON_3M_index,E12),,AllTriggers)</f>
        <v>-1.2865856613338785E-3</v>
      </c>
      <c r="I12" s="265">
        <f t="shared" si="0"/>
        <v>1.2865856613338785E-3</v>
      </c>
      <c r="J12" s="62">
        <f>_xll.qlTenorBasisValue($R$18,E12,Trigger)</f>
        <v>1.2692184009845313E-3</v>
      </c>
      <c r="K12" s="188">
        <f t="shared" si="4"/>
        <v>0.17367260349347236</v>
      </c>
      <c r="L12" s="206">
        <f>_xll.qlDayCounterYearFraction("actual/365 (fixed)",SettlementDate,E12,,,Trigger)</f>
        <v>0.11506849315068493</v>
      </c>
      <c r="M12" s="234">
        <f t="shared" si="1"/>
        <v>1.7367260349347236E-5</v>
      </c>
      <c r="N12" s="184">
        <f>_xll.qlYieldTSDiscount(Discounting,E12,,AllTriggers)</f>
        <v>1.0001493113500661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U5</v>
      </c>
      <c r="D13" s="249" t="str">
        <f t="shared" si="6"/>
        <v>EURFUT3MU5_Quote</v>
      </c>
      <c r="E13" s="296">
        <f>_xll.qlIMMdate(C13,SettlementDate,Trigger)</f>
        <v>42263</v>
      </c>
      <c r="F13" s="296">
        <f>_xll.qlInterestRateIndexMaturity(ON_6M_index,E13)</f>
        <v>42445</v>
      </c>
      <c r="G13" s="62">
        <f>1-_xll.qlQuoteValue(D13,AllTriggers)/100-_xll.qlQuoteValue(Currency&amp;"FUT"&amp;"3M"&amp;C13&amp;"ConvAdj_Quote")</f>
        <v>7.4999999999936229E-5</v>
      </c>
      <c r="H13" s="62">
        <f>_xll.qlIndexFixing(ON_3M_index,_xll.qlInterestRateIndexFixingDate(ON_3M_index,E13),,AllTriggers)</f>
        <v>-1.2914335346749404E-3</v>
      </c>
      <c r="I13" s="265">
        <f t="shared" si="0"/>
        <v>1.3664335346748767E-3</v>
      </c>
      <c r="J13" s="62">
        <f>_xll.qlTenorBasisValue($R$18,E13,Trigger)</f>
        <v>1.3396401843694514E-3</v>
      </c>
      <c r="K13" s="188">
        <f t="shared" si="4"/>
        <v>0.2679335030542529</v>
      </c>
      <c r="L13" s="206">
        <f>_xll.qlDayCounterYearFraction("actual/365 (fixed)",SettlementDate,E13,,,Trigger)</f>
        <v>0.28767123287671231</v>
      </c>
      <c r="M13" s="234">
        <f t="shared" si="1"/>
        <v>2.6793350305425291E-5</v>
      </c>
      <c r="N13" s="184">
        <f>_xll.qlYieldTSDiscount(Discounting,E13,,AllTriggers)</f>
        <v>1.0003734866227683</v>
      </c>
      <c r="O13" s="237" t="b">
        <v>1</v>
      </c>
      <c r="Q13" s="277" t="s">
        <v>113</v>
      </c>
      <c r="R13" s="190">
        <f t="array" ref="R13:R17">_xll.qlPolynomialCalibrationCoefficients($R$6,)</f>
        <v>1.2093474798235784E-3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Z5</v>
      </c>
      <c r="D14" s="249" t="str">
        <f t="shared" si="6"/>
        <v>EURFUT3MZ5_Quote</v>
      </c>
      <c r="E14" s="296">
        <f>_xll.qlIMMdate(C14,SettlementDate,Trigger)</f>
        <v>42354</v>
      </c>
      <c r="F14" s="296">
        <f>_xll.qlInterestRateIndexMaturity(ON_6M_index,E14)</f>
        <v>42537</v>
      </c>
      <c r="G14" s="62">
        <f>1-_xll.qlQuoteValue(D14,AllTriggers)/100-_xll.qlQuoteValue(Currency&amp;"FUT"&amp;"3M"&amp;C14&amp;"ConvAdj_Quote")</f>
        <v>1.2500000000004174E-4</v>
      </c>
      <c r="H14" s="62">
        <f>_xll.qlIndexFixing(ON_3M_index,_xll.qlInterestRateIndexFixingDate(ON_3M_index,E14),,AllTriggers)</f>
        <v>-1.2663902378452485E-3</v>
      </c>
      <c r="I14" s="265">
        <f t="shared" si="0"/>
        <v>1.3913902378452903E-3</v>
      </c>
      <c r="J14" s="62">
        <f>_xll.qlTenorBasisValue($R$18,E14,Trigger)</f>
        <v>1.4067743750445514E-3</v>
      </c>
      <c r="K14" s="188">
        <f t="shared" si="4"/>
        <v>-0.1538413719926108</v>
      </c>
      <c r="L14" s="206">
        <f>_xll.qlDayCounterYearFraction("actual/365 (fixed)",SettlementDate,E14,,,Trigger)</f>
        <v>0.53698630136986303</v>
      </c>
      <c r="M14" s="234">
        <f t="shared" si="1"/>
        <v>-1.5384137199261081E-5</v>
      </c>
      <c r="N14" s="184">
        <f>_xll.qlYieldTSDiscount(Discounting,E14,,AllTriggers)</f>
        <v>1.0007001608863211</v>
      </c>
      <c r="O14" s="237" t="b">
        <v>1</v>
      </c>
      <c r="Q14" s="277" t="s">
        <v>114</v>
      </c>
      <c r="R14" s="190">
        <v>5.6902754313964399E-4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H6</v>
      </c>
      <c r="D15" s="249" t="str">
        <f t="shared" si="6"/>
        <v>EURFUT3MH6_Quote</v>
      </c>
      <c r="E15" s="296">
        <f>_xll.qlIMMdate(C15,SettlementDate,Trigger)</f>
        <v>42445</v>
      </c>
      <c r="F15" s="296">
        <f>_xll.qlInterestRateIndexMaturity(ON_6M_index,E15)</f>
        <v>42629</v>
      </c>
      <c r="G15" s="62">
        <f>1-_xll.qlQuoteValue(D15,AllTriggers)/100-_xll.qlQuoteValue(Currency&amp;"FUT"&amp;"3M"&amp;C15&amp;"ConvAdj_Quote")</f>
        <v>1.7500000000003624E-4</v>
      </c>
      <c r="H15" s="62">
        <f>_xll.qlIndexFixing(ON_3M_index,_xll.qlInterestRateIndexFixingDate(ON_3M_index,E15),,AllTriggers)</f>
        <v>-1.2337339462181983E-3</v>
      </c>
      <c r="I15" s="265">
        <f t="shared" si="0"/>
        <v>1.4087339462182345E-3</v>
      </c>
      <c r="J15" s="62">
        <f>_xll.qlTenorBasisValue($R$18,E15,Trigger)</f>
        <v>1.4426074272068197E-3</v>
      </c>
      <c r="K15" s="188">
        <f t="shared" si="4"/>
        <v>-0.33873480988585136</v>
      </c>
      <c r="L15" s="206">
        <f>_xll.qlDayCounterYearFraction("actual/365 (fixed)",SettlementDate,E15,,,Trigger)</f>
        <v>0.78630136986301369</v>
      </c>
      <c r="M15" s="234">
        <f t="shared" si="1"/>
        <v>-3.3873480988585135E-5</v>
      </c>
      <c r="N15" s="184">
        <f>_xll.qlYieldTSDiscount(Discounting,E15,,AllTriggers)</f>
        <v>1.0010206029070592</v>
      </c>
      <c r="O15" s="237" t="b">
        <v>1</v>
      </c>
      <c r="Q15" s="277" t="s">
        <v>115</v>
      </c>
      <c r="R15" s="190">
        <v>-4.3660782585958248E-4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M6</v>
      </c>
      <c r="D16" s="249" t="str">
        <f t="shared" si="6"/>
        <v>EURFUT3MM6_Quote</v>
      </c>
      <c r="E16" s="296">
        <f>_xll.qlIMMdate(C16,SettlementDate,Trigger)</f>
        <v>42536</v>
      </c>
      <c r="F16" s="296">
        <f>_xll.qlInterestRateIndexMaturity(ON_6M_index,E16)</f>
        <v>42719</v>
      </c>
      <c r="G16" s="62">
        <f>1-_xll.qlQuoteValue(D16,AllTriggers)/100-_xll.qlQuoteValue(Currency&amp;"FUT"&amp;"3M"&amp;C16&amp;"ConvAdj_Quote")</f>
        <v>2.2500000000003073E-4</v>
      </c>
      <c r="H16" s="62">
        <f>_xll.qlIndexFixing(ON_3M_index,_xll.qlInterestRateIndexFixingDate(ON_3M_index,E16),,AllTriggers)</f>
        <v>-1.1993145132865627E-3</v>
      </c>
      <c r="I16" s="265">
        <f t="shared" si="0"/>
        <v>1.4243145132865934E-3</v>
      </c>
      <c r="J16" s="62">
        <f>_xll.qlTenorBasisValue($R$18,E16,Trigger)</f>
        <v>1.4578068636387901E-3</v>
      </c>
      <c r="K16" s="188">
        <f t="shared" si="4"/>
        <v>-0.33492350352196676</v>
      </c>
      <c r="L16" s="206">
        <f>_xll.qlDayCounterYearFraction("actual/365 (fixed)",SettlementDate,E16,,,Trigger)</f>
        <v>1.0356164383561643</v>
      </c>
      <c r="M16" s="234">
        <f t="shared" si="1"/>
        <v>-3.3492350352196673E-5</v>
      </c>
      <c r="N16" s="184">
        <f>_xll.qlYieldTSDiscount(Discounting,E16,,AllTriggers)</f>
        <v>1.0013329273010187</v>
      </c>
      <c r="O16" s="237" t="b">
        <v>1</v>
      </c>
      <c r="Q16" s="277" t="s">
        <v>116</v>
      </c>
      <c r="R16" s="190">
        <v>1.147272926255198E-4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U6</v>
      </c>
      <c r="D17" s="249" t="str">
        <f t="shared" si="6"/>
        <v>EURFUT3MU6_Quote</v>
      </c>
      <c r="E17" s="296">
        <f>_xll.qlIMMdate(C17,SettlementDate,Trigger)</f>
        <v>42634</v>
      </c>
      <c r="F17" s="296">
        <f>_xll.qlInterestRateIndexMaturity(ON_6M_index,E17)</f>
        <v>42815</v>
      </c>
      <c r="G17" s="62">
        <f>1-_xll.qlQuoteValue(D17,AllTriggers)/100-_xll.qlQuoteValue(Currency&amp;"FUT"&amp;"3M"&amp;C17&amp;"ConvAdj_Quote")</f>
        <v>3.7499999999990319E-4</v>
      </c>
      <c r="H17" s="62">
        <f>_xll.qlIndexFixing(ON_3M_index,_xll.qlInterestRateIndexFixingDate(ON_3M_index,E17),,AllTriggers)</f>
        <v>-1.1616258084357922E-3</v>
      </c>
      <c r="I17" s="265">
        <f t="shared" si="0"/>
        <v>1.5366258084356954E-3</v>
      </c>
      <c r="J17" s="62">
        <f>_xll.qlTenorBasisValue($R$18,E17,Trigger)</f>
        <v>1.4633358714497536E-3</v>
      </c>
      <c r="K17" s="188">
        <f t="shared" si="4"/>
        <v>0.73289936985941784</v>
      </c>
      <c r="L17" s="206">
        <f>_xll.qlDayCounterYearFraction("actual/365 (fixed)",SettlementDate,E17,,,Trigger)</f>
        <v>1.3041095890410959</v>
      </c>
      <c r="M17" s="234">
        <f t="shared" si="1"/>
        <v>7.328993698594178E-5</v>
      </c>
      <c r="N17" s="184">
        <f>_xll.qlYieldTSDiscount(Discounting,E17,,AllTriggers)</f>
        <v>1.0016603458265958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Z6</v>
      </c>
      <c r="D18" s="249" t="str">
        <f t="shared" si="6"/>
        <v>EURFUT3MZ6_Quote</v>
      </c>
      <c r="E18" s="296">
        <f>_xll.qlIMMdate(C18,SettlementDate,Trigger)</f>
        <v>42725</v>
      </c>
      <c r="F18" s="296">
        <f>_xll.qlInterestRateIndexMaturity(ON_6M_index,E18)</f>
        <v>42907</v>
      </c>
      <c r="G18" s="62">
        <f>1-_xll.qlQuoteValue(D18,AllTriggers)/100-_xll.qlQuoteValue(Currency&amp;"FUT"&amp;"3M"&amp;C18&amp;"ConvAdj_Quote")</f>
        <v>6.7499999999998117E-4</v>
      </c>
      <c r="H18" s="62">
        <f>_xll.qlIndexFixing(ON_3M_index,_xll.qlInterestRateIndexFixingDate(ON_3M_index,E18),,AllTriggers)</f>
        <v>-9.0656719738158031E-4</v>
      </c>
      <c r="I18" s="265">
        <f t="shared" si="0"/>
        <v>1.5815671973815615E-3</v>
      </c>
      <c r="J18" s="62">
        <f>_xll.qlTenorBasisValue($R$18,E18,Trigger)</f>
        <v>1.4697664509659486E-3</v>
      </c>
      <c r="K18" s="188">
        <f t="shared" si="4"/>
        <v>1.1180074641561293</v>
      </c>
      <c r="L18" s="206">
        <f>_xll.qlDayCounterYearFraction("actual/365 (fixed)",SettlementDate,E18,,,Trigger)</f>
        <v>1.5534246575342465</v>
      </c>
      <c r="M18" s="234">
        <f t="shared" si="1"/>
        <v>1.1180074641561292E-4</v>
      </c>
      <c r="N18" s="184">
        <f>_xll.qlYieldTSDiscount(Discounting,E18,,AllTriggers)</f>
        <v>1.0019545529386769</v>
      </c>
      <c r="O18" s="237" t="b">
        <v>0</v>
      </c>
      <c r="Q18" s="277" t="s">
        <v>118</v>
      </c>
      <c r="R18" s="190" t="str">
        <f>_xll.qlPolynomialTenorBasis(,SettlementDate,PROPER(Currency)&amp;IborType&amp;$F$1,Discounting,TRUE,_xll.ohFilter(R13:R17,S13:S17),,Trigger)</f>
        <v>obj_00845#0025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H7</v>
      </c>
      <c r="D19" s="249" t="str">
        <f t="shared" si="6"/>
        <v>EURFUT3MH7_Quote</v>
      </c>
      <c r="E19" s="296">
        <f>_xll.qlIMMdate(C19,SettlementDate,Trigger)</f>
        <v>42809</v>
      </c>
      <c r="F19" s="296">
        <f>_xll.qlInterestRateIndexMaturity(ON_6M_index,E19)</f>
        <v>42993</v>
      </c>
      <c r="G19" s="62">
        <f>1-_xll.qlQuoteValue(D19,AllTriggers)/100-_xll.qlQuoteValue(Currency&amp;"FUT"&amp;"3M"&amp;C19&amp;"ConvAdj_Quote")</f>
        <v>9.7499999999994813E-4</v>
      </c>
      <c r="H19" s="62">
        <f>_xll.qlIndexFixing(ON_3M_index,_xll.qlInterestRateIndexFixingDate(ON_3M_index,E19),,AllTriggers)</f>
        <v>-7.0196001319155566E-4</v>
      </c>
      <c r="I19" s="265">
        <f t="shared" si="0"/>
        <v>1.6769600131915038E-3</v>
      </c>
      <c r="J19" s="62">
        <f>_xll.qlTenorBasisValue($R$18,E19,Trigger)</f>
        <v>1.4862787063782564E-3</v>
      </c>
      <c r="K19" s="188">
        <f t="shared" si="4"/>
        <v>1.906813068132474</v>
      </c>
      <c r="L19" s="206">
        <f>_xll.qlDayCounterYearFraction("actual/365 (fixed)",SettlementDate,E19,,,Trigger)</f>
        <v>1.7835616438356163</v>
      </c>
      <c r="M19" s="234">
        <f t="shared" si="1"/>
        <v>1.9068130681324739E-4</v>
      </c>
      <c r="N19" s="184">
        <f>_xll.qlYieldTSDiscount(Discounting,E19,,AllTriggers)</f>
        <v>1.0021680337169827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M7</v>
      </c>
      <c r="D20" s="249" t="str">
        <f t="shared" si="6"/>
        <v>EURFUT3MM7_Quote</v>
      </c>
      <c r="E20" s="296">
        <f>_xll.qlIMMdate(C20,SettlementDate,Trigger)</f>
        <v>42907</v>
      </c>
      <c r="F20" s="296">
        <f>_xll.qlInterestRateIndexMaturity(ON_6M_index,E20)</f>
        <v>43090</v>
      </c>
      <c r="G20" s="62">
        <f>1-_xll.qlQuoteValue(D20,AllTriggers)/100-_xll.qlQuoteValue(Currency&amp;"FUT"&amp;"3M"&amp;C20&amp;"ConvAdj_Quote")</f>
        <v>1.3750000000000151E-3</v>
      </c>
      <c r="H20" s="62">
        <f>_xll.qlIndexFixing(ON_3M_index,_xll.qlInterestRateIndexFixingDate(ON_3M_index,E20),,AllTriggers)</f>
        <v>-3.284781182477176E-4</v>
      </c>
      <c r="I20" s="265">
        <f t="shared" si="0"/>
        <v>1.7034781182477328E-3</v>
      </c>
      <c r="J20" s="62">
        <f>_xll.qlTenorBasisValue($R$18,E20,Trigger)</f>
        <v>1.529863726659524E-3</v>
      </c>
      <c r="K20" s="188">
        <f t="shared" si="4"/>
        <v>1.7361439158820879</v>
      </c>
      <c r="L20" s="206">
        <f>_xll.qlDayCounterYearFraction("actual/365 (fixed)",SettlementDate,E20,,,Trigger)</f>
        <v>2.0520547945205481</v>
      </c>
      <c r="M20" s="234">
        <f t="shared" si="1"/>
        <v>1.7361439158820879E-4</v>
      </c>
      <c r="N20" s="184">
        <f>_xll.qlYieldTSDiscount(Discounting,E20,,AllTriggers)</f>
        <v>1.0023568024620977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U7</v>
      </c>
      <c r="D21" s="249" t="str">
        <f t="shared" si="6"/>
        <v>EURFUT3MU7_Quote</v>
      </c>
      <c r="E21" s="296">
        <f>_xll.qlIMMdate(C21,SettlementDate,Trigger)</f>
        <v>42998</v>
      </c>
      <c r="F21" s="296">
        <f>_xll.qlInterestRateIndexMaturity(ON_6M_index,E21)</f>
        <v>43179</v>
      </c>
      <c r="G21" s="62">
        <f>1-_xll.qlQuoteValue(D21,AllTriggers)/100-_xll.qlQuoteValue(Currency&amp;"FUT"&amp;"3M"&amp;C21&amp;"ConvAdj_Quote")</f>
        <v>1.8250000000000766E-3</v>
      </c>
      <c r="H21" s="62">
        <f>_xll.qlIndexFixing(ON_3M_index,_xll.qlInterestRateIndexFixingDate(ON_3M_index,E21),,AllTriggers)</f>
        <v>1.0452974699617344E-4</v>
      </c>
      <c r="I21" s="265">
        <f t="shared" si="0"/>
        <v>1.7204702530039032E-3</v>
      </c>
      <c r="J21" s="62">
        <f>_xll.qlTenorBasisValue($R$18,E21,Trigger)</f>
        <v>1.6048654684019739E-3</v>
      </c>
      <c r="K21" s="188">
        <f t="shared" si="4"/>
        <v>1.1560478460192927</v>
      </c>
      <c r="L21" s="206">
        <f>_xll.qlDayCounterYearFraction("actual/365 (fixed)",SettlementDate,E21,,,Trigger)</f>
        <v>2.3013698630136985</v>
      </c>
      <c r="M21" s="234">
        <f t="shared" si="1"/>
        <v>1.1560478460192927E-4</v>
      </c>
      <c r="N21" s="184">
        <f>_xll.qlYieldTSDiscount(Discounting,E21,,AllTriggers)</f>
        <v>1.0024406099152734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Z7</v>
      </c>
      <c r="D22" s="250" t="str">
        <f t="shared" si="6"/>
        <v>EURFUT3MZ7_Quote</v>
      </c>
      <c r="E22" s="297">
        <f>_xll.qlIMMdate(C22,SettlementDate,Trigger)</f>
        <v>43089</v>
      </c>
      <c r="F22" s="297">
        <f>_xll.qlInterestRateIndexMaturity(ON_6M_index,E22)</f>
        <v>43271</v>
      </c>
      <c r="G22" s="65">
        <f>1-_xll.qlQuoteValue(D22,AllTriggers)/100-_xll.qlQuoteValue(Currency&amp;"FUT"&amp;"3M"&amp;C22&amp;"ConvAdj_Quote")</f>
        <v>2.274999999999916E-3</v>
      </c>
      <c r="H22" s="65">
        <f>_xll.qlIndexFixing(ON_3M_index,_xll.qlInterestRateIndexFixingDate(ON_3M_index,E22),,AllTriggers)</f>
        <v>6.0910702822969398E-4</v>
      </c>
      <c r="I22" s="260">
        <f t="shared" si="0"/>
        <v>1.665892971770222E-3</v>
      </c>
      <c r="J22" s="65">
        <f>_xll.qlTenorBasisValue($R$18,E22,Trigger)</f>
        <v>1.7240593097849098E-3</v>
      </c>
      <c r="K22" s="189">
        <f t="shared" si="4"/>
        <v>-0.58166338014687757</v>
      </c>
      <c r="L22" s="207">
        <f>_xll.qlDayCounterYearFraction("actual/365 (fixed)",SettlementDate,E22,,,Trigger)</f>
        <v>2.5506849315068494</v>
      </c>
      <c r="M22" s="235">
        <f t="shared" si="1"/>
        <v>-5.8166338014687758E-5</v>
      </c>
      <c r="N22" s="185">
        <f>_xll.qlYieldTSDiscount(Discounting,E22,,AllTriggers)</f>
        <v>1.0024141233302251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42158</v>
      </c>
      <c r="H25" s="269">
        <f>_xll.qlCalendarAdvance(Calendar,SettlementDate,F25,"Following",,Trigger)</f>
        <v>42159</v>
      </c>
      <c r="I25" s="287">
        <f>_xll.qlTenorBasisForwardRate2(TenorBasis3M,G25,H25,AllTriggers)</f>
        <v>-1.0271029750708038E-4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42158</v>
      </c>
      <c r="H26" s="271">
        <f>_xll.qlCalendarAdvance(Calendar,SettlementDate,F26,"Following",,Trigger)</f>
        <v>42165</v>
      </c>
      <c r="I26" s="288">
        <f>_xll.qlTenorBasisForwardRate2(TenorBasis3M,G26,H26,AllTriggers)</f>
        <v>-9.7219193735398335E-5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42158</v>
      </c>
      <c r="H27" s="271">
        <f>_xll.qlCalendarAdvance(Calendar,SettlementDate,F27,"Following",,Trigger)</f>
        <v>42172</v>
      </c>
      <c r="I27" s="288">
        <f>_xll.qlTenorBasisForwardRate2(TenorBasis3M,G27,H27,AllTriggers)</f>
        <v>-6.093281876205582E-5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42158</v>
      </c>
      <c r="H28" s="271">
        <f>_xll.qlCalendarAdvance(Calendar,SettlementDate,F28,"Following",,Trigger)</f>
        <v>42179</v>
      </c>
      <c r="I28" s="288">
        <f>_xll.qlTenorBasisForwardRate2(TenorBasis3M,G28,H28,AllTriggers)</f>
        <v>-4.4760301796437875E-5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42158</v>
      </c>
      <c r="H29" s="273">
        <f>_xll.qlCalendarAdvance(Calendar,SettlementDate,F29,"mf",TRUE,Trigger)</f>
        <v>42188</v>
      </c>
      <c r="I29" s="289">
        <f>_xll.qlTenorBasisForwardRate2(TenorBasis3M,G29,H29,AllTriggers)</f>
        <v>-6.2492089720311839E-5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42158</v>
      </c>
      <c r="H30" s="271">
        <f>_xll.qlCalendarAdvance(Calendar,SettlementDate,F30,"mf",TRUE,Trigger)</f>
        <v>42219</v>
      </c>
      <c r="I30" s="288">
        <f>_xll.qlTenorBasisForwardRate2(TenorBasis3M,G30,H30,AllTriggers)</f>
        <v>-7.0270523250751243E-5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42158</v>
      </c>
      <c r="H31" s="275">
        <f>_xll.qlCalendarAdvance(Calendar,SettlementDate,F31,"mf",TRUE,Trigger)</f>
        <v>42250</v>
      </c>
      <c r="I31" s="291">
        <f>_xll.qlTenorBasisForwardRate2(TenorBasis3M,G31,H31,AllTriggers)</f>
        <v>-6.0840496784477494E-5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disablePrompts="1"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42158</v>
      </c>
      <c r="F3" s="294">
        <f>_xll.qlInterestRateIndexMaturity(PROPER(Currency)&amp;"ibor"&amp;$F$1,E3)</f>
        <v>42341</v>
      </c>
      <c r="G3" s="258">
        <f>J3+$H$4</f>
        <v>5.8523967021275615E-4</v>
      </c>
      <c r="H3" s="239"/>
      <c r="I3" s="239"/>
      <c r="J3" s="190">
        <f>_xll.qlTenorBasisValue($R$18,E3,Trigger)</f>
        <v>1.8584799330034713E-3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obj_00594#0000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42158</v>
      </c>
      <c r="F4" s="294">
        <f>_xll.qlInterestRateIndexMaturity(ON_6M_index,E4)</f>
        <v>42341</v>
      </c>
      <c r="G4" s="190">
        <f>_xll.qlQuoteValue(D4,LastFixingsTrigger)</f>
        <v>4.8999999999999998E-4</v>
      </c>
      <c r="H4" s="190">
        <f>_xll.qlIndexFixing(ON_6M_index,_xll.qlInterestRateIndexFixingDate(ON_6M_index,E4),,AllTriggers)</f>
        <v>-1.2732402627907151E-3</v>
      </c>
      <c r="I4" s="258">
        <f t="shared" ref="I4:I22" si="0">G4-H4</f>
        <v>1.7632402627907151E-3</v>
      </c>
      <c r="J4" s="186">
        <f>_xll.qlTenorBasisValue($R$18,E4,Trigger)</f>
        <v>1.8584799330034713E-3</v>
      </c>
      <c r="K4" s="187">
        <f>M4*10000</f>
        <v>-0.95239670212756167</v>
      </c>
      <c r="L4" s="284">
        <f>_xll.qlDayCounterYearFraction("actual/365 (fixed)",SettlementDate,E4,,,Trigger)</f>
        <v>0</v>
      </c>
      <c r="M4" s="278">
        <f t="shared" ref="M4:M22" si="1">I4-J4</f>
        <v>-9.5239670212756171E-5</v>
      </c>
      <c r="N4" s="281">
        <f>_xll.qlYieldTSDiscount(Discounting,E4,,AllTriggers)</f>
        <v>1.0000066667000043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42188</v>
      </c>
      <c r="F5" s="295">
        <f>_xll.qlInterestRateIndexMaturity(ON_6M_index,E5)</f>
        <v>42373</v>
      </c>
      <c r="G5" s="67">
        <f>_xll.qlQuoteValue(D5,AllTriggers)</f>
        <v>6.6E-4</v>
      </c>
      <c r="H5" s="67">
        <f>_xll.qlIndexFixing(ON_6M_index,_xll.qlInterestRateIndexFixingDate(ON_6M_index,E5),,AllTriggers)</f>
        <v>-1.2814961883928155E-3</v>
      </c>
      <c r="I5" s="280">
        <f t="shared" si="0"/>
        <v>1.9414961883928155E-3</v>
      </c>
      <c r="J5" s="67">
        <f>_xll.qlTenorBasisValue($R$18,E5,Trigger)</f>
        <v>1.9153719187088693E-3</v>
      </c>
      <c r="K5" s="240">
        <f t="shared" ref="K5:K22" si="4">M5*10000</f>
        <v>0.26124269683946166</v>
      </c>
      <c r="L5" s="285">
        <f>_xll.qlDayCounterYearFraction("actual/365 (fixed)",SettlementDate,E5,,,Trigger)</f>
        <v>8.2191780821917804E-2</v>
      </c>
      <c r="M5" s="279">
        <f t="shared" si="1"/>
        <v>2.6124269683946164E-5</v>
      </c>
      <c r="N5" s="183">
        <f>_xll.qlYieldTSDiscount(Discounting,E5,,AllTriggers)</f>
        <v>1.0001071357577196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42219</v>
      </c>
      <c r="F6" s="296">
        <f>_xll.qlInterestRateIndexMaturity(ON_6M_index,E6)</f>
        <v>42403</v>
      </c>
      <c r="G6" s="62">
        <f>_xll.qlQuoteValue(D6,AllTriggers)</f>
        <v>7.2000000000000005E-4</v>
      </c>
      <c r="H6" s="62">
        <f>_xll.qlIndexFixing(ON_6M_index,_xll.qlInterestRateIndexFixingDate(ON_6M_index,E6),,AllTriggers)</f>
        <v>-1.2794714107376402E-3</v>
      </c>
      <c r="I6" s="265">
        <f t="shared" si="0"/>
        <v>1.9994714107376401E-3</v>
      </c>
      <c r="J6" s="62">
        <f>_xll.qlTenorBasisValue($R$18,E6,Trigger)</f>
        <v>1.9672460658851925E-3</v>
      </c>
      <c r="K6" s="188">
        <f t="shared" si="4"/>
        <v>0.3222534485244769</v>
      </c>
      <c r="L6" s="206">
        <f>_xll.qlDayCounterYearFraction("actual/365 (fixed)",SettlementDate,E6,,,Trigger)</f>
        <v>0.16712328767123288</v>
      </c>
      <c r="M6" s="234">
        <f t="shared" si="1"/>
        <v>3.2225344852447688E-5</v>
      </c>
      <c r="N6" s="184">
        <f>_xll.qlYieldTSDiscount(Discounting,E6,,AllTriggers)</f>
        <v>1.0002165933156868</v>
      </c>
      <c r="O6" s="237" t="b">
        <v>1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obj_005dc#0025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42250</v>
      </c>
      <c r="F7" s="296">
        <f>_xll.qlInterestRateIndexMaturity(ON_6M_index,E7)</f>
        <v>42432</v>
      </c>
      <c r="G7" s="62">
        <f>_xll.qlQuoteValue(D7,AllTriggers)</f>
        <v>7.7000000000000018E-4</v>
      </c>
      <c r="H7" s="62">
        <f>_xll.qlIndexFixing(ON_6M_index,_xll.qlInterestRateIndexFixingDate(ON_6M_index,E7),,AllTriggers)</f>
        <v>-1.279473888313341E-3</v>
      </c>
      <c r="I7" s="265">
        <f t="shared" si="0"/>
        <v>2.0494738883133413E-3</v>
      </c>
      <c r="J7" s="62">
        <f>_xll.qlTenorBasisValue($R$18,E7,Trigger)</f>
        <v>2.012665102094391E-3</v>
      </c>
      <c r="K7" s="188">
        <f t="shared" si="4"/>
        <v>0.3680878621895034</v>
      </c>
      <c r="L7" s="206">
        <f>_xll.qlDayCounterYearFraction("actual/365 (fixed)",SettlementDate,E7,,,Trigger)</f>
        <v>0.25205479452054796</v>
      </c>
      <c r="M7" s="234">
        <f t="shared" si="1"/>
        <v>3.680878621895034E-5</v>
      </c>
      <c r="N7" s="184">
        <f>_xll.qlYieldTSDiscount(Discounting,E7,,AllTriggers)</f>
        <v>1.0003268550931477</v>
      </c>
      <c r="O7" s="237" t="b">
        <v>1</v>
      </c>
      <c r="Q7" s="277" t="s">
        <v>127</v>
      </c>
      <c r="R7" s="282" t="b">
        <f>_xll.qlPolynomialCalibrationCompute($R$6)</f>
        <v>1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42282</v>
      </c>
      <c r="F8" s="296">
        <f>_xll.qlInterestRateIndexMaturity(ON_6M_index,E8)</f>
        <v>42465</v>
      </c>
      <c r="G8" s="62">
        <f>_xll.qlQuoteValue(D8,AllTriggers)</f>
        <v>8.200000000000002E-4</v>
      </c>
      <c r="H8" s="62">
        <f>_xll.qlIndexFixing(ON_6M_index,_xll.qlInterestRateIndexFixingDate(ON_6M_index,E8),,AllTriggers)</f>
        <v>-1.2711693322528391E-3</v>
      </c>
      <c r="I8" s="265">
        <f t="shared" si="0"/>
        <v>2.0911693322528393E-3</v>
      </c>
      <c r="J8" s="62">
        <f>_xll.qlTenorBasisValue($R$18,E8,Trigger)</f>
        <v>2.0533919822109102E-3</v>
      </c>
      <c r="K8" s="188">
        <f t="shared" si="4"/>
        <v>0.37777350041929159</v>
      </c>
      <c r="L8" s="206">
        <f>_xll.qlDayCounterYearFraction("actual/365 (fixed)",SettlementDate,E8,,,Trigger)</f>
        <v>0.33972602739726027</v>
      </c>
      <c r="M8" s="234">
        <f t="shared" si="1"/>
        <v>3.7777350041929159E-5</v>
      </c>
      <c r="N8" s="184">
        <f>_xll.qlYieldTSDiscount(Discounting,E8,,AllTriggers)</f>
        <v>1.0004421317874643</v>
      </c>
      <c r="O8" s="237" t="b">
        <v>1</v>
      </c>
      <c r="Q8" s="277" t="s">
        <v>128</v>
      </c>
      <c r="R8" s="282" t="str">
        <f>_xll.qlPolynomialCalibrationEndCriteria(R6,)</f>
        <v>StationaryFunctionValue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42311</v>
      </c>
      <c r="F9" s="296">
        <f>_xll.qlInterestRateIndexMaturity(ON_6M_index,E9)</f>
        <v>42493</v>
      </c>
      <c r="G9" s="62">
        <f>_xll.qlQuoteValue(D9,AllTriggers)</f>
        <v>8.6000000000000009E-4</v>
      </c>
      <c r="H9" s="62">
        <f>_xll.qlIndexFixing(ON_6M_index,_xll.qlInterestRateIndexFixingDate(ON_6M_index,E9),,AllTriggers)</f>
        <v>-1.2609079967968689E-3</v>
      </c>
      <c r="I9" s="265">
        <f t="shared" si="0"/>
        <v>2.120907996796869E-3</v>
      </c>
      <c r="J9" s="62">
        <f>_xll.qlTenorBasisValue($R$18,E9,Trigger)</f>
        <v>2.0854247243620241E-3</v>
      </c>
      <c r="K9" s="188">
        <f t="shared" si="4"/>
        <v>0.35483272434844865</v>
      </c>
      <c r="L9" s="206">
        <f>_xll.qlDayCounterYearFraction("actual/365 (fixed)",SettlementDate,E9,,,Trigger)</f>
        <v>0.41917808219178082</v>
      </c>
      <c r="M9" s="234">
        <f t="shared" si="1"/>
        <v>3.5483272434844865E-5</v>
      </c>
      <c r="N9" s="184">
        <f>_xll.qlYieldTSDiscount(Discounting,E9,,AllTriggers)</f>
        <v>1.0005467480108097</v>
      </c>
      <c r="O9" s="237" t="b">
        <v>1</v>
      </c>
      <c r="Q9" s="277" t="s">
        <v>89</v>
      </c>
      <c r="R9" s="190">
        <f>_xll.qlPolynomialCalibrationError(R6,)</f>
        <v>7.3812388995808134E-6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42341</v>
      </c>
      <c r="F10" s="296">
        <f>_xll.qlInterestRateIndexMaturity(ON_6M_index,E10)</f>
        <v>42524</v>
      </c>
      <c r="G10" s="62">
        <f>_xll.qlQuoteValue(D10,AllTriggers)</f>
        <v>9.1E-4</v>
      </c>
      <c r="H10" s="62">
        <f>_xll.qlIndexFixing(ON_6M_index,_xll.qlInterestRateIndexFixingDate(ON_6M_index,E10),,AllTriggers)</f>
        <v>-1.2525972100330494E-3</v>
      </c>
      <c r="I10" s="265">
        <f t="shared" si="0"/>
        <v>2.1625972100330496E-3</v>
      </c>
      <c r="J10" s="62">
        <f>_xll.qlTenorBasisValue($R$18,E10,Trigger)</f>
        <v>2.1142047655212464E-3</v>
      </c>
      <c r="K10" s="188">
        <f t="shared" si="4"/>
        <v>0.48392444511803201</v>
      </c>
      <c r="L10" s="206">
        <f>_xll.qlDayCounterYearFraction("actual/365 (fixed)",SettlementDate,E10,,,Trigger)</f>
        <v>0.50136986301369868</v>
      </c>
      <c r="M10" s="234">
        <f t="shared" si="1"/>
        <v>4.83924445118032E-5</v>
      </c>
      <c r="N10" s="184">
        <f>_xll.qlYieldTSDiscount(Discounting,E10,,AllTriggers)</f>
        <v>1.0006543206631913</v>
      </c>
      <c r="O10" s="237" t="b">
        <v>1</v>
      </c>
      <c r="Q10" s="277" t="s">
        <v>124</v>
      </c>
      <c r="R10" s="190">
        <f>_xll.qlPolynomialCalibrationMaxError(R6,)</f>
        <v>1.5764897319801938E-5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42373</v>
      </c>
      <c r="F11" s="295">
        <f>_xll.qlInterestRateIndexMaturity(ON_6M_index,E11)</f>
        <v>42555</v>
      </c>
      <c r="G11" s="67">
        <f>_xll.qlQuoteValue(D11,AllTriggers)</f>
        <v>9.3999999999999997E-4</v>
      </c>
      <c r="H11" s="67">
        <f>_xll.qlIndexFixing(ON_6M_index,_xll.qlInterestRateIndexFixingDate(ON_6M_index,E11),,AllTriggers)</f>
        <v>-1.2454124175171571E-3</v>
      </c>
      <c r="I11" s="280">
        <f t="shared" si="0"/>
        <v>2.185412417517157E-3</v>
      </c>
      <c r="J11" s="67">
        <f>_xll.qlTenorBasisValue($R$18,E11,Trigger)</f>
        <v>2.1406039045131927E-3</v>
      </c>
      <c r="K11" s="240">
        <f t="shared" si="4"/>
        <v>0.44808513003964312</v>
      </c>
      <c r="L11" s="285">
        <f>_xll.qlDayCounterYearFraction("actual/365 (fixed)",SettlementDate,E11,,,Trigger)</f>
        <v>0.58904109589041098</v>
      </c>
      <c r="M11" s="279">
        <f t="shared" si="1"/>
        <v>4.4808513003964309E-5</v>
      </c>
      <c r="N11" s="183">
        <f>_xll.qlYieldTSDiscount(Discounting,E11,,AllTriggers)</f>
        <v>1.0007661869799589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42403</v>
      </c>
      <c r="F12" s="296">
        <f>_xll.qlInterestRateIndexMaturity(ON_6M_index,E12)</f>
        <v>42585</v>
      </c>
      <c r="G12" s="62">
        <f>_xll.qlQuoteValue(D12,AllTriggers)</f>
        <v>9.6000000000000002E-4</v>
      </c>
      <c r="H12" s="62">
        <f>_xll.qlIndexFixing(ON_6M_index,_xll.qlInterestRateIndexFixingDate(ON_6M_index,E12),,AllTriggers)</f>
        <v>-1.2343366098854537E-3</v>
      </c>
      <c r="I12" s="265">
        <f t="shared" si="0"/>
        <v>2.1943366098854536E-3</v>
      </c>
      <c r="J12" s="62">
        <f>_xll.qlTenorBasisValue($R$18,E12,Trigger)</f>
        <v>2.1618762572705747E-3</v>
      </c>
      <c r="K12" s="188">
        <f t="shared" si="4"/>
        <v>0.32460352614878918</v>
      </c>
      <c r="L12" s="206">
        <f>_xll.qlDayCounterYearFraction("actual/365 (fixed)",SettlementDate,E12,,,Trigger)</f>
        <v>0.67123287671232879</v>
      </c>
      <c r="M12" s="234">
        <f t="shared" si="1"/>
        <v>3.2460352614878916E-5</v>
      </c>
      <c r="N12" s="184">
        <f>_xll.qlYieldTSDiscount(Discounting,E12,,AllTriggers)</f>
        <v>1.0008711150375322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42432</v>
      </c>
      <c r="F13" s="296">
        <f>_xll.qlInterestRateIndexMaturity(ON_6M_index,E13)</f>
        <v>42618</v>
      </c>
      <c r="G13" s="62">
        <f>_xll.qlQuoteValue(D13,AllTriggers)</f>
        <v>9.7999999999999997E-4</v>
      </c>
      <c r="H13" s="62">
        <f>_xll.qlIndexFixing(ON_6M_index,_xll.qlInterestRateIndexFixingDate(ON_6M_index,E13),,AllTriggers)</f>
        <v>-1.2207137213054102E-3</v>
      </c>
      <c r="I13" s="265">
        <f t="shared" si="0"/>
        <v>2.2007137213054103E-3</v>
      </c>
      <c r="J13" s="62">
        <f>_xll.qlTenorBasisValue($R$18,E13,Trigger)</f>
        <v>2.1797453012485403E-3</v>
      </c>
      <c r="K13" s="188">
        <f t="shared" si="4"/>
        <v>0.20968420056870046</v>
      </c>
      <c r="L13" s="206">
        <f>_xll.qlDayCounterYearFraction("actual/365 (fixed)",SettlementDate,E13,,,Trigger)</f>
        <v>0.75068493150684934</v>
      </c>
      <c r="M13" s="234">
        <f t="shared" si="1"/>
        <v>2.0968420056870045E-5</v>
      </c>
      <c r="N13" s="184">
        <f>_xll.qlYieldTSDiscount(Discounting,E13,,AllTriggers)</f>
        <v>1.0009743304664924</v>
      </c>
      <c r="O13" s="237" t="b">
        <v>1</v>
      </c>
      <c r="Q13" s="277" t="s">
        <v>113</v>
      </c>
      <c r="R13" s="190">
        <f t="array" ref="R13:R17">_xll.qlPolynomialCalibrationCoefficients($R$6,)</f>
        <v>1.8584799330034713E-3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42464</v>
      </c>
      <c r="F14" s="296">
        <f>_xll.qlInterestRateIndexMaturity(ON_6M_index,E14)</f>
        <v>42647</v>
      </c>
      <c r="G14" s="62">
        <f>_xll.qlQuoteValue(D14,AllTriggers)</f>
        <v>1.01E-3</v>
      </c>
      <c r="H14" s="62">
        <f>_xll.qlIndexFixing(ON_6M_index,_xll.qlInterestRateIndexFixingDate(ON_6M_index,E14),,AllTriggers)</f>
        <v>-1.2157748315225704E-3</v>
      </c>
      <c r="I14" s="265">
        <f t="shared" si="0"/>
        <v>2.2257748315225702E-3</v>
      </c>
      <c r="J14" s="62">
        <f>_xll.qlTenorBasisValue($R$18,E14,Trigger)</f>
        <v>2.1969642366057498E-3</v>
      </c>
      <c r="K14" s="188">
        <f t="shared" si="4"/>
        <v>0.28810594916820442</v>
      </c>
      <c r="L14" s="206">
        <f>_xll.qlDayCounterYearFraction("actual/365 (fixed)",SettlementDate,E14,,,Trigger)</f>
        <v>0.83835616438356164</v>
      </c>
      <c r="M14" s="234">
        <f t="shared" si="1"/>
        <v>2.8810594916820441E-5</v>
      </c>
      <c r="N14" s="184">
        <f>_xll.qlYieldTSDiscount(Discounting,E14,,AllTriggers)</f>
        <v>1.0010855926004159</v>
      </c>
      <c r="O14" s="237" t="b">
        <v>1</v>
      </c>
      <c r="Q14" s="277" t="s">
        <v>114</v>
      </c>
      <c r="R14" s="190">
        <v>7.3438583964840934E-4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42493</v>
      </c>
      <c r="F15" s="296">
        <f>_xll.qlInterestRateIndexMaturity(ON_6M_index,E15)</f>
        <v>42677</v>
      </c>
      <c r="G15" s="62">
        <f>_xll.qlQuoteValue(D15,AllTriggers)</f>
        <v>1.0400000000000001E-3</v>
      </c>
      <c r="H15" s="62">
        <f>_xll.qlIndexFixing(ON_6M_index,_xll.qlInterestRateIndexFixingDate(ON_6M_index,E15),,AllTriggers)</f>
        <v>-1.2121524187789273E-3</v>
      </c>
      <c r="I15" s="265">
        <f t="shared" si="0"/>
        <v>2.2521524187789277E-3</v>
      </c>
      <c r="J15" s="62">
        <f>_xll.qlTenorBasisValue($R$18,E15,Trigger)</f>
        <v>2.210819962135882E-3</v>
      </c>
      <c r="K15" s="188">
        <f t="shared" si="4"/>
        <v>0.41332456643045684</v>
      </c>
      <c r="L15" s="206">
        <f>_xll.qlDayCounterYearFraction("actual/365 (fixed)",SettlementDate,E15,,,Trigger)</f>
        <v>0.9178082191780822</v>
      </c>
      <c r="M15" s="234">
        <f t="shared" si="1"/>
        <v>4.1332456643045686E-5</v>
      </c>
      <c r="N15" s="184">
        <f>_xll.qlYieldTSDiscount(Discounting,E15,,AllTriggers)</f>
        <v>1.001184962418644</v>
      </c>
      <c r="O15" s="237" t="b">
        <v>1</v>
      </c>
      <c r="Q15" s="277" t="s">
        <v>115</v>
      </c>
      <c r="R15" s="190">
        <v>-5.2637314717053553E-4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42524</v>
      </c>
      <c r="F16" s="296">
        <f>_xll.qlInterestRateIndexMaturity(ON_6M_index,E16)</f>
        <v>42709</v>
      </c>
      <c r="G16" s="62">
        <f>_xll.qlQuoteValue(D16,AllTriggers)</f>
        <v>1.0800000000000002E-3</v>
      </c>
      <c r="H16" s="62">
        <f>_xll.qlIndexFixing(ON_6M_index,_xll.qlInterestRateIndexFixingDate(ON_6M_index,E16),,AllTriggers)</f>
        <v>-1.1954608250271078E-3</v>
      </c>
      <c r="I16" s="265">
        <f t="shared" si="0"/>
        <v>2.2754608250271082E-3</v>
      </c>
      <c r="J16" s="62">
        <f>_xll.qlTenorBasisValue($R$18,E16,Trigger)</f>
        <v>2.2243463608055195E-3</v>
      </c>
      <c r="K16" s="188">
        <f t="shared" si="4"/>
        <v>0.51114464221588796</v>
      </c>
      <c r="L16" s="206">
        <f>_xll.qlDayCounterYearFraction("actual/365 (fixed)",SettlementDate,E16,,,Trigger)</f>
        <v>1.0027397260273974</v>
      </c>
      <c r="M16" s="234">
        <f t="shared" si="1"/>
        <v>5.1114464221588794E-5</v>
      </c>
      <c r="N16" s="184">
        <f>_xll.qlYieldTSDiscount(Discounting,E16,,AllTriggers)</f>
        <v>1.0012918801660831</v>
      </c>
      <c r="O16" s="237" t="b">
        <v>1</v>
      </c>
      <c r="Q16" s="277" t="s">
        <v>116</v>
      </c>
      <c r="R16" s="190">
        <v>1.5743239353164766E-4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42555</v>
      </c>
      <c r="F17" s="296">
        <f>_xll.qlInterestRateIndexMaturity(ON_6M_index,E17)</f>
        <v>42739</v>
      </c>
      <c r="G17" s="62">
        <f>_xll.qlQuoteValue(D17,AllTriggers)</f>
        <v>1.14E-3</v>
      </c>
      <c r="H17" s="62">
        <f>_xll.qlIndexFixing(ON_6M_index,_xll.qlInterestRateIndexFixingDate(ON_6M_index,E17),,AllTriggers)</f>
        <v>-1.1658606330405589E-3</v>
      </c>
      <c r="I17" s="265">
        <f t="shared" si="0"/>
        <v>2.3058606330405591E-3</v>
      </c>
      <c r="J17" s="62">
        <f>_xll.qlTenorBasisValue($R$18,E17,Trigger)</f>
        <v>2.2371112882253008E-3</v>
      </c>
      <c r="K17" s="188">
        <f t="shared" si="4"/>
        <v>0.68749344815258273</v>
      </c>
      <c r="L17" s="206">
        <f>_xll.qlDayCounterYearFraction("actual/365 (fixed)",SettlementDate,E17,,,Trigger)</f>
        <v>1.0876712328767124</v>
      </c>
      <c r="M17" s="234">
        <f t="shared" si="1"/>
        <v>6.8749344815258271E-5</v>
      </c>
      <c r="N17" s="184">
        <f>_xll.qlYieldTSDiscount(Discounting,E17,,AllTriggers)</f>
        <v>1.0013966915387353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42585</v>
      </c>
      <c r="F18" s="296">
        <f>_xll.qlInterestRateIndexMaturity(ON_6M_index,E18)</f>
        <v>42769</v>
      </c>
      <c r="G18" s="62">
        <f>_xll.qlQuoteValue(D18,AllTriggers)</f>
        <v>1.1999999999999999E-3</v>
      </c>
      <c r="H18" s="62">
        <f>_xll.qlIndexFixing(ON_6M_index,_xll.qlInterestRateIndexFixingDate(ON_6M_index,E18),,AllTriggers)</f>
        <v>-1.1250050230085156E-3</v>
      </c>
      <c r="I18" s="265">
        <f t="shared" si="0"/>
        <v>2.3250050230085154E-3</v>
      </c>
      <c r="J18" s="62">
        <f>_xll.qlTenorBasisValue($R$18,E18,Trigger)</f>
        <v>2.2492844944279715E-3</v>
      </c>
      <c r="K18" s="188">
        <f t="shared" si="4"/>
        <v>0.75720528580543955</v>
      </c>
      <c r="L18" s="206">
        <f>_xll.qlDayCounterYearFraction("actual/365 (fixed)",SettlementDate,E18,,,Trigger)</f>
        <v>1.1698630136986301</v>
      </c>
      <c r="M18" s="234">
        <f t="shared" si="1"/>
        <v>7.5720528580543959E-5</v>
      </c>
      <c r="N18" s="184">
        <f>_xll.qlYieldTSDiscount(Discounting,E18,,AllTriggers)</f>
        <v>1.001496074356979</v>
      </c>
      <c r="O18" s="237" t="b">
        <v>0</v>
      </c>
      <c r="Q18" s="277" t="s">
        <v>118</v>
      </c>
      <c r="R18" s="190" t="str">
        <f>_xll.qlPolynomialTenorBasis(,SettlementDate,PROPER(Currency)&amp;IborType&amp;$F$1,Discounting,TRUE,_xll.ohFilter(R13:R17,S13:S17),,Trigger)</f>
        <v>obj_005e1#0026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42618</v>
      </c>
      <c r="F19" s="296">
        <f>_xll.qlInterestRateIndexMaturity(ON_6M_index,E19)</f>
        <v>42800</v>
      </c>
      <c r="G19" s="62">
        <f>_xll.qlQuoteValue(D19,AllTriggers)</f>
        <v>1.2700000000000001E-3</v>
      </c>
      <c r="H19" s="62">
        <f>_xll.qlIndexFixing(ON_6M_index,_xll.qlInterestRateIndexFixingDate(ON_6M_index,E19),,AllTriggers)</f>
        <v>-1.0681118943384499E-3</v>
      </c>
      <c r="I19" s="265">
        <f t="shared" si="0"/>
        <v>2.33811189433845E-3</v>
      </c>
      <c r="J19" s="62">
        <f>_xll.qlTenorBasisValue($R$18,E19,Trigger)</f>
        <v>2.2631032869920241E-3</v>
      </c>
      <c r="K19" s="188">
        <f t="shared" si="4"/>
        <v>0.7500860734642586</v>
      </c>
      <c r="L19" s="206">
        <f>_xll.qlDayCounterYearFraction("actual/365 (fixed)",SettlementDate,E19,,,Trigger)</f>
        <v>1.2602739726027397</v>
      </c>
      <c r="M19" s="234">
        <f t="shared" si="1"/>
        <v>7.5008607346425862E-5</v>
      </c>
      <c r="N19" s="184">
        <f>_xll.qlYieldTSDiscount(Discounting,E19,,AllTriggers)</f>
        <v>1.001606045492081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42646</v>
      </c>
      <c r="F20" s="296">
        <f>_xll.qlInterestRateIndexMaturity(ON_6M_index,E20)</f>
        <v>42828</v>
      </c>
      <c r="G20" s="62">
        <f>_xll.qlQuoteValue(D20,AllTriggers)</f>
        <v>1.3500000000000001E-3</v>
      </c>
      <c r="H20" s="62">
        <f>_xll.qlIndexFixing(ON_6M_index,_xll.qlInterestRateIndexFixingDate(ON_6M_index,E20),,AllTriggers)</f>
        <v>-1.0051678386224904E-3</v>
      </c>
      <c r="I20" s="265">
        <f t="shared" si="0"/>
        <v>2.3551678386224905E-3</v>
      </c>
      <c r="J20" s="62">
        <f>_xll.qlTenorBasisValue($R$18,E20,Trigger)</f>
        <v>2.2756833691085668E-3</v>
      </c>
      <c r="K20" s="188">
        <f t="shared" si="4"/>
        <v>0.79484469513923728</v>
      </c>
      <c r="L20" s="206">
        <f>_xll.qlDayCounterYearFraction("actual/365 (fixed)",SettlementDate,E20,,,Trigger)</f>
        <v>1.3369863013698631</v>
      </c>
      <c r="M20" s="234">
        <f t="shared" si="1"/>
        <v>7.9484469513923725E-5</v>
      </c>
      <c r="N20" s="184">
        <f>_xll.qlYieldTSDiscount(Discounting,E20,,AllTriggers)</f>
        <v>1.0017012582761144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42677</v>
      </c>
      <c r="F21" s="296">
        <f>_xll.qlInterestRateIndexMaturity(ON_6M_index,E21)</f>
        <v>42858</v>
      </c>
      <c r="G21" s="62">
        <f>_xll.qlQuoteValue(D21,AllTriggers)</f>
        <v>1.4499999999999999E-3</v>
      </c>
      <c r="H21" s="62">
        <f>_xll.qlIndexFixing(ON_6M_index,_xll.qlInterestRateIndexFixingDate(ON_6M_index,E21),,AllTriggers)</f>
        <v>-9.2681546496249342E-4</v>
      </c>
      <c r="I21" s="265">
        <f t="shared" si="0"/>
        <v>2.3768154649624934E-3</v>
      </c>
      <c r="J21" s="62">
        <f>_xll.qlTenorBasisValue($R$18,E21,Trigger)</f>
        <v>2.2910717121046682E-3</v>
      </c>
      <c r="K21" s="188">
        <f t="shared" si="4"/>
        <v>0.85743752857825228</v>
      </c>
      <c r="L21" s="206">
        <f>_xll.qlDayCounterYearFraction("actual/365 (fixed)",SettlementDate,E21,,,Trigger)</f>
        <v>1.4219178082191781</v>
      </c>
      <c r="M21" s="234">
        <f t="shared" si="1"/>
        <v>8.574375285782523E-5</v>
      </c>
      <c r="N21" s="184">
        <f>_xll.qlYieldTSDiscount(Discounting,E21,,AllTriggers)</f>
        <v>1.0018056256538106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42709</v>
      </c>
      <c r="F22" s="297">
        <f>_xll.qlInterestRateIndexMaturity(ON_6M_index,E22)</f>
        <v>42891</v>
      </c>
      <c r="G22" s="65">
        <f>_xll.qlQuoteValue(D22,AllTriggers)</f>
        <v>1.56E-3</v>
      </c>
      <c r="H22" s="65">
        <f>_xll.qlIndexFixing(ON_6M_index,_xll.qlInterestRateIndexFixingDate(ON_6M_index,E22),,AllTriggers)</f>
        <v>-8.3802270682523745E-4</v>
      </c>
      <c r="I22" s="260">
        <f t="shared" si="0"/>
        <v>2.3980227068252373E-3</v>
      </c>
      <c r="J22" s="65">
        <f>_xll.qlTenorBasisValue($R$18,E22,Trigger)</f>
        <v>2.3091601080397275E-3</v>
      </c>
      <c r="K22" s="189">
        <f t="shared" si="4"/>
        <v>0.88862598785509772</v>
      </c>
      <c r="L22" s="207">
        <f>_xll.qlDayCounterYearFraction("actual/365 (fixed)",SettlementDate,E22,,,Trigger)</f>
        <v>1.5095890410958903</v>
      </c>
      <c r="M22" s="235">
        <f t="shared" si="1"/>
        <v>8.8862598785509773E-5</v>
      </c>
      <c r="N22" s="185">
        <f>_xll.qlYieldTSDiscount(Discounting,E22,,AllTriggers)</f>
        <v>1.0019073859732879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42158</v>
      </c>
      <c r="H25" s="295">
        <f>_xll.qlCalendarAdvance(Calendar,SettlementDate,F25,"Following",,Trigger)</f>
        <v>42159</v>
      </c>
      <c r="I25" s="287">
        <f>_xll.qlTenorBasisForwardRate2(TenorBasis6M,G25,H25,AllTriggers)</f>
        <v>4.0792836996317305E-4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42158</v>
      </c>
      <c r="H26" s="296">
        <f>_xll.qlCalendarAdvance(Calendar,SettlementDate,F26,"Following",,Trigger)</f>
        <v>42165</v>
      </c>
      <c r="I26" s="288">
        <f>_xll.qlTenorBasisForwardRate2(TenorBasis6M,G26,H26,AllTriggers)</f>
        <v>4.1614088411761382E-4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42158</v>
      </c>
      <c r="H27" s="296">
        <f>_xll.qlCalendarAdvance(Calendar,SettlementDate,F27,"Following",,Trigger)</f>
        <v>42172</v>
      </c>
      <c r="I27" s="288">
        <f>_xll.qlTenorBasisForwardRate2(TenorBasis6M,G27,H27,AllTriggers)</f>
        <v>4.5556619901608385E-4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42158</v>
      </c>
      <c r="H28" s="296">
        <f>_xll.qlCalendarAdvance(Calendar,SettlementDate,F28,"Following",,Trigger)</f>
        <v>42179</v>
      </c>
      <c r="I28" s="288">
        <f>_xll.qlTenorBasisForwardRate2(TenorBasis6M,G28,H28,AllTriggers)</f>
        <v>4.7483862602274281E-4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42158</v>
      </c>
      <c r="H29" s="301">
        <f>_xll.qlCalendarAdvance(Calendar,SettlementDate,F29,"mf",TRUE,Trigger)</f>
        <v>42188</v>
      </c>
      <c r="I29" s="289">
        <f>_xll.qlTenorBasisForwardRate2(TenorBasis6M,G29,H29,AllTriggers)</f>
        <v>4.6103442661671323E-4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42158</v>
      </c>
      <c r="H30" s="296">
        <f>_xll.qlCalendarAdvance(Calendar,SettlementDate,F30,"mf",TRUE,Trigger)</f>
        <v>42219</v>
      </c>
      <c r="I30" s="288">
        <f>_xll.qlTenorBasisForwardRate2(TenorBasis6M,G30,H30,AllTriggers)</f>
        <v>4.6630880362953902E-4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42158</v>
      </c>
      <c r="H31" s="296">
        <f>_xll.qlCalendarAdvance(Calendar,SettlementDate,F31,"mf",TRUE,Trigger)</f>
        <v>42250</v>
      </c>
      <c r="I31" s="288">
        <f>_xll.qlTenorBasisForwardRate2(TenorBasis6M,G31,H31,AllTriggers)</f>
        <v>4.8808392657007582E-4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42158</v>
      </c>
      <c r="H32" s="296">
        <f>_xll.qlCalendarAdvance(Calendar,SettlementDate,F32,"mf",TRUE,Trigger)</f>
        <v>42282</v>
      </c>
      <c r="I32" s="288">
        <f>_xll.qlTenorBasisForwardRate2(TenorBasis6M,G32,H32,AllTriggers)</f>
        <v>5.1090445593181581E-4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42158</v>
      </c>
      <c r="H33" s="297">
        <f>_xll.qlCalendarAdvance(Calendar,SettlementDate,F33,"mf",TRUE,Trigger)</f>
        <v>42311</v>
      </c>
      <c r="I33" s="290">
        <f>_xll.qlTenorBasisForwardRate2(TenorBasis6M,G33,H33,AllTriggers)</f>
        <v>5.3304015210328844E-4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42158</v>
      </c>
      <c r="H34" s="294">
        <f>_xll.qlCalendarAdvance(Calendar,SettlementDate,F34,"mf",TRUE,Trigger)</f>
        <v>42341</v>
      </c>
      <c r="I34" s="291">
        <f>_xll.qlTenorBasisForwardRate2(TenorBasis6M,G34,H34,AllTriggers)</f>
        <v>5.5722465423791801E-4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42158</v>
      </c>
      <c r="F3" s="294">
        <f>_xll.qlInterestRateIndexMaturity(PROPER(Currency)&amp;"ibor"&amp;$F$1,E3)</f>
        <v>42524</v>
      </c>
      <c r="G3" s="258">
        <f>J3+$H$4</f>
        <v>1.6641505862981072E-3</v>
      </c>
      <c r="H3" s="239"/>
      <c r="I3" s="239"/>
      <c r="J3" s="190">
        <f>_xll.qlTenorBasisValue($R$18,E3,Trigger)</f>
        <v>2.9266639631714856E-3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obj_00593#0000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42158</v>
      </c>
      <c r="F4" s="294">
        <f>_xll.qlInterestRateIndexMaturity(ON_12M_index,E4)</f>
        <v>42524</v>
      </c>
      <c r="G4" s="190">
        <f>_xll.qlQuoteValue(D4,LastFixingsTrigger)</f>
        <v>1.6099999999999997E-3</v>
      </c>
      <c r="H4" s="190">
        <f>_xll.qlIndexFixing(ON_12M_index,_xll.qlInterestRateIndexFixingDate(ON_12M_index,E4),,AllTriggers)</f>
        <v>-1.2625133768733785E-3</v>
      </c>
      <c r="I4" s="258">
        <f t="shared" ref="I4:I14" si="0">G4-H4</f>
        <v>2.8725133768733781E-3</v>
      </c>
      <c r="J4" s="186">
        <f>_xll.qlTenorBasisValue($R$18,E4,Trigger)</f>
        <v>2.9266639631714856E-3</v>
      </c>
      <c r="K4" s="187">
        <f>L4*10000</f>
        <v>-0.54150586298107495</v>
      </c>
      <c r="L4" s="278">
        <f t="shared" ref="L4:L16" si="1">I4-J4</f>
        <v>-5.4150586298107491E-5</v>
      </c>
      <c r="M4" s="284">
        <f>_xll.qlDayCounterYearFraction("actual/365 (fixed)",SettlementDate,E4,,,Trigger)</f>
        <v>0</v>
      </c>
      <c r="N4" s="281">
        <f>_xll.qlYieldTSDiscount(Discounting,E4,,AllTriggers)</f>
        <v>1.0000066667000043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42188</v>
      </c>
      <c r="F5" s="295">
        <f>_xll.qlInterestRateIndexMaturity(ON_12M_index,E5)</f>
        <v>42555</v>
      </c>
      <c r="G5" s="67">
        <f>_xll.qlQuoteValue(D5,AllTriggers)</f>
        <v>1.7399999999999998E-3</v>
      </c>
      <c r="H5" s="67">
        <f>_xll.qlIndexFixing(ON_12M_index,_xll.qlInterestRateIndexFixingDate(ON_12M_index,E5),,AllTriggers)</f>
        <v>-1.2631950553796353E-3</v>
      </c>
      <c r="I5" s="280">
        <f t="shared" ref="I5:I13" si="3">G5-H5</f>
        <v>3.0031950553796351E-3</v>
      </c>
      <c r="J5" s="67">
        <f>_xll.qlTenorBasisValue($R$18,E5,Trigger)</f>
        <v>2.9771727041667073E-3</v>
      </c>
      <c r="K5" s="240">
        <f t="shared" ref="K5:K16" si="4">L5*10000</f>
        <v>0.26022351212927775</v>
      </c>
      <c r="L5" s="279">
        <f t="shared" si="1"/>
        <v>2.6022351212927775E-5</v>
      </c>
      <c r="M5" s="285">
        <f>_xll.qlDayCounterYearFraction("actual/365 (fixed)",SettlementDate,E5,,,Trigger)</f>
        <v>8.2191780821917804E-2</v>
      </c>
      <c r="N5" s="183">
        <f>_xll.qlYieldTSDiscount(Discounting,E5,,AllTriggers)</f>
        <v>1.0001071357577196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42219</v>
      </c>
      <c r="F6" s="296">
        <f>_xll.qlInterestRateIndexMaturity(ON_12M_index,E6)</f>
        <v>42585</v>
      </c>
      <c r="G6" s="62">
        <f>_xll.qlQuoteValue(D6,AllTriggers)</f>
        <v>1.7799999999999999E-3</v>
      </c>
      <c r="H6" s="62">
        <f>_xll.qlIndexFixing(ON_12M_index,_xll.qlInterestRateIndexFixingDate(ON_12M_index,E6),,AllTriggers)</f>
        <v>-1.2566259364148386E-3</v>
      </c>
      <c r="I6" s="265">
        <f t="shared" si="3"/>
        <v>3.0366259364148383E-3</v>
      </c>
      <c r="J6" s="62">
        <f>_xll.qlTenorBasisValue($R$18,E6,Trigger)</f>
        <v>3.0248196202537219E-3</v>
      </c>
      <c r="K6" s="188">
        <f t="shared" si="4"/>
        <v>0.1180631616111644</v>
      </c>
      <c r="L6" s="234">
        <f t="shared" si="1"/>
        <v>1.180631616111644E-5</v>
      </c>
      <c r="M6" s="206">
        <f>_xll.qlDayCounterYearFraction("actual/365 (fixed)",SettlementDate,E6,,,Trigger)</f>
        <v>0.16712328767123288</v>
      </c>
      <c r="N6" s="184">
        <f>_xll.qlYieldTSDiscount(Discounting,E6,,AllTriggers)</f>
        <v>1.0002165933156868</v>
      </c>
      <c r="O6" s="237" t="b">
        <v>1</v>
      </c>
      <c r="Q6" s="277" t="s">
        <v>126</v>
      </c>
      <c r="R6" s="282" t="str">
        <f>_xll.qlPolynomialCalibration(,_xll.ohFilter($M$4:$M$17,$O$4:$O$17),_xll.ohFilter($I$4:$I$17,$O$4:$O$17),_xll.ohFilter($N$4:$N$17,$O$4:$O$17),_xll.ohFilter(T13:T17,S13:S17),,,,,Trigger)</f>
        <v>obj_005dd#0025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42250</v>
      </c>
      <c r="F7" s="296">
        <f>_xll.qlInterestRateIndexMaturity(ON_12M_index,E7)</f>
        <v>42618</v>
      </c>
      <c r="G7" s="62">
        <f>_xll.qlQuoteValue(D7,AllTriggers)</f>
        <v>1.82E-3</v>
      </c>
      <c r="H7" s="62">
        <f>_xll.qlIndexFixing(ON_12M_index,_xll.qlInterestRateIndexFixingDate(ON_12M_index,E7),,AllTriggers)</f>
        <v>-1.2493753583378445E-3</v>
      </c>
      <c r="I7" s="265">
        <f t="shared" si="3"/>
        <v>3.0693753583378447E-3</v>
      </c>
      <c r="J7" s="62">
        <f>_xll.qlTenorBasisValue($R$18,E7,Trigger)</f>
        <v>3.0682045625595148E-3</v>
      </c>
      <c r="K7" s="188">
        <f t="shared" si="4"/>
        <v>1.1707957783299409E-2</v>
      </c>
      <c r="L7" s="234">
        <f t="shared" si="1"/>
        <v>1.1707957783299409E-6</v>
      </c>
      <c r="M7" s="206">
        <f>_xll.qlDayCounterYearFraction("actual/365 (fixed)",SettlementDate,E7,,,Trigger)</f>
        <v>0.25205479452054796</v>
      </c>
      <c r="N7" s="184">
        <f>_xll.qlYieldTSDiscount(Discounting,E7,,AllTriggers)</f>
        <v>1.0003268550931477</v>
      </c>
      <c r="O7" s="237" t="b">
        <v>1</v>
      </c>
      <c r="Q7" s="277" t="s">
        <v>127</v>
      </c>
      <c r="R7" s="282" t="b">
        <f>_xll.qlPolynomialCalibrationCompute($R$6)</f>
        <v>1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42282</v>
      </c>
      <c r="F8" s="296">
        <f>_xll.qlInterestRateIndexMaturity(ON_12M_index,E8)</f>
        <v>42648</v>
      </c>
      <c r="G8" s="62">
        <f>_xll.qlQuoteValue(D8,AllTriggers)</f>
        <v>1.8599999999999999E-3</v>
      </c>
      <c r="H8" s="62">
        <f>_xll.qlIndexFixing(ON_12M_index,_xll.qlInterestRateIndexFixingDate(ON_12M_index,E8),,AllTriggers)</f>
        <v>-1.243062435504988E-3</v>
      </c>
      <c r="I8" s="265">
        <f t="shared" si="3"/>
        <v>3.1030624355049882E-3</v>
      </c>
      <c r="J8" s="62">
        <f>_xll.qlTenorBasisValue($R$18,E8,Trigger)</f>
        <v>3.108902266203827E-3</v>
      </c>
      <c r="K8" s="188">
        <f t="shared" si="4"/>
        <v>-5.8398306988388139E-2</v>
      </c>
      <c r="L8" s="234">
        <f t="shared" si="1"/>
        <v>-5.8398306988388139E-6</v>
      </c>
      <c r="M8" s="206">
        <f>_xll.qlDayCounterYearFraction("actual/365 (fixed)",SettlementDate,E8,,,Trigger)</f>
        <v>0.33972602739726027</v>
      </c>
      <c r="N8" s="184">
        <f>_xll.qlYieldTSDiscount(Discounting,E8,,AllTriggers)</f>
        <v>1.0004421317874643</v>
      </c>
      <c r="O8" s="237" t="b">
        <v>1</v>
      </c>
      <c r="Q8" s="277" t="s">
        <v>128</v>
      </c>
      <c r="R8" s="282" t="str">
        <f>_xll.qlPolynomialCalibrationEndCriteria(R6,)</f>
        <v>StationaryFunctionValue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42311</v>
      </c>
      <c r="F9" s="296">
        <f>_xll.qlInterestRateIndexMaturity(ON_12M_index,E9)</f>
        <v>42677</v>
      </c>
      <c r="G9" s="62">
        <f>_xll.qlQuoteValue(D9,AllTriggers)</f>
        <v>1.9E-3</v>
      </c>
      <c r="H9" s="62">
        <f>_xll.qlIndexFixing(ON_12M_index,_xll.qlInterestRateIndexFixingDate(ON_12M_index,E9),,AllTriggers)</f>
        <v>-1.2360085358704225E-3</v>
      </c>
      <c r="I9" s="265">
        <f t="shared" si="3"/>
        <v>3.1360085358704227E-3</v>
      </c>
      <c r="J9" s="62">
        <f>_xll.qlTenorBasisValue($R$18,E9,Trigger)</f>
        <v>3.1425280091624047E-3</v>
      </c>
      <c r="K9" s="188">
        <f t="shared" si="4"/>
        <v>-6.5194732919819642E-2</v>
      </c>
      <c r="L9" s="234">
        <f t="shared" si="1"/>
        <v>-6.5194732919819642E-6</v>
      </c>
      <c r="M9" s="206">
        <f>_xll.qlDayCounterYearFraction("actual/365 (fixed)",SettlementDate,E9,,,Trigger)</f>
        <v>0.41917808219178082</v>
      </c>
      <c r="N9" s="184">
        <f>_xll.qlYieldTSDiscount(Discounting,E9,,AllTriggers)</f>
        <v>1.0005467480108097</v>
      </c>
      <c r="O9" s="237" t="b">
        <v>1</v>
      </c>
      <c r="Q9" s="277" t="s">
        <v>89</v>
      </c>
      <c r="R9" s="190">
        <f>_xll.qlPolynomialCalibrationError(R6,)</f>
        <v>1.9317821112102636E-5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42341</v>
      </c>
      <c r="F10" s="296">
        <f>_xll.qlInterestRateIndexMaturity(ON_12M_index,E10)</f>
        <v>42709</v>
      </c>
      <c r="G10" s="62">
        <f>_xll.qlQuoteValue(D10,AllTriggers)</f>
        <v>1.9500000000000001E-3</v>
      </c>
      <c r="H10" s="62">
        <f>_xll.qlIndexFixing(ON_12M_index,_xll.qlInterestRateIndexFixingDate(ON_12M_index,E10),,AllTriggers)</f>
        <v>-1.2234910901333688E-3</v>
      </c>
      <c r="I10" s="265">
        <f t="shared" si="3"/>
        <v>3.1734910901333692E-3</v>
      </c>
      <c r="J10" s="62">
        <f>_xll.qlTenorBasisValue($R$18,E10,Trigger)</f>
        <v>3.1743809650531898E-3</v>
      </c>
      <c r="K10" s="188">
        <f t="shared" si="4"/>
        <v>-8.8987491982063169E-3</v>
      </c>
      <c r="L10" s="234">
        <f t="shared" si="1"/>
        <v>-8.8987491982063169E-7</v>
      </c>
      <c r="M10" s="206">
        <f>_xll.qlDayCounterYearFraction("actual/365 (fixed)",SettlementDate,E10,,,Trigger)</f>
        <v>0.50136986301369868</v>
      </c>
      <c r="N10" s="184">
        <f>_xll.qlYieldTSDiscount(Discounting,E10,,AllTriggers)</f>
        <v>1.0006543206631913</v>
      </c>
      <c r="O10" s="237" t="b">
        <v>1</v>
      </c>
      <c r="Q10" s="277" t="s">
        <v>124</v>
      </c>
      <c r="R10" s="190">
        <f>_xll.qlPolynomialCalibrationMaxError(R6,)</f>
        <v>5.4150586298107491E-5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42373</v>
      </c>
      <c r="F11" s="296">
        <f>_xll.qlInterestRateIndexMaturity(ON_12M_index,E11)</f>
        <v>42739</v>
      </c>
      <c r="G11" s="62">
        <f>_xll.qlQuoteValue(D11,AllTriggers)</f>
        <v>2E-3</v>
      </c>
      <c r="H11" s="62">
        <f>_xll.qlIndexFixing(ON_12M_index,_xll.qlInterestRateIndexFixingDate(ON_12M_index,E11),,AllTriggers)</f>
        <v>-1.2050501374635133E-3</v>
      </c>
      <c r="I11" s="265">
        <f t="shared" si="3"/>
        <v>3.2050501374635133E-3</v>
      </c>
      <c r="J11" s="62">
        <f>_xll.qlTenorBasisValue($R$18,E11,Trigger)</f>
        <v>3.2054361525449115E-3</v>
      </c>
      <c r="K11" s="188">
        <f t="shared" si="4"/>
        <v>-3.8601508139815902E-3</v>
      </c>
      <c r="L11" s="234">
        <f t="shared" si="1"/>
        <v>-3.8601508139815902E-7</v>
      </c>
      <c r="M11" s="206">
        <f>_xll.qlDayCounterYearFraction("actual/365 (fixed)",SettlementDate,E11,,,Trigger)</f>
        <v>0.58904109589041098</v>
      </c>
      <c r="N11" s="184">
        <f>_xll.qlYieldTSDiscount(Discounting,E11,,AllTriggers)</f>
        <v>1.0007661869799589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42403</v>
      </c>
      <c r="F12" s="296">
        <f>_xll.qlInterestRateIndexMaturity(ON_12M_index,E12)</f>
        <v>42769</v>
      </c>
      <c r="G12" s="62">
        <f>_xll.qlQuoteValue(D12,AllTriggers)</f>
        <v>2.0499999999999997E-3</v>
      </c>
      <c r="H12" s="62">
        <f>_xll.qlIndexFixing(ON_12M_index,_xll.qlInterestRateIndexFixingDate(ON_12M_index,E12),,AllTriggers)</f>
        <v>-1.1790191621031294E-3</v>
      </c>
      <c r="I12" s="265">
        <f t="shared" si="3"/>
        <v>3.2290191621031292E-3</v>
      </c>
      <c r="J12" s="62">
        <f>_xll.qlTenorBasisValue($R$18,E12,Trigger)</f>
        <v>3.2321581164857873E-3</v>
      </c>
      <c r="K12" s="188">
        <f t="shared" si="4"/>
        <v>-3.138954382658158E-2</v>
      </c>
      <c r="L12" s="234">
        <f t="shared" si="1"/>
        <v>-3.138954382658158E-6</v>
      </c>
      <c r="M12" s="206">
        <f>_xll.qlDayCounterYearFraction("actual/365 (fixed)",SettlementDate,E12,,,Trigger)</f>
        <v>0.67123287671232879</v>
      </c>
      <c r="N12" s="184">
        <f>_xll.qlYieldTSDiscount(Discounting,E12,,AllTriggers)</f>
        <v>1.0008711150375322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42432</v>
      </c>
      <c r="F13" s="296">
        <f>_xll.qlInterestRateIndexMaturity(ON_12M_index,E13)</f>
        <v>42797</v>
      </c>
      <c r="G13" s="62">
        <f>_xll.qlQuoteValue(D13,AllTriggers)</f>
        <v>2.0899999999999998E-3</v>
      </c>
      <c r="H13" s="62">
        <f>_xll.qlIndexFixing(ON_12M_index,_xll.qlInterestRateIndexFixingDate(ON_12M_index,E13),,AllTriggers)</f>
        <v>-1.1474044437974086E-3</v>
      </c>
      <c r="I13" s="265">
        <f t="shared" si="3"/>
        <v>3.2374044437974087E-3</v>
      </c>
      <c r="J13" s="62">
        <f>_xll.qlTenorBasisValue($R$18,E13,Trigger)</f>
        <v>3.2561039396851029E-3</v>
      </c>
      <c r="K13" s="188">
        <f t="shared" si="4"/>
        <v>-0.18699495887694248</v>
      </c>
      <c r="L13" s="234">
        <f t="shared" si="1"/>
        <v>-1.8699495887694248E-5</v>
      </c>
      <c r="M13" s="206">
        <f>_xll.qlDayCounterYearFraction("actual/365 (fixed)",SettlementDate,E13,,,Trigger)</f>
        <v>0.75068493150684934</v>
      </c>
      <c r="N13" s="184">
        <f>_xll.qlYieldTSDiscount(Discounting,E13,,AllTriggers)</f>
        <v>1.0009743304664924</v>
      </c>
      <c r="O13" s="237" t="b">
        <v>1</v>
      </c>
      <c r="Q13" s="277" t="s">
        <v>113</v>
      </c>
      <c r="R13" s="190">
        <f t="array" ref="R13:R17">_xll.qlPolynomialCalibrationCoefficients($R$6,$R$6)</f>
        <v>2.9266639631714856E-3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42464</v>
      </c>
      <c r="F14" s="296">
        <f>_xll.qlInterestRateIndexMaturity(ON_12M_index,E14)</f>
        <v>42829</v>
      </c>
      <c r="G14" s="62">
        <f>_xll.qlQuoteValue(D14,AllTriggers)</f>
        <v>2.1600000000000005E-3</v>
      </c>
      <c r="H14" s="62">
        <f>_xll.qlIndexFixing(ON_12M_index,_xll.qlInterestRateIndexFixingDate(ON_12M_index,E14),,AllTriggers)</f>
        <v>-1.1092383916937059E-3</v>
      </c>
      <c r="I14" s="265">
        <f t="shared" si="0"/>
        <v>3.2692383916937064E-3</v>
      </c>
      <c r="J14" s="62">
        <f>_xll.qlTenorBasisValue($R$18,E14,Trigger)</f>
        <v>3.280735569610992E-3</v>
      </c>
      <c r="K14" s="188">
        <f t="shared" si="4"/>
        <v>-0.11497177917285575</v>
      </c>
      <c r="L14" s="234">
        <f t="shared" si="1"/>
        <v>-1.1497177917285575E-5</v>
      </c>
      <c r="M14" s="206">
        <f>_xll.qlDayCounterYearFraction("actual/365 (fixed)",SettlementDate,E14,,,Trigger)</f>
        <v>0.83835616438356164</v>
      </c>
      <c r="N14" s="184">
        <f>_xll.qlYieldTSDiscount(Discounting,E14,,AllTriggers)</f>
        <v>1.0010855926004159</v>
      </c>
      <c r="O14" s="237" t="b">
        <v>1</v>
      </c>
      <c r="Q14" s="277" t="s">
        <v>114</v>
      </c>
      <c r="R14" s="190">
        <v>6.4219614391665956E-4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42493</v>
      </c>
      <c r="F15" s="296">
        <f>_xll.qlInterestRateIndexMaturity(ON_12M_index,E15)</f>
        <v>42858</v>
      </c>
      <c r="G15" s="62">
        <f>_xll.qlQuoteValue(D15,AllTriggers)</f>
        <v>2.2300000000000002E-3</v>
      </c>
      <c r="H15" s="62">
        <f>_xll.qlIndexFixing(ON_12M_index,_xll.qlInterestRateIndexFixingDate(ON_12M_index,E15),,AllTriggers)</f>
        <v>-1.0703718174852408E-3</v>
      </c>
      <c r="I15" s="265">
        <f>G15-H15</f>
        <v>3.3003718174852408E-3</v>
      </c>
      <c r="J15" s="62">
        <f>_xll.qlTenorBasisValue($R$18,E15,Trigger)</f>
        <v>3.3017569063872403E-3</v>
      </c>
      <c r="K15" s="188">
        <f t="shared" si="4"/>
        <v>-1.3850889019994921E-2</v>
      </c>
      <c r="L15" s="234">
        <f t="shared" si="1"/>
        <v>-1.3850889019994921E-6</v>
      </c>
      <c r="M15" s="206">
        <f>_xll.qlDayCounterYearFraction("actual/365 (fixed)",SettlementDate,E15,,,Trigger)</f>
        <v>0.9178082191780822</v>
      </c>
      <c r="N15" s="184">
        <f>_xll.qlYieldTSDiscount(Discounting,E15,,AllTriggers)</f>
        <v>1.001184962418644</v>
      </c>
      <c r="O15" s="237" t="b">
        <v>1</v>
      </c>
      <c r="Q15" s="277" t="s">
        <v>115</v>
      </c>
      <c r="R15" s="190">
        <v>-3.4478140344458048E-4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42524</v>
      </c>
      <c r="F16" s="296">
        <f>_xll.qlInterestRateIndexMaturity(ON_12M_index,E16)</f>
        <v>42891</v>
      </c>
      <c r="G16" s="62">
        <f>_xll.qlQuoteValue(D16,AllTriggers)</f>
        <v>2.31E-3</v>
      </c>
      <c r="H16" s="62">
        <f>_xll.qlIndexFixing(ON_12M_index,_xll.qlInterestRateIndexFixingDate(ON_12M_index,E16),,AllTriggers)</f>
        <v>-1.0179473759228778E-3</v>
      </c>
      <c r="I16" s="265">
        <f>G16-H16</f>
        <v>3.3279473759228778E-3</v>
      </c>
      <c r="J16" s="62">
        <f>_xll.qlTenorBasisValue($R$18,E16,Trigger)</f>
        <v>3.3232064265819737E-3</v>
      </c>
      <c r="K16" s="188">
        <f t="shared" si="4"/>
        <v>4.7409493409041048E-2</v>
      </c>
      <c r="L16" s="234">
        <f t="shared" si="1"/>
        <v>4.7409493409041048E-6</v>
      </c>
      <c r="M16" s="206">
        <f>_xll.qlDayCounterYearFraction("actual/365 (fixed)",SettlementDate,E16,,,Trigger)</f>
        <v>1.0027397260273974</v>
      </c>
      <c r="N16" s="184">
        <f>_xll.qlYieldTSDiscount(Discounting,E16,,AllTriggers)</f>
        <v>1.0012918801660831</v>
      </c>
      <c r="O16" s="237" t="b">
        <v>1</v>
      </c>
      <c r="Q16" s="277" t="s">
        <v>116</v>
      </c>
      <c r="R16" s="190">
        <v>9.8448696292782983E-5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42891</v>
      </c>
      <c r="F17" s="297">
        <f>_xll.qlInterestRateIndexMaturity(ON_12M_index,E17)</f>
        <v>43256</v>
      </c>
      <c r="G17" s="65">
        <f>_xll.qlQuoteValue(D17,AllTriggers)</f>
        <v>3.9100000000000003E-3</v>
      </c>
      <c r="H17" s="65">
        <f>_xll.qlIndexFixing(ON_12M_index,_xll.qlInterestRateIndexFixingDate(ON_12M_index,E17),,AllTriggers)</f>
        <v>3.0937834386182201E-4</v>
      </c>
      <c r="I17" s="260">
        <f>G17-H17</f>
        <v>3.6006216561381781E-3</v>
      </c>
      <c r="J17" s="65">
        <f>_xll.qlTenorBasisValue($R$18,E17,Trigger)</f>
        <v>3.6231899285615317E-3</v>
      </c>
      <c r="K17" s="189">
        <f t="shared" ref="K17" si="7">L17*10000</f>
        <v>-0.22568272423353561</v>
      </c>
      <c r="L17" s="235">
        <f t="shared" ref="L17" si="8">I17-J17</f>
        <v>-2.2568272423353561E-5</v>
      </c>
      <c r="M17" s="207">
        <f>_xll.qlDayCounterYearFraction("actual/365 (fixed)",SettlementDate,E17,,,Trigger)</f>
        <v>2.0082191780821916</v>
      </c>
      <c r="N17" s="185">
        <f>_xll.qlYieldTSDiscount(Discounting,E17,,AllTriggers)</f>
        <v>1.0023320410173087</v>
      </c>
      <c r="O17" s="238" t="b">
        <v>1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str">
        <f>_xll.qlPolynomialTenorBasis(,SettlementDate,PROPER(Currency)&amp;IborType&amp;$F$1,Discounting,TRUE,_xll.ohFilter(R13:R17,S13:S17),,Trigger)</f>
        <v>obj_005e2#0026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42158</v>
      </c>
      <c r="H20" s="269">
        <f>_xll.qlCalendarAdvance(Calendar,SettlementDate,F20,"Following",,Trigger)</f>
        <v>42159</v>
      </c>
      <c r="I20" s="287">
        <f>_xll.qlTenorBasisForwardRate2(TenorBasis12M,G20,H20,AllTriggers)</f>
        <v>1.2874101301019181E-3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42158</v>
      </c>
      <c r="H21" s="271">
        <f>_xll.qlCalendarAdvance(Calendar,SettlementDate,F21,"Following",,Trigger)</f>
        <v>42165</v>
      </c>
      <c r="I21" s="288">
        <f>_xll.qlTenorBasisForwardRate2(TenorBasis12M,G21,H21,AllTriggers)</f>
        <v>1.295825755841053E-3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42158</v>
      </c>
      <c r="H22" s="271">
        <f>_xll.qlCalendarAdvance(Calendar,SettlementDate,F22,"Following",,Trigger)</f>
        <v>42172</v>
      </c>
      <c r="I22" s="288">
        <f>_xll.qlTenorBasisForwardRate2(TenorBasis12M,G22,H22,AllTriggers)</f>
        <v>1.3355227950796942E-3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42158</v>
      </c>
      <c r="H23" s="271">
        <f>_xll.qlCalendarAdvance(Calendar,SettlementDate,F23,"Following",,Trigger)</f>
        <v>42179</v>
      </c>
      <c r="I23" s="288">
        <f>_xll.qlTenorBasisForwardRate2(TenorBasis12M,G23,H23,AllTriggers)</f>
        <v>1.3551026855829207E-3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42158</v>
      </c>
      <c r="H24" s="273">
        <f>_xll.qlCalendarAdvance(Calendar,SettlementDate,F24,"mf",TRUE,Trigger)</f>
        <v>42188</v>
      </c>
      <c r="I24" s="289">
        <f>_xll.qlTenorBasisForwardRate2(TenorBasis12M,G24,H24,AllTriggers)</f>
        <v>1.3417430010322917E-3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42158</v>
      </c>
      <c r="H25" s="271">
        <f>_xll.qlCalendarAdvance(Calendar,SettlementDate,F25,"mf",TRUE,Trigger)</f>
        <v>42219</v>
      </c>
      <c r="I25" s="288">
        <f>_xll.qlTenorBasisForwardRate2(TenorBasis12M,G25,H25,AllTriggers)</f>
        <v>1.3489740869340237E-3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42158</v>
      </c>
      <c r="H26" s="271">
        <f>_xll.qlCalendarAdvance(Calendar,SettlementDate,F26,"mf",TRUE,Trigger)</f>
        <v>42250</v>
      </c>
      <c r="I26" s="288">
        <f>_xll.qlTenorBasisForwardRate2(TenorBasis12M,G26,H26,AllTriggers)</f>
        <v>1.3733244822814027E-3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42158</v>
      </c>
      <c r="H27" s="271">
        <f>_xll.qlCalendarAdvance(Calendar,SettlementDate,F27,"mf",TRUE,Trigger)</f>
        <v>42282</v>
      </c>
      <c r="I27" s="288">
        <f>_xll.qlTenorBasisForwardRate2(TenorBasis12M,G27,H27,AllTriggers)</f>
        <v>1.3993945727118439E-3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42158</v>
      </c>
      <c r="H28" s="271">
        <f>_xll.qlCalendarAdvance(Calendar,SettlementDate,F28,"mf",TRUE,Trigger)</f>
        <v>42311</v>
      </c>
      <c r="I28" s="288">
        <f>_xll.qlTenorBasisForwardRate2(TenorBasis12M,G28,H28,AllTriggers)</f>
        <v>1.4249459921047165E-3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42158</v>
      </c>
      <c r="H29" s="271">
        <f>_xll.qlCalendarAdvance(Calendar,SettlementDate,F29,"mf",TRUE,Trigger)</f>
        <v>42341</v>
      </c>
      <c r="I29" s="288">
        <f>_xll.qlTenorBasisForwardRate2(TenorBasis12M,G29,H29,AllTriggers)</f>
        <v>1.4530873450746733E-3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42158</v>
      </c>
      <c r="H30" s="270">
        <f>_xll.qlCalendarAdvance(Calendar,SettlementDate,F30,"mf",TRUE,Trigger)</f>
        <v>42373</v>
      </c>
      <c r="I30" s="288">
        <f>_xll.qlTenorBasisTenorForwardRate(TenorBasis12M,G30,AllTriggers)</f>
        <v>1.6641505862981072E-3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42158</v>
      </c>
      <c r="H31" s="270">
        <f>_xll.qlCalendarAdvance(Calendar,SettlementDate,F31,"mf",TRUE,Trigger)</f>
        <v>42403</v>
      </c>
      <c r="I31" s="288">
        <f>_xll.qlTenorBasisTenorForwardRate(TenorBasis12M,G31,AllTriggers)</f>
        <v>1.6641505862981072E-3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42158</v>
      </c>
      <c r="H32" s="270">
        <f>_xll.qlCalendarAdvance(Calendar,SettlementDate,F32,"mf",TRUE,Trigger)</f>
        <v>42432</v>
      </c>
      <c r="I32" s="288">
        <f>_xll.qlTenorBasisTenorForwardRate(TenorBasis12M,G32,AllTriggers)</f>
        <v>1.6641505862981072E-3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42158</v>
      </c>
      <c r="H33" s="270">
        <f>_xll.qlCalendarAdvance(Calendar,SettlementDate,F33,"mf",TRUE,Trigger)</f>
        <v>42464</v>
      </c>
      <c r="I33" s="288">
        <f>_xll.qlTenorBasisTenorForwardRate(TenorBasis12M,G33,AllTriggers)</f>
        <v>1.6641505862981072E-3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42158</v>
      </c>
      <c r="H34" s="270">
        <f>_xll.qlCalendarAdvance(Calendar,SettlementDate,F34,"mf",TRUE,Trigger)</f>
        <v>42493</v>
      </c>
      <c r="I34" s="288">
        <f>_xll.qlTenorBasisTenorForwardRate(TenorBasis12M,G34,AllTriggers)</f>
        <v>1.6641505862981072E-3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42158</v>
      </c>
      <c r="H35" s="294">
        <f>_xll.qlCalendarAdvance(Calendar,SettlementDate,F35,"mf",TRUE,Trigger)</f>
        <v>42524</v>
      </c>
      <c r="I35" s="291">
        <f>_xll.qlTenorBasisTenorForwardRate(TenorBasis12M,G35,AllTriggers)</f>
        <v>1.6641505862981072E-3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42156</v>
      </c>
      <c r="C3" s="74">
        <f>_xll.qlCalendarAdvance(Calendar,SettlementDate,A3&amp;"M","mf")</f>
        <v>42158</v>
      </c>
      <c r="D3" s="74">
        <f>_xll.qlInterestRateIndexMaturity(ON_12M_index,C3)</f>
        <v>42524</v>
      </c>
      <c r="E3" s="75">
        <f>_xll.qlIndexFixing(ON_12M_index,B3,,AllTriggers)</f>
        <v>-1.2625133768733785E-3</v>
      </c>
      <c r="F3" s="76">
        <f>_xll.qlInterpolationInterpolate(BasisInterpolator,C3,TRUE,E3)</f>
        <v>2.9708332256248196E-3</v>
      </c>
      <c r="G3" s="75">
        <f t="shared" ref="G3:G27" si="0">E3+F3</f>
        <v>1.7083198487514411E-3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42186</v>
      </c>
      <c r="C4" s="78">
        <f>_xll.qlCalendarAdvance(Calendar,SettlementDate,A4&amp;"M","mf")</f>
        <v>42188</v>
      </c>
      <c r="D4" s="78">
        <f>_xll.qlInterestRateIndexMaturity(ON_12M_index,C4)</f>
        <v>42555</v>
      </c>
      <c r="E4" s="79">
        <f>_xll.qlIndexFixing(ON_12M_index,B4,,AllTriggers)</f>
        <v>-1.2631950553796353E-3</v>
      </c>
      <c r="F4" s="80">
        <f>_xll.qlInterpolationInterpolate(BasisInterpolator,C4,TRUE,E4)</f>
        <v>3.0031950553796351E-3</v>
      </c>
      <c r="G4" s="79">
        <f t="shared" si="0"/>
        <v>1.7399999999999998E-3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42215</v>
      </c>
      <c r="C5" s="78">
        <f>_xll.qlCalendarAdvance(Calendar,SettlementDate,A5&amp;"M","mf")</f>
        <v>42219</v>
      </c>
      <c r="D5" s="78">
        <f>_xll.qlInterestRateIndexMaturity(ON_12M_index,C5)</f>
        <v>42585</v>
      </c>
      <c r="E5" s="79">
        <f>_xll.qlIndexFixing(ON_12M_index,B5,,AllTriggers)</f>
        <v>-1.2566259364148386E-3</v>
      </c>
      <c r="F5" s="80">
        <f>_xll.qlInterpolationInterpolate(BasisInterpolator,C5,TRUE,E5)</f>
        <v>3.0366259364148383E-3</v>
      </c>
      <c r="G5" s="79">
        <f t="shared" si="0"/>
        <v>1.7799999999999997E-3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42248</v>
      </c>
      <c r="C6" s="78">
        <f>_xll.qlCalendarAdvance(Calendar,SettlementDate,A6&amp;"M","mf")</f>
        <v>42250</v>
      </c>
      <c r="D6" s="78">
        <f>_xll.qlInterestRateIndexMaturity(ON_12M_index,C6)</f>
        <v>42618</v>
      </c>
      <c r="E6" s="79">
        <f>_xll.qlIndexFixing(ON_12M_index,B6,,AllTriggers)</f>
        <v>-1.2493753583378445E-3</v>
      </c>
      <c r="F6" s="80">
        <f>_xll.qlInterpolationInterpolate(BasisInterpolator,C6,TRUE,E6)</f>
        <v>3.0693753583378447E-3</v>
      </c>
      <c r="G6" s="79">
        <f t="shared" si="0"/>
        <v>1.8200000000000002E-3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42278</v>
      </c>
      <c r="C7" s="78">
        <f>_xll.qlCalendarAdvance(Calendar,SettlementDate,A7&amp;"M","mf")</f>
        <v>42282</v>
      </c>
      <c r="D7" s="78">
        <f>_xll.qlInterestRateIndexMaturity(ON_12M_index,C7)</f>
        <v>42648</v>
      </c>
      <c r="E7" s="79">
        <f>_xll.qlIndexFixing(ON_12M_index,B7,,AllTriggers)</f>
        <v>-1.243062435504988E-3</v>
      </c>
      <c r="F7" s="80">
        <f>_xll.qlInterpolationInterpolate(BasisInterpolator,C7,TRUE,E7)</f>
        <v>3.1030624355049882E-3</v>
      </c>
      <c r="G7" s="79">
        <f t="shared" si="0"/>
        <v>1.8600000000000001E-3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42307</v>
      </c>
      <c r="C8" s="78">
        <f>_xll.qlCalendarAdvance(Calendar,SettlementDate,A8&amp;"M","mf")</f>
        <v>42311</v>
      </c>
      <c r="D8" s="78">
        <f>_xll.qlInterestRateIndexMaturity(ON_12M_index,C8)</f>
        <v>42677</v>
      </c>
      <c r="E8" s="79">
        <f>_xll.qlIndexFixing(ON_12M_index,B8,,AllTriggers)</f>
        <v>-1.2360085358704225E-3</v>
      </c>
      <c r="F8" s="80">
        <f>_xll.qlInterpolationInterpolate(BasisInterpolator,C8,TRUE,E8)</f>
        <v>3.1360085358704227E-3</v>
      </c>
      <c r="G8" s="79">
        <f t="shared" si="0"/>
        <v>1.9000000000000002E-3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42339</v>
      </c>
      <c r="C9" s="78">
        <f>_xll.qlCalendarAdvance(Calendar,SettlementDate,A9&amp;"M","mf")</f>
        <v>42341</v>
      </c>
      <c r="D9" s="78">
        <f>_xll.qlInterestRateIndexMaturity(ON_12M_index,C9)</f>
        <v>42709</v>
      </c>
      <c r="E9" s="79">
        <f>_xll.qlIndexFixing(ON_12M_index,B9,,AllTriggers)</f>
        <v>-1.2234910901333688E-3</v>
      </c>
      <c r="F9" s="80">
        <f>_xll.qlInterpolationInterpolate(BasisInterpolator,C9,TRUE,E9)</f>
        <v>3.1734910901333692E-3</v>
      </c>
      <c r="G9" s="79">
        <f t="shared" si="0"/>
        <v>1.9500000000000003E-3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42368</v>
      </c>
      <c r="C10" s="78">
        <f>_xll.qlCalendarAdvance(Calendar,SettlementDate,A10&amp;"M","mf")</f>
        <v>42373</v>
      </c>
      <c r="D10" s="78">
        <f>_xll.qlInterestRateIndexMaturity(ON_12M_index,C10)</f>
        <v>42739</v>
      </c>
      <c r="E10" s="79">
        <f>_xll.qlIndexFixing(ON_12M_index,B10,,AllTriggers)</f>
        <v>-1.2050501374635133E-3</v>
      </c>
      <c r="F10" s="80">
        <f>_xll.qlInterpolationInterpolate(BasisInterpolator,C10,TRUE,E10)</f>
        <v>3.2050501374635133E-3</v>
      </c>
      <c r="G10" s="79">
        <f t="shared" si="0"/>
        <v>2E-3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42401</v>
      </c>
      <c r="C11" s="78">
        <f>_xll.qlCalendarAdvance(Calendar,SettlementDate,A11&amp;"M","mf")</f>
        <v>42403</v>
      </c>
      <c r="D11" s="78">
        <f>_xll.qlInterestRateIndexMaturity(ON_12M_index,C11)</f>
        <v>42769</v>
      </c>
      <c r="E11" s="79">
        <f>_xll.qlIndexFixing(ON_12M_index,B11,,AllTriggers)</f>
        <v>-1.1790191621031294E-3</v>
      </c>
      <c r="F11" s="80">
        <f>_xll.qlInterpolationInterpolate(BasisInterpolator,C11,TRUE,E11)</f>
        <v>3.2290191621031292E-3</v>
      </c>
      <c r="G11" s="79">
        <f t="shared" si="0"/>
        <v>2.0499999999999997E-3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42430</v>
      </c>
      <c r="C12" s="78">
        <f>_xll.qlCalendarAdvance(Calendar,SettlementDate,A12&amp;"M","mf")</f>
        <v>42432</v>
      </c>
      <c r="D12" s="78">
        <f>_xll.qlInterestRateIndexMaturity(ON_12M_index,C12)</f>
        <v>42797</v>
      </c>
      <c r="E12" s="79">
        <f>_xll.qlIndexFixing(ON_12M_index,B12,,AllTriggers)</f>
        <v>-1.1474044437974086E-3</v>
      </c>
      <c r="F12" s="80">
        <f>_xll.qlInterpolationInterpolate(BasisInterpolator,C12,TRUE,E12)</f>
        <v>3.2374044437974087E-3</v>
      </c>
      <c r="G12" s="79">
        <f t="shared" si="0"/>
        <v>2.0899999999999998E-3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42460</v>
      </c>
      <c r="C13" s="78">
        <f>_xll.qlCalendarAdvance(Calendar,SettlementDate,A13&amp;"M","mf")</f>
        <v>42464</v>
      </c>
      <c r="D13" s="78">
        <f>_xll.qlInterestRateIndexMaturity(ON_12M_index,C13)</f>
        <v>42829</v>
      </c>
      <c r="E13" s="79">
        <f>_xll.qlIndexFixing(ON_12M_index,B13,,AllTriggers)</f>
        <v>-1.1092383916937059E-3</v>
      </c>
      <c r="F13" s="80">
        <f>_xll.qlInterpolationInterpolate(BasisInterpolator,C13,TRUE,E13)</f>
        <v>3.2692383916937064E-3</v>
      </c>
      <c r="G13" s="79">
        <f t="shared" si="0"/>
        <v>2.1600000000000005E-3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42489</v>
      </c>
      <c r="C14" s="82">
        <f>_xll.qlCalendarAdvance(Calendar,SettlementDate,A14&amp;"M","mf")</f>
        <v>42493</v>
      </c>
      <c r="D14" s="82">
        <f>_xll.qlInterestRateIndexMaturity(ON_12M_index,C14)</f>
        <v>42858</v>
      </c>
      <c r="E14" s="83">
        <f>_xll.qlIndexFixing(ON_12M_index,B14,,AllTriggers)</f>
        <v>-1.0703718174852408E-3</v>
      </c>
      <c r="F14" s="84">
        <f>_xll.qlInterpolationInterpolate(BasisInterpolator,C14,TRUE,E14)</f>
        <v>3.3003718174852408E-3</v>
      </c>
      <c r="G14" s="83">
        <f t="shared" si="0"/>
        <v>2.2300000000000002E-3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42522</v>
      </c>
      <c r="C15" s="74">
        <f>_xll.qlCalendarAdvance(Calendar,SettlementDate,A15&amp;"M","mf")</f>
        <v>42524</v>
      </c>
      <c r="D15" s="74">
        <f>_xll.qlInterestRateIndexMaturity(ON_12M_index,C15)</f>
        <v>42891</v>
      </c>
      <c r="E15" s="75">
        <f>_xll.qlIndexFixing(ON_12M_index,B15,,AllTriggers)</f>
        <v>-1.0179473759228778E-3</v>
      </c>
      <c r="F15" s="76">
        <f>_xll.qlInterpolationInterpolate(BasisInterpolator,C15,TRUE,E15)</f>
        <v>3.3279473759228778E-3</v>
      </c>
      <c r="G15" s="75">
        <f t="shared" si="0"/>
        <v>2.31E-3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42551</v>
      </c>
      <c r="C16" s="78">
        <f>_xll.qlCalendarAdvance(Calendar,SettlementDate,A16&amp;"M","mf")</f>
        <v>42555</v>
      </c>
      <c r="D16" s="78">
        <f>_xll.qlInterestRateIndexMaturity(ON_12M_index,C16)</f>
        <v>42920</v>
      </c>
      <c r="E16" s="79">
        <f>_xll.qlIndexFixing(ON_12M_index,B16,,AllTriggers)</f>
        <v>-9.6245624250948785E-4</v>
      </c>
      <c r="F16" s="80">
        <f>_xll.qlInterpolationInterpolate(BasisInterpolator,C16,TRUE,E16)</f>
        <v>3.3536848367838952E-3</v>
      </c>
      <c r="G16" s="79">
        <f t="shared" si="0"/>
        <v>2.3912285942744075E-3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42583</v>
      </c>
      <c r="C17" s="78">
        <f>_xll.qlCalendarAdvance(Calendar,SettlementDate,A17&amp;"M","mf")</f>
        <v>42585</v>
      </c>
      <c r="D17" s="78">
        <f>_xll.qlInterestRateIndexMaturity(ON_12M_index,C17)</f>
        <v>42950</v>
      </c>
      <c r="E17" s="79">
        <f>_xll.qlIndexFixing(ON_12M_index,B17,,AllTriggers)</f>
        <v>-8.9824167270996741E-4</v>
      </c>
      <c r="F17" s="80">
        <f>_xll.qlInterpolationInterpolate(BasisInterpolator,C17,TRUE,E17)</f>
        <v>3.3779099416571018E-3</v>
      </c>
      <c r="G17" s="79">
        <f t="shared" si="0"/>
        <v>2.4796682689471345E-3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42614</v>
      </c>
      <c r="C18" s="78">
        <f>_xll.qlCalendarAdvance(Calendar,SettlementDate,A18&amp;"M","mf")</f>
        <v>42618</v>
      </c>
      <c r="D18" s="78">
        <f>_xll.qlInterestRateIndexMaturity(ON_12M_index,C18)</f>
        <v>42983</v>
      </c>
      <c r="E18" s="79">
        <f>_xll.qlIndexFixing(ON_12M_index,B18,,AllTriggers)</f>
        <v>-8.1452893236337684E-4</v>
      </c>
      <c r="F18" s="80">
        <f>_xll.qlInterpolationInterpolate(BasisInterpolator,C18,TRUE,E18)</f>
        <v>3.4038548227561705E-3</v>
      </c>
      <c r="G18" s="79">
        <f t="shared" si="0"/>
        <v>2.5893258903927937E-3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42642</v>
      </c>
      <c r="C19" s="78">
        <f>_xll.qlCalendarAdvance(Calendar,SettlementDate,A19&amp;"M","mf")</f>
        <v>42646</v>
      </c>
      <c r="D19" s="78">
        <f>_xll.qlInterestRateIndexMaturity(ON_12M_index,C19)</f>
        <v>43011</v>
      </c>
      <c r="E19" s="79">
        <f>_xll.qlIndexFixing(ON_12M_index,B19,,AllTriggers)</f>
        <v>-7.3078736985722318E-4</v>
      </c>
      <c r="F19" s="80">
        <f>_xll.qlInterpolationInterpolate(BasisInterpolator,C19,TRUE,E19)</f>
        <v>3.425348748329394E-3</v>
      </c>
      <c r="G19" s="79">
        <f t="shared" si="0"/>
        <v>2.694561378472171E-3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42675</v>
      </c>
      <c r="C20" s="78">
        <f>_xll.qlCalendarAdvance(Calendar,SettlementDate,A20&amp;"M","mf")</f>
        <v>42677</v>
      </c>
      <c r="D20" s="78">
        <f>_xll.qlInterestRateIndexMaturity(ON_12M_index,C20)</f>
        <v>43042</v>
      </c>
      <c r="E20" s="79">
        <f>_xll.qlIndexFixing(ON_12M_index,B20,,AllTriggers)</f>
        <v>-6.2682263753329891E-4</v>
      </c>
      <c r="F20" s="80">
        <f>_xll.qlInterpolationInterpolate(BasisInterpolator,C20,TRUE,E20)</f>
        <v>3.4486510101941368E-3</v>
      </c>
      <c r="G20" s="79">
        <f t="shared" si="0"/>
        <v>2.8218283726608381E-3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42705</v>
      </c>
      <c r="C21" s="78">
        <f>_xll.qlCalendarAdvance(Calendar,SettlementDate,A21&amp;"M","mf")</f>
        <v>42709</v>
      </c>
      <c r="D21" s="78">
        <f>_xll.qlInterestRateIndexMaturity(ON_12M_index,C21)</f>
        <v>43074</v>
      </c>
      <c r="E21" s="79">
        <f>_xll.qlIndexFixing(ON_12M_index,B21,,AllTriggers)</f>
        <v>-5.1111020670673273E-4</v>
      </c>
      <c r="F21" s="80">
        <f>_xll.qlInterpolationInterpolate(BasisInterpolator,C21,TRUE,E21)</f>
        <v>3.4722275780556039E-3</v>
      </c>
      <c r="G21" s="79">
        <f t="shared" si="0"/>
        <v>2.961117371348871E-3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42734</v>
      </c>
      <c r="C22" s="78">
        <f>_xll.qlCalendarAdvance(Calendar,SettlementDate,A22&amp;"M","mf")</f>
        <v>42738</v>
      </c>
      <c r="D22" s="78">
        <f>_xll.qlInterestRateIndexMaturity(ON_12M_index,C22)</f>
        <v>43103</v>
      </c>
      <c r="E22" s="79">
        <f>_xll.qlIndexFixing(ON_12M_index,B22,,AllTriggers)</f>
        <v>-4.0151606396115808E-4</v>
      </c>
      <c r="F22" s="80">
        <f>_xll.qlInterpolationInterpolate(BasisInterpolator,C22,TRUE,E22)</f>
        <v>3.4932350730094894E-3</v>
      </c>
      <c r="G22" s="79">
        <f t="shared" si="0"/>
        <v>3.0917190090483312E-3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42767</v>
      </c>
      <c r="C23" s="78">
        <f>_xll.qlCalendarAdvance(Calendar,SettlementDate,A23&amp;"M","mf")</f>
        <v>42769</v>
      </c>
      <c r="D23" s="78">
        <f>_xll.qlInterestRateIndexMaturity(ON_12M_index,C23)</f>
        <v>43136</v>
      </c>
      <c r="E23" s="79">
        <f>_xll.qlIndexFixing(ON_12M_index,B23,,AllTriggers)</f>
        <v>-2.7300228331498589E-4</v>
      </c>
      <c r="F23" s="80">
        <f>_xll.qlInterpolationInterpolate(BasisInterpolator,C23,TRUE,E23)</f>
        <v>3.5153773498440384E-3</v>
      </c>
      <c r="G23" s="79">
        <f t="shared" si="0"/>
        <v>3.2423750665290527E-3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42795</v>
      </c>
      <c r="C24" s="78">
        <f>_xll.qlCalendarAdvance(Calendar,SettlementDate,A24&amp;"M","mf")</f>
        <v>42797</v>
      </c>
      <c r="D24" s="78">
        <f>_xll.qlInterestRateIndexMaturity(ON_12M_index,C24)</f>
        <v>43164</v>
      </c>
      <c r="E24" s="79">
        <f>_xll.qlIndexFixing(ON_12M_index,B24,,AllTriggers)</f>
        <v>-1.5293234149000911E-4</v>
      </c>
      <c r="F24" s="80">
        <f>_xll.qlInterpolationInterpolate(BasisInterpolator,C24,TRUE,E24)</f>
        <v>3.5351516342154174E-3</v>
      </c>
      <c r="G24" s="79">
        <f t="shared" si="0"/>
        <v>3.3822192927254083E-3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42824</v>
      </c>
      <c r="C25" s="78">
        <f>_xll.qlCalendarAdvance(Calendar,SettlementDate,A25&amp;"M","mf")</f>
        <v>42828</v>
      </c>
      <c r="D25" s="78">
        <f>_xll.qlInterestRateIndexMaturity(ON_12M_index,C25)</f>
        <v>43193</v>
      </c>
      <c r="E25" s="79">
        <f>_xll.qlIndexFixing(ON_12M_index,B25,,AllTriggers)</f>
        <v>-1.4529678639966709E-5</v>
      </c>
      <c r="F25" s="80">
        <f>_xll.qlInterpolationInterpolate(BasisInterpolator,C25,TRUE,E25)</f>
        <v>3.5568560823204085E-3</v>
      </c>
      <c r="G25" s="79">
        <f t="shared" si="0"/>
        <v>3.5423264036804417E-3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42853</v>
      </c>
      <c r="C26" s="82">
        <f>_xll.qlCalendarAdvance(Calendar,SettlementDate,A26&amp;"M","mf")</f>
        <v>42858</v>
      </c>
      <c r="D26" s="82">
        <f>_xll.qlInterestRateIndexMaturity(ON_12M_index,C26)</f>
        <v>43223</v>
      </c>
      <c r="E26" s="83">
        <f>_xll.qlIndexFixing(ON_12M_index,B26,,AllTriggers)</f>
        <v>1.3473326385333141E-4</v>
      </c>
      <c r="F26" s="84">
        <f>_xll.qlInterpolationInterpolate(BasisInterpolator,C26,TRUE,E26)</f>
        <v>3.5777319410413865E-3</v>
      </c>
      <c r="G26" s="83">
        <f t="shared" si="0"/>
        <v>3.7124652048947178E-3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42887</v>
      </c>
      <c r="C27" s="340">
        <f>_xll.qlCalendarAdvance(Calendar,SettlementDate,A27&amp;"M","mf")</f>
        <v>42891</v>
      </c>
      <c r="D27" s="340">
        <f>_xll.qlInterestRateIndexMaturity(ON_12M_index,C27)</f>
        <v>43256</v>
      </c>
      <c r="E27" s="341">
        <f>_xll.qlIndexFixing(ON_12M_index,B27,,AllTriggers)</f>
        <v>3.0937834386182201E-4</v>
      </c>
      <c r="F27" s="342">
        <f>_xll.qlInterpolationInterpolate(BasisInterpolator,C27,TRUE,E27)</f>
        <v>3.6006216561381781E-3</v>
      </c>
      <c r="G27" s="341">
        <f t="shared" si="0"/>
        <v>3.9100000000000003E-3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G2" sqref="G2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>_xll.ohTrigger(M3:M7)</f>
        <v>0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EURSND_SYNTH1M_Quote#0000</v>
      </c>
      <c r="E3" s="163" t="str">
        <f>_xll.ohRangeRetrieveError(D3)</f>
        <v/>
      </c>
      <c r="F3" s="14"/>
      <c r="G3" s="138" t="s">
        <v>55</v>
      </c>
      <c r="H3" s="139">
        <f>'1MSynthDepo'!V11</f>
        <v>-5.9073182157920456E-4</v>
      </c>
      <c r="I3" s="15" t="s">
        <v>56</v>
      </c>
      <c r="J3" s="132">
        <v>-5.3379496031347173E-4</v>
      </c>
      <c r="K3" s="14"/>
      <c r="L3" s="120">
        <f t="array" ref="L3:L63">QuoteLive</f>
        <v>-5.9073182157920456E-4</v>
      </c>
      <c r="M3" s="121">
        <f>_xll.qlSimpleQuoteSetValue(D3,ROUND($L3,6),EvaluationDate)</f>
        <v>0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EURSWD_SYNTH1M_Quote#0000</v>
      </c>
      <c r="E4" s="164" t="str">
        <f>_xll.ohRangeRetrieveError(D4)</f>
        <v/>
      </c>
      <c r="F4" s="14"/>
      <c r="G4" s="138" t="s">
        <v>57</v>
      </c>
      <c r="H4" s="139">
        <f>'1MSynthDepo'!V12</f>
        <v>-5.8946434709383766E-4</v>
      </c>
      <c r="I4" s="15" t="s">
        <v>56</v>
      </c>
      <c r="J4" s="132">
        <v>-3.9059723107914834E-4</v>
      </c>
      <c r="K4" s="14"/>
      <c r="L4" s="120">
        <v>-5.8946434709383766E-4</v>
      </c>
      <c r="M4" s="121">
        <f>_xll.qlSimpleQuoteSetValue(D4,ROUND($L4,6),EvaluationDate)</f>
        <v>0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EUR2WD_SYNTH1M_Quote#0000</v>
      </c>
      <c r="E5" s="164" t="str">
        <f>_xll.ohRangeRetrieveError(D5)</f>
        <v/>
      </c>
      <c r="F5" s="14"/>
      <c r="G5" s="138" t="s">
        <v>58</v>
      </c>
      <c r="H5" s="139">
        <f>'1MSynthDepo'!V13</f>
        <v>-5.5928301386692122E-4</v>
      </c>
      <c r="I5" s="15" t="s">
        <v>56</v>
      </c>
      <c r="J5" s="132">
        <v>-2.022527404326497E-4</v>
      </c>
      <c r="K5" s="14"/>
      <c r="L5" s="120">
        <v>-5.5928301386692122E-4</v>
      </c>
      <c r="M5" s="121">
        <f>_xll.qlSimpleQuoteSetValue(D5,ROUND($L5,6),EvaluationDate)</f>
        <v>0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EUR3WD_SYNTH1M_Quote#0000</v>
      </c>
      <c r="E6" s="164" t="str">
        <f>_xll.ohRangeRetrieveError(D6)</f>
        <v/>
      </c>
      <c r="F6" s="14"/>
      <c r="G6" s="140" t="s">
        <v>59</v>
      </c>
      <c r="H6" s="139">
        <f>'1MSynthDepo'!V14</f>
        <v>-5.5030575293800259E-4</v>
      </c>
      <c r="I6" s="15" t="s">
        <v>56</v>
      </c>
      <c r="J6" s="133">
        <v>-2.8647777488328377E-4</v>
      </c>
      <c r="K6" s="14"/>
      <c r="L6" s="122">
        <v>-5.5030575293800259E-4</v>
      </c>
      <c r="M6" s="123">
        <f>_xll.qlSimpleQuoteSetValue(D6,ROUND($L6,6),EvaluationDate)</f>
        <v>0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EUR1MD_SYNTH1M_Quote#0000</v>
      </c>
      <c r="E7" s="165" t="str">
        <f>_xll.ohRangeRetrieveError(D7)</f>
        <v/>
      </c>
      <c r="F7" s="14"/>
      <c r="G7" s="141" t="s">
        <v>60</v>
      </c>
      <c r="H7" s="142">
        <f>'1MSynthDepo'!V15</f>
        <v>-5.7858972055324642E-4</v>
      </c>
      <c r="I7" s="15" t="s">
        <v>56</v>
      </c>
      <c r="J7" s="134">
        <v>-3.3999999999956287E-4</v>
      </c>
      <c r="K7" s="14"/>
      <c r="L7" s="124">
        <v>-5.7858972055324642E-4</v>
      </c>
      <c r="M7" s="125">
        <f>_xll.qlSimpleQuoteSetValue(D7,ROUND($L7,6),EvaluationDate)</f>
        <v>0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EURSND_SYNTH3M_Quote#0000</v>
      </c>
      <c r="E8" s="163"/>
      <c r="F8" s="16"/>
      <c r="G8" s="143" t="s">
        <v>55</v>
      </c>
      <c r="H8" s="144">
        <f>'3MSynthDepo'!I25</f>
        <v>-1.0271029750708038E-4</v>
      </c>
      <c r="I8" s="17"/>
      <c r="J8" s="132">
        <v>-6.5904013166750985E-5</v>
      </c>
      <c r="K8" s="16"/>
      <c r="L8" s="120">
        <v>-1.0271029750708038E-4</v>
      </c>
      <c r="M8" s="121">
        <f>_xll.qlSimpleQuoteSetValue(D8,ROUND($L8,6),EvaluationDate)</f>
        <v>-2.4999999999999998E-5</v>
      </c>
      <c r="N8" s="108">
        <f>_xll.ohTrigger(M8:M14)</f>
        <v>0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EURSWD_SYNTH3M_Quote#0000</v>
      </c>
      <c r="E9" s="164"/>
      <c r="F9" s="16"/>
      <c r="G9" s="145" t="s">
        <v>57</v>
      </c>
      <c r="H9" s="139">
        <f>'3MSynthDepo'!I26</f>
        <v>-9.7219193735398335E-5</v>
      </c>
      <c r="I9" s="17"/>
      <c r="J9" s="132">
        <v>6.7527620855045711E-5</v>
      </c>
      <c r="K9" s="16"/>
      <c r="L9" s="120">
        <v>-9.7219193735398335E-5</v>
      </c>
      <c r="M9" s="121">
        <f>_xll.qlSimpleQuoteSetValue(D9,ROUND($L9,6),EvaluationDate)</f>
        <v>-2.4000000000000001E-5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EUR2WD_SYNTH3M_Quote#0000</v>
      </c>
      <c r="E10" s="164"/>
      <c r="F10" s="16"/>
      <c r="G10" s="145" t="s">
        <v>58</v>
      </c>
      <c r="H10" s="139">
        <f>'3MSynthDepo'!I27</f>
        <v>-6.093281876205582E-5</v>
      </c>
      <c r="I10" s="17"/>
      <c r="J10" s="132">
        <v>2.4652230037336409E-4</v>
      </c>
      <c r="K10" s="16"/>
      <c r="L10" s="120">
        <v>-6.093281876205582E-5</v>
      </c>
      <c r="M10" s="121">
        <f>_xll.qlSimpleQuoteSetValue(D10,ROUND($L10,6),EvaluationDate)</f>
        <v>-2.4000000000000001E-5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EUR3WD_SYNTH3M_Quote#0000</v>
      </c>
      <c r="E11" s="164"/>
      <c r="F11" s="16"/>
      <c r="G11" s="146" t="s">
        <v>59</v>
      </c>
      <c r="H11" s="147">
        <f>'3MSynthDepo'!I28</f>
        <v>-4.4760301796437875E-5</v>
      </c>
      <c r="I11" s="17"/>
      <c r="J11" s="133">
        <v>1.5514146245010352E-4</v>
      </c>
      <c r="K11" s="16"/>
      <c r="L11" s="122">
        <v>-4.4760301796437875E-5</v>
      </c>
      <c r="M11" s="123">
        <f>_xll.qlSimpleQuoteSetValue(D11,ROUND($L11,6),EvaluationDate)</f>
        <v>-2.4000000000000004E-5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EUR1MD_SYNTH3M_Quote#0000</v>
      </c>
      <c r="E12" s="164"/>
      <c r="F12" s="16"/>
      <c r="G12" s="145" t="s">
        <v>60</v>
      </c>
      <c r="H12" s="139">
        <f>'3MSynthDepo'!I29</f>
        <v>-6.2492089720311839E-5</v>
      </c>
      <c r="I12" s="17"/>
      <c r="J12" s="132">
        <v>9.5648429845773819E-5</v>
      </c>
      <c r="K12" s="16"/>
      <c r="L12" s="120">
        <v>-6.2492089720311839E-5</v>
      </c>
      <c r="M12" s="121">
        <f>_xll.qlSimpleQuoteSetValue(D12,ROUND($L12,6),EvaluationDate)</f>
        <v>-2.3000000000000003E-5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EUR2MD_SYNTH3M_Quote#0000</v>
      </c>
      <c r="E13" s="164"/>
      <c r="F13" s="16"/>
      <c r="G13" s="145" t="s">
        <v>61</v>
      </c>
      <c r="H13" s="139">
        <f>'3MSynthDepo'!I30</f>
        <v>-7.0270523250751243E-5</v>
      </c>
      <c r="I13" s="17"/>
      <c r="J13" s="132">
        <v>5.4506305091701146E-5</v>
      </c>
      <c r="K13" s="16"/>
      <c r="L13" s="120">
        <v>-7.0270523250751243E-5</v>
      </c>
      <c r="M13" s="121">
        <f>_xll.qlSimpleQuoteSetValue(D13,ROUND($L13,6),EvaluationDate)</f>
        <v>-2.1999999999999993E-5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EUR3MD_SYNTH3M_Quote#0000</v>
      </c>
      <c r="E14" s="165"/>
      <c r="F14" s="16"/>
      <c r="G14" s="146" t="s">
        <v>62</v>
      </c>
      <c r="H14" s="147">
        <f>'3MSynthDepo'!I31</f>
        <v>-6.0840496784477494E-5</v>
      </c>
      <c r="I14" s="17"/>
      <c r="J14" s="133">
        <v>2.1169088631484696E-5</v>
      </c>
      <c r="K14" s="16"/>
      <c r="L14" s="122">
        <v>-6.0840496784477494E-5</v>
      </c>
      <c r="M14" s="123">
        <f>_xll.qlSimpleQuoteSetValue(D14,ROUND($L14,6),EvaluationDate)</f>
        <v>-2.0999999999999995E-5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EURSND_SYNTH6M_Quote#0000</v>
      </c>
      <c r="E15" s="163" t="str">
        <f>_xll.ohRangeRetrieveError(D15)</f>
        <v/>
      </c>
      <c r="F15" s="16"/>
      <c r="G15" s="143" t="s">
        <v>55</v>
      </c>
      <c r="H15" s="144">
        <f>'6MSynthDepo'!I25</f>
        <v>4.0792836996317305E-4</v>
      </c>
      <c r="I15" s="17"/>
      <c r="J15" s="132">
        <v>9.1273369742239652E-4</v>
      </c>
      <c r="K15" s="16"/>
      <c r="L15" s="120">
        <v>4.0792836996317305E-4</v>
      </c>
      <c r="M15" s="121">
        <f>_xll.qlSimpleQuoteSetValue(D15,ROUND($L15,6),EvaluationDate)</f>
        <v>7.0000000000000075E-6</v>
      </c>
      <c r="N15" s="110">
        <f>_xll.ohTrigger(M15:M24)</f>
        <v>0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EURSWD_SYNTH6M_Quote#0000</v>
      </c>
      <c r="E16" s="164" t="str">
        <f>_xll.ohRangeRetrieveError(D16)</f>
        <v/>
      </c>
      <c r="F16" s="16"/>
      <c r="G16" s="145" t="s">
        <v>57</v>
      </c>
      <c r="H16" s="139">
        <f>'6MSynthDepo'!I26</f>
        <v>4.1614088411761382E-4</v>
      </c>
      <c r="I16" s="17"/>
      <c r="J16" s="132">
        <v>1.0323016171362046E-3</v>
      </c>
      <c r="K16" s="16"/>
      <c r="L16" s="120">
        <v>4.1614088411761382E-4</v>
      </c>
      <c r="M16" s="121">
        <f>_xll.qlSimpleQuoteSetValue(D16,ROUND($L16,6),EvaluationDate)</f>
        <v>5.9999999999999832E-6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EUR2WD_SYNTH6M_Quote#0000</v>
      </c>
      <c r="E17" s="164" t="str">
        <f>_xll.ohRangeRetrieveError(D17)</f>
        <v/>
      </c>
      <c r="F17" s="10"/>
      <c r="G17" s="145" t="s">
        <v>58</v>
      </c>
      <c r="H17" s="139">
        <f>'6MSynthDepo'!I27</f>
        <v>4.5556619901608385E-4</v>
      </c>
      <c r="I17" s="17"/>
      <c r="J17" s="132">
        <v>1.1954497369843459E-3</v>
      </c>
      <c r="K17" s="16"/>
      <c r="L17" s="120">
        <v>4.5556619901608385E-4</v>
      </c>
      <c r="M17" s="121">
        <f>_xll.qlSimpleQuoteSetValue(D17,ROUND($L17,6),EvaluationDate)</f>
        <v>5.0000000000000131E-6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EUR3WD_SYNTH6M_Quote#0000</v>
      </c>
      <c r="E18" s="164" t="str">
        <f>_xll.ohRangeRetrieveError(D18)</f>
        <v/>
      </c>
      <c r="F18" s="10"/>
      <c r="G18" s="145" t="s">
        <v>59</v>
      </c>
      <c r="H18" s="139">
        <f>'6MSynthDepo'!I28</f>
        <v>4.7483862602274281E-4</v>
      </c>
      <c r="I18" s="17"/>
      <c r="J18" s="132">
        <v>1.0885602616905743E-3</v>
      </c>
      <c r="K18" s="16"/>
      <c r="L18" s="120">
        <v>4.7483862602274281E-4</v>
      </c>
      <c r="M18" s="121">
        <f>_xll.qlSimpleQuoteSetValue(D18,ROUND($L18,6),EvaluationDate)</f>
        <v>3.0000000000000187E-6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EUR1MD_SYNTH6M_Quote#0000</v>
      </c>
      <c r="E19" s="164" t="str">
        <f>_xll.ohRangeRetrieveError(D19)</f>
        <v/>
      </c>
      <c r="F19" s="10"/>
      <c r="G19" s="143" t="s">
        <v>60</v>
      </c>
      <c r="H19" s="144">
        <f>'6MSynthDepo'!I29</f>
        <v>4.6103442661671323E-4</v>
      </c>
      <c r="I19" s="40"/>
      <c r="J19" s="135">
        <v>1.0096362776810253E-3</v>
      </c>
      <c r="K19" s="41"/>
      <c r="L19" s="126">
        <v>4.6103442661671323E-4</v>
      </c>
      <c r="M19" s="127">
        <f>_xll.qlSimpleQuoteSetValue(D19,ROUND($L19,6),EvaluationDate)</f>
        <v>9.999999999999701E-7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EUR2MD_SYNTH6M_Quote#0000</v>
      </c>
      <c r="E20" s="164" t="str">
        <f>_xll.ohRangeRetrieveError(D20)</f>
        <v/>
      </c>
      <c r="F20" s="10"/>
      <c r="G20" s="145" t="s">
        <v>61</v>
      </c>
      <c r="H20" s="139">
        <f>'6MSynthDepo'!I30</f>
        <v>4.6630880362953902E-4</v>
      </c>
      <c r="I20" s="17"/>
      <c r="J20" s="132">
        <v>9.0595425058635152E-4</v>
      </c>
      <c r="K20" s="16"/>
      <c r="L20" s="120">
        <v>4.6630880362953902E-4</v>
      </c>
      <c r="M20" s="121">
        <f>_xll.qlSimpleQuoteSetValue(D20,ROUND($L20,6),EvaluationDate)</f>
        <v>-5.9999999999999832E-6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EUR3MD_SYNTH6M_Quote#0000</v>
      </c>
      <c r="E21" s="164" t="str">
        <f>_xll.ohRangeRetrieveError(D21)</f>
        <v/>
      </c>
      <c r="F21" s="10"/>
      <c r="G21" s="145" t="s">
        <v>62</v>
      </c>
      <c r="H21" s="139">
        <f>'6MSynthDepo'!I31</f>
        <v>4.8808392657007582E-4</v>
      </c>
      <c r="I21" s="17"/>
      <c r="J21" s="132">
        <v>8.1856251305365826E-4</v>
      </c>
      <c r="K21" s="16"/>
      <c r="L21" s="120">
        <v>4.8808392657007582E-4</v>
      </c>
      <c r="M21" s="121">
        <f>_xll.qlSimpleQuoteSetValue(D21,ROUND($L21,6),EvaluationDate)</f>
        <v>-9.999999999999972E-6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EUR4MD_SYNTH6M_Quote#0000</v>
      </c>
      <c r="E22" s="164" t="str">
        <f>_xll.ohRangeRetrieveError(D22)</f>
        <v/>
      </c>
      <c r="F22" s="10"/>
      <c r="G22" s="145" t="s">
        <v>63</v>
      </c>
      <c r="H22" s="139">
        <f>'6MSynthDepo'!I32</f>
        <v>5.1090445593181581E-4</v>
      </c>
      <c r="I22" s="17"/>
      <c r="J22" s="132">
        <v>7.7358926811860727E-4</v>
      </c>
      <c r="K22" s="16"/>
      <c r="L22" s="120">
        <v>5.1090445593181581E-4</v>
      </c>
      <c r="M22" s="121">
        <f>_xll.qlSimpleQuoteSetValue(D22,ROUND($L22,6),EvaluationDate)</f>
        <v>-1.5000000000000039E-5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EUR5MD_SYNTH6M_Quote#0000</v>
      </c>
      <c r="E23" s="164" t="str">
        <f>_xll.ohRangeRetrieveError(D23)</f>
        <v/>
      </c>
      <c r="F23" s="10"/>
      <c r="G23" s="145" t="s">
        <v>64</v>
      </c>
      <c r="H23" s="139">
        <f>'6MSynthDepo'!I33</f>
        <v>5.3304015210328844E-4</v>
      </c>
      <c r="I23" s="17"/>
      <c r="J23" s="132">
        <v>7.535141655863201E-4</v>
      </c>
      <c r="K23" s="16"/>
      <c r="L23" s="120">
        <v>5.3304015210328844E-4</v>
      </c>
      <c r="M23" s="121">
        <f>_xll.qlSimpleQuoteSetValue(D23,ROUND($L23,6),EvaluationDate)</f>
        <v>-1.7999999999999895E-5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EUR6MD_SYNTH6M_Quote#0000</v>
      </c>
      <c r="E24" s="165" t="str">
        <f>_xll.ohRangeRetrieveError(D24)</f>
        <v/>
      </c>
      <c r="F24" s="10"/>
      <c r="G24" s="146" t="s">
        <v>65</v>
      </c>
      <c r="H24" s="147">
        <f>'6MSynthDepo'!I34</f>
        <v>5.5722465423791801E-4</v>
      </c>
      <c r="I24" s="17"/>
      <c r="J24" s="133">
        <v>7.1336998314508644E-4</v>
      </c>
      <c r="K24" s="16"/>
      <c r="L24" s="122">
        <v>5.5722465423791801E-4</v>
      </c>
      <c r="M24" s="123">
        <f>_xll.qlSimpleQuoteSetValue(D24,ROUND($L24,6),EvaluationDate)</f>
        <v>-2.0999999999999968E-5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EURSND_SYNTH1Y_Quote#0000</v>
      </c>
      <c r="E25" s="164" t="str">
        <f>_xll.ohRangeRetrieveError(D25)</f>
        <v/>
      </c>
      <c r="F25" s="16"/>
      <c r="G25" s="148" t="s">
        <v>55</v>
      </c>
      <c r="H25" s="144">
        <f>'1YSynthDepo'!I20</f>
        <v>1.2874101301019181E-3</v>
      </c>
      <c r="I25" s="17"/>
      <c r="J25" s="132">
        <v>1.9786760234286049E-3</v>
      </c>
      <c r="K25" s="16"/>
      <c r="L25" s="120">
        <v>1.2874101301019181E-3</v>
      </c>
      <c r="M25" s="121">
        <f>_xll.qlSimpleQuoteSetValue(D25,ROUND($L25,6),EvaluationDate)</f>
        <v>7.499999999999998E-5</v>
      </c>
      <c r="N25" s="110">
        <f>_xll.ohTrigger(M25:M40)</f>
        <v>0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EURSWD_SYNTH1Y_Quote#0000</v>
      </c>
      <c r="E26" s="164" t="str">
        <f>_xll.ohRangeRetrieveError(D26)</f>
        <v/>
      </c>
      <c r="F26" s="16"/>
      <c r="G26" s="149" t="s">
        <v>57</v>
      </c>
      <c r="H26" s="139">
        <f>'1YSynthDepo'!I21</f>
        <v>1.295825755841053E-3</v>
      </c>
      <c r="I26" s="17"/>
      <c r="J26" s="132">
        <v>2.0973449061261512E-3</v>
      </c>
      <c r="K26" s="16"/>
      <c r="L26" s="120">
        <v>1.295825755841053E-3</v>
      </c>
      <c r="M26" s="121">
        <f>_xll.qlSimpleQuoteSetValue(D26,ROUND($L26,6),EvaluationDate)</f>
        <v>7.4000000000000064E-5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EUR2WD_SYNTH1Y_Quote#0000</v>
      </c>
      <c r="E27" s="164" t="str">
        <f>_xll.ohRangeRetrieveError(D27)</f>
        <v/>
      </c>
      <c r="F27" s="10"/>
      <c r="G27" s="149" t="s">
        <v>58</v>
      </c>
      <c r="H27" s="139">
        <f>'1YSynthDepo'!I22</f>
        <v>1.3355227950796942E-3</v>
      </c>
      <c r="I27" s="17"/>
      <c r="J27" s="132">
        <v>2.2594679994477774E-3</v>
      </c>
      <c r="K27" s="16"/>
      <c r="L27" s="120">
        <v>1.3355227950796942E-3</v>
      </c>
      <c r="M27" s="121">
        <f>_xll.qlSimpleQuoteSetValue(D27,ROUND($L27,6),EvaluationDate)</f>
        <v>7.2000000000000015E-5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EUR3WD_SYNTH1Y_Quote#0000</v>
      </c>
      <c r="E28" s="164" t="str">
        <f>_xll.ohRangeRetrieveError(D28)</f>
        <v/>
      </c>
      <c r="F28" s="10"/>
      <c r="G28" s="149" t="s">
        <v>59</v>
      </c>
      <c r="H28" s="139">
        <f>'1YSynthDepo'!I23</f>
        <v>1.3551026855829207E-3</v>
      </c>
      <c r="I28" s="17"/>
      <c r="J28" s="132">
        <v>2.1515623467774753E-3</v>
      </c>
      <c r="K28" s="16"/>
      <c r="L28" s="120">
        <v>1.3551026855829207E-3</v>
      </c>
      <c r="M28" s="121">
        <f>_xll.qlSimpleQuoteSetValue(D28,ROUND($L28,6),EvaluationDate)</f>
        <v>7.0000000000000184E-5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EUR1MD_SYNTH1Y_Quote#0000</v>
      </c>
      <c r="E29" s="164" t="str">
        <f>_xll.ohRangeRetrieveError(D29)</f>
        <v/>
      </c>
      <c r="F29" s="10"/>
      <c r="G29" s="150" t="s">
        <v>60</v>
      </c>
      <c r="H29" s="147">
        <f>'1YSynthDepo'!I24</f>
        <v>1.3417430010322917E-3</v>
      </c>
      <c r="I29" s="17"/>
      <c r="J29" s="133">
        <v>2.0713582690561338E-3</v>
      </c>
      <c r="K29" s="16"/>
      <c r="L29" s="122">
        <v>1.3417430010322917E-3</v>
      </c>
      <c r="M29" s="123">
        <f>_xll.qlSimpleQuoteSetValue(D29,ROUND($L29,6),EvaluationDate)</f>
        <v>6.8000000000000135E-5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EUR2MD_SYNTH1Y_Quote#0000</v>
      </c>
      <c r="E30" s="164" t="str">
        <f>_xll.ohRangeRetrieveError(D30)</f>
        <v/>
      </c>
      <c r="F30" s="10"/>
      <c r="G30" s="149" t="s">
        <v>61</v>
      </c>
      <c r="H30" s="139">
        <f>'1YSynthDepo'!I25</f>
        <v>1.3489740869340237E-3</v>
      </c>
      <c r="I30" s="17"/>
      <c r="J30" s="132">
        <v>1.9635040805632822E-3</v>
      </c>
      <c r="K30" s="16"/>
      <c r="L30" s="120">
        <v>1.3489740869340237E-3</v>
      </c>
      <c r="M30" s="121">
        <f>_xll.qlSimpleQuoteSetValue(D30,ROUND($L30,6),EvaluationDate)</f>
        <v>5.9999999999999941E-5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EUR3MD_SYNTH1Y_Quote#0000</v>
      </c>
      <c r="E31" s="164" t="str">
        <f>_xll.ohRangeRetrieveError(D31)</f>
        <v/>
      </c>
      <c r="F31" s="10"/>
      <c r="G31" s="149" t="s">
        <v>62</v>
      </c>
      <c r="H31" s="139">
        <f>'1YSynthDepo'!I26</f>
        <v>1.3733244822814027E-3</v>
      </c>
      <c r="I31" s="17"/>
      <c r="J31" s="132">
        <v>1.8724129563418969E-3</v>
      </c>
      <c r="K31" s="16"/>
      <c r="L31" s="120">
        <v>1.3733244822814027E-3</v>
      </c>
      <c r="M31" s="121">
        <f>_xll.qlSimpleQuoteSetValue(D31,ROUND($L31,6),EvaluationDate)</f>
        <v>5.3000000000000096E-5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EUR4MD_SYNTH1Y_Quote#0000</v>
      </c>
      <c r="E32" s="164" t="str">
        <f>_xll.ohRangeRetrieveError(D32)</f>
        <v/>
      </c>
      <c r="F32" s="10"/>
      <c r="G32" s="149" t="s">
        <v>63</v>
      </c>
      <c r="H32" s="139">
        <f>'1YSynthDepo'!I27</f>
        <v>1.3993945727118439E-3</v>
      </c>
      <c r="I32" s="17"/>
      <c r="J32" s="132">
        <v>1.8237721684577848E-3</v>
      </c>
      <c r="K32" s="16"/>
      <c r="L32" s="120">
        <v>1.3993945727118439E-3</v>
      </c>
      <c r="M32" s="121">
        <f>_xll.qlSimpleQuoteSetValue(D32,ROUND($L32,6),EvaluationDate)</f>
        <v>4.6000000000000034E-5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EUR5MD_SYNTH1Y_Quote#0000</v>
      </c>
      <c r="E33" s="164" t="str">
        <f>_xll.ohRangeRetrieveError(D33)</f>
        <v/>
      </c>
      <c r="F33" s="16"/>
      <c r="G33" s="149" t="s">
        <v>64</v>
      </c>
      <c r="H33" s="139">
        <f>'1YSynthDepo'!I28</f>
        <v>1.4249459921047165E-3</v>
      </c>
      <c r="I33" s="17"/>
      <c r="J33" s="132">
        <v>1.8008225006785829E-3</v>
      </c>
      <c r="K33" s="16"/>
      <c r="L33" s="120">
        <v>1.4249459921047165E-3</v>
      </c>
      <c r="M33" s="121">
        <f>_xll.qlSimpleQuoteSetValue(D33,ROUND($L33,6),EvaluationDate)</f>
        <v>4.1000000000000021E-5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EUR6MD_SYNTH1Y_Quote#0000</v>
      </c>
      <c r="E34" s="164" t="str">
        <f>_xll.ohRangeRetrieveError(D34)</f>
        <v/>
      </c>
      <c r="F34" s="16"/>
      <c r="G34" s="149" t="s">
        <v>65</v>
      </c>
      <c r="H34" s="139">
        <f>'1YSynthDepo'!I29</f>
        <v>1.4530873450746733E-3</v>
      </c>
      <c r="I34" s="17"/>
      <c r="J34" s="132">
        <v>1.7580324292638017E-3</v>
      </c>
      <c r="K34" s="16"/>
      <c r="L34" s="120">
        <v>1.4530873450746733E-3</v>
      </c>
      <c r="M34" s="121">
        <f>_xll.qlSimpleQuoteSetValue(D34,ROUND($L34,6),EvaluationDate)</f>
        <v>3.6000000000000008E-5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EUR7MD_SYNTH1Y_Quote#0000</v>
      </c>
      <c r="E35" s="164" t="str">
        <f>_xll.ohRangeRetrieveError(D35)</f>
        <v/>
      </c>
      <c r="F35" s="16"/>
      <c r="G35" s="149" t="s">
        <v>66</v>
      </c>
      <c r="H35" s="139">
        <f>'1YSynthDepo'!I30</f>
        <v>1.6641505862981072E-3</v>
      </c>
      <c r="I35" s="17"/>
      <c r="J35" s="132">
        <v>1.7605253080593816E-3</v>
      </c>
      <c r="K35" s="16"/>
      <c r="L35" s="120">
        <v>1.6641505862981072E-3</v>
      </c>
      <c r="M35" s="121">
        <f>_xll.qlSimpleQuoteSetValue(D35,ROUND($L35,6),EvaluationDate)</f>
        <v>1.6999999999999871E-5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EUR8MD_SYNTH1Y_Quote#0000</v>
      </c>
      <c r="E36" s="164" t="str">
        <f>_xll.ohRangeRetrieveError(D36)</f>
        <v/>
      </c>
      <c r="F36" s="16"/>
      <c r="G36" s="149" t="s">
        <v>67</v>
      </c>
      <c r="H36" s="139">
        <f>'1YSynthDepo'!I31</f>
        <v>1.6641505862981072E-3</v>
      </c>
      <c r="I36" s="17"/>
      <c r="J36" s="132">
        <v>1.7377762759480189E-3</v>
      </c>
      <c r="K36" s="16"/>
      <c r="L36" s="120">
        <v>1.6641505862981072E-3</v>
      </c>
      <c r="M36" s="121">
        <f>_xll.qlSimpleQuoteSetValue(D36,ROUND($L36,6),EvaluationDate)</f>
        <v>1.6999999999999871E-5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EUR9MD_SYNTH1Y_Quote#0000</v>
      </c>
      <c r="E37" s="164" t="str">
        <f>_xll.ohRangeRetrieveError(D37)</f>
        <v/>
      </c>
      <c r="F37" s="16"/>
      <c r="G37" s="149" t="s">
        <v>68</v>
      </c>
      <c r="H37" s="139">
        <f>'1YSynthDepo'!I32</f>
        <v>1.6641505862981072E-3</v>
      </c>
      <c r="I37" s="17"/>
      <c r="J37" s="132">
        <v>1.7481493380464806E-3</v>
      </c>
      <c r="K37" s="16"/>
      <c r="L37" s="120">
        <v>1.6641505862981072E-3</v>
      </c>
      <c r="M37" s="121">
        <f>_xll.qlSimpleQuoteSetValue(D37,ROUND($L37,6),EvaluationDate)</f>
        <v>1.6999999999999871E-5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EUR10MD_SYNTH1Y_Quote#0000</v>
      </c>
      <c r="E38" s="164" t="str">
        <f>_xll.ohRangeRetrieveError(D38)</f>
        <v/>
      </c>
      <c r="F38" s="16"/>
      <c r="G38" s="149" t="s">
        <v>69</v>
      </c>
      <c r="H38" s="139">
        <f>'1YSynthDepo'!I33</f>
        <v>1.6641505862981072E-3</v>
      </c>
      <c r="I38" s="17"/>
      <c r="J38" s="132">
        <v>1.7372768337085925E-3</v>
      </c>
      <c r="K38" s="16"/>
      <c r="L38" s="120">
        <v>1.6641505862981072E-3</v>
      </c>
      <c r="M38" s="121">
        <f>_xll.qlSimpleQuoteSetValue(D38,ROUND($L38,6),EvaluationDate)</f>
        <v>1.6999999999999871E-5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EUR11MD_SYNTH1Y_Quote#0000</v>
      </c>
      <c r="E39" s="164" t="str">
        <f>_xll.ohRangeRetrieveError(D39)</f>
        <v/>
      </c>
      <c r="F39" s="16"/>
      <c r="G39" s="149" t="s">
        <v>70</v>
      </c>
      <c r="H39" s="139">
        <f>'1YSynthDepo'!I34</f>
        <v>1.6641505862981072E-3</v>
      </c>
      <c r="I39" s="17"/>
      <c r="J39" s="132">
        <v>1.7247550505565812E-3</v>
      </c>
      <c r="K39" s="16"/>
      <c r="L39" s="120">
        <v>1.6641505862981072E-3</v>
      </c>
      <c r="M39" s="121">
        <f>_xll.qlSimpleQuoteSetValue(D39,ROUND($L39,6),EvaluationDate)</f>
        <v>1.6999999999999871E-5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EUR1YD_SYNTH1Y_Quote#0000</v>
      </c>
      <c r="E40" s="164" t="str">
        <f>_xll.ohRangeRetrieveError(D40)</f>
        <v/>
      </c>
      <c r="F40" s="16"/>
      <c r="G40" s="150" t="s">
        <v>71</v>
      </c>
      <c r="H40" s="147">
        <f>'1YSynthDepo'!I35</f>
        <v>1.6641505862981072E-3</v>
      </c>
      <c r="I40" s="17"/>
      <c r="J40" s="133">
        <v>1.7100000000000858E-3</v>
      </c>
      <c r="K40" s="16"/>
      <c r="L40" s="122">
        <v>1.6641505862981072E-3</v>
      </c>
      <c r="M40" s="123">
        <f>_xll.qlSimpleQuoteSetValue(D40,ROUND($L40,6),EvaluationDate)</f>
        <v>1.6999999999999871E-5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EUR1x13F_SYNTH1Y_Quote#0000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>
        <f>SynthFra!G4</f>
        <v>1.7399999999999998E-3</v>
      </c>
      <c r="I41" s="18"/>
      <c r="J41" s="136">
        <v>1.6605416176082449E-3</v>
      </c>
      <c r="K41" s="19"/>
      <c r="L41" s="128">
        <v>1.7399999999999998E-3</v>
      </c>
      <c r="M41" s="129">
        <f>_xll.qlSimpleQuoteSetValue(D41,ROUND(L41,6),EvaluationDate)</f>
        <v>0</v>
      </c>
      <c r="N41" s="110">
        <f>_xll.ohTrigger(M41:M63)</f>
        <v>0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EUR2x14F_SYNTH1Y_Quote#0000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>
        <f>SynthFra!G5</f>
        <v>1.7799999999999997E-3</v>
      </c>
      <c r="I42" s="19"/>
      <c r="J42" s="136">
        <v>1.6383825167237793E-3</v>
      </c>
      <c r="K42" s="19"/>
      <c r="L42" s="128">
        <v>1.7799999999999997E-3</v>
      </c>
      <c r="M42" s="129">
        <f>_xll.qlSimpleQuoteSetValue(D42,ROUND(L42,6),EvaluationDate)</f>
        <v>0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EUR3x15F_SYNTH1Y_Quote#0000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>
        <f>SynthFra!G6</f>
        <v>1.8200000000000002E-3</v>
      </c>
      <c r="I43" s="19"/>
      <c r="J43" s="136">
        <v>1.6315359165180374E-3</v>
      </c>
      <c r="K43" s="19"/>
      <c r="L43" s="128">
        <v>1.8200000000000002E-3</v>
      </c>
      <c r="M43" s="129">
        <f>_xll.qlSimpleQuoteSetValue(D43,ROUND(L43,6),EvaluationDate)</f>
        <v>0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EUR4x16F_SYNTH1Y_Quote#0000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>
        <f>SynthFra!G7</f>
        <v>1.8600000000000001E-3</v>
      </c>
      <c r="I44" s="19"/>
      <c r="J44" s="136">
        <v>1.6217354128587164E-3</v>
      </c>
      <c r="K44" s="19"/>
      <c r="L44" s="128">
        <v>1.8600000000000001E-3</v>
      </c>
      <c r="M44" s="129">
        <f>_xll.qlSimpleQuoteSetValue(D44,ROUND(L44,6),EvaluationDate)</f>
        <v>0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EUR5x17F_SYNTH1Y_Quote#0000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>
        <f>SynthFra!G8</f>
        <v>1.9000000000000002E-3</v>
      </c>
      <c r="I45" s="19"/>
      <c r="J45" s="136">
        <v>1.611490590887736E-3</v>
      </c>
      <c r="K45" s="19"/>
      <c r="L45" s="128">
        <v>1.9000000000000002E-3</v>
      </c>
      <c r="M45" s="129">
        <f>_xll.qlSimpleQuoteSetValue(D45,ROUND(L45,6),EvaluationDate)</f>
        <v>0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EUR6x18F_SYNTH1Y_Quote#0000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>
        <f>SynthFra!G9</f>
        <v>1.9500000000000003E-3</v>
      </c>
      <c r="I46" s="19"/>
      <c r="J46" s="136">
        <v>1.6152355880216236E-3</v>
      </c>
      <c r="K46" s="19"/>
      <c r="L46" s="128">
        <v>1.9500000000000003E-3</v>
      </c>
      <c r="M46" s="129">
        <f>_xll.qlSimpleQuoteSetValue(D46,ROUND(L46,6),EvaluationDate)</f>
        <v>0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EUR7x19F_SYNTH1Y_Quote#0000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>
        <f>SynthFra!G10</f>
        <v>2E-3</v>
      </c>
      <c r="I47" s="19"/>
      <c r="J47" s="136">
        <v>1.6027837766431675E-3</v>
      </c>
      <c r="K47" s="19"/>
      <c r="L47" s="128">
        <v>2E-3</v>
      </c>
      <c r="M47" s="129">
        <f>_xll.qlSimpleQuoteSetValue(D47,ROUND(L47,6),EvaluationDate)</f>
        <v>0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EUR8x20F_SYNTH1Y_Quote#0000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>
        <f>SynthFra!G11</f>
        <v>2.0499999999999997E-3</v>
      </c>
      <c r="I48" s="19"/>
      <c r="J48" s="136">
        <v>1.6116373612167782E-3</v>
      </c>
      <c r="K48" s="19"/>
      <c r="L48" s="128">
        <v>2.0499999999999997E-3</v>
      </c>
      <c r="M48" s="129">
        <f>_xll.qlSimpleQuoteSetValue(D48,ROUND(L48,6),EvaluationDate)</f>
        <v>0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EUR9x21F_SYNTH1Y_Quote#0000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>
        <f>SynthFra!G12</f>
        <v>2.0899999999999998E-3</v>
      </c>
      <c r="I49" s="19"/>
      <c r="J49" s="136">
        <v>1.6110335582855382E-3</v>
      </c>
      <c r="K49" s="19"/>
      <c r="L49" s="128">
        <v>2.0899999999999998E-3</v>
      </c>
      <c r="M49" s="129">
        <f>_xll.qlSimpleQuoteSetValue(D49,ROUND(L49,6),EvaluationDate)</f>
        <v>0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EUR10x22F_SYNTH1Y_Quote#0000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>
        <f>SynthFra!G13</f>
        <v>2.1600000000000005E-3</v>
      </c>
      <c r="I50" s="19"/>
      <c r="J50" s="136">
        <v>1.6260050614706461E-3</v>
      </c>
      <c r="K50" s="19"/>
      <c r="L50" s="128">
        <v>2.1600000000000005E-3</v>
      </c>
      <c r="M50" s="129">
        <f>_xll.qlSimpleQuoteSetValue(D50,ROUND(L50,6),EvaluationDate)</f>
        <v>0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EUR11x23F_SYNTH1Y_Quote#0000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>
        <f>SynthFra!G14</f>
        <v>2.2300000000000002E-3</v>
      </c>
      <c r="I51" s="19"/>
      <c r="J51" s="136">
        <v>1.6510956425379811E-3</v>
      </c>
      <c r="K51" s="19"/>
      <c r="L51" s="128">
        <v>2.2300000000000002E-3</v>
      </c>
      <c r="M51" s="129">
        <f>_xll.qlSimpleQuoteSetValue(D51,ROUND(L51,6),EvaluationDate)</f>
        <v>0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EUR13x25F_SYNTH1Y_Quote#0000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>
        <f>SynthFra!G16</f>
        <v>2.3912285942744075E-3</v>
      </c>
      <c r="I52" s="19"/>
      <c r="J52" s="136">
        <v>1.7293198715218703E-3</v>
      </c>
      <c r="K52" s="19"/>
      <c r="L52" s="128">
        <v>2.3912285942744075E-3</v>
      </c>
      <c r="M52" s="129">
        <f>_xll.qlSimpleQuoteSetValue(D52,ROUND(L52,6),EvaluationDate)</f>
        <v>0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EUR14x26F_SYNTH1Y_Quote#0000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>
        <f>SynthFra!G17</f>
        <v>2.4796682689471345E-3</v>
      </c>
      <c r="I53" s="19"/>
      <c r="J53" s="136">
        <v>1.7685177753047356E-3</v>
      </c>
      <c r="K53" s="19"/>
      <c r="L53" s="128">
        <v>2.4796682689471345E-3</v>
      </c>
      <c r="M53" s="129">
        <f>_xll.qlSimpleQuoteSetValue(D53,ROUND(L53,6),EvaluationDate)</f>
        <v>0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EUR15x27F_SYNTH1Y_Quote#0000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>
        <f>SynthFra!G18</f>
        <v>2.5893258903927937E-3</v>
      </c>
      <c r="I54" s="19"/>
      <c r="J54" s="136">
        <v>1.8203716252033035E-3</v>
      </c>
      <c r="K54" s="19"/>
      <c r="L54" s="128">
        <v>2.5893258903927937E-3</v>
      </c>
      <c r="M54" s="129">
        <f>_xll.qlSimpleQuoteSetValue(D54,ROUND(L54,6),EvaluationDate)</f>
        <v>0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EUR16x28F_SYNTH1Y_Quote#0000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>
        <f>SynthFra!G19</f>
        <v>2.694561378472171E-3</v>
      </c>
      <c r="I55" s="19"/>
      <c r="J55" s="136">
        <v>1.8842824044602055E-3</v>
      </c>
      <c r="K55" s="19"/>
      <c r="L55" s="128">
        <v>2.694561378472171E-3</v>
      </c>
      <c r="M55" s="129">
        <f>_xll.qlSimpleQuoteSetValue(D55,ROUND(L55,6),EvaluationDate)</f>
        <v>0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EUR17x29F_SYNTH1Y_Quote#0000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>
        <f>SynthFra!G20</f>
        <v>2.8218283726608381E-3</v>
      </c>
      <c r="I56" s="19"/>
      <c r="J56" s="136">
        <v>1.9620591824041763E-3</v>
      </c>
      <c r="K56" s="19"/>
      <c r="L56" s="128">
        <v>2.8218283726608381E-3</v>
      </c>
      <c r="M56" s="129">
        <f>_xll.qlSimpleQuoteSetValue(D56,ROUND(L56,6),EvaluationDate)</f>
        <v>0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EUR18x30F_SYNTH1Y_Quote#0000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>
        <f>SynthFra!G21</f>
        <v>2.961117371348871E-3</v>
      </c>
      <c r="I57" s="19"/>
      <c r="J57" s="136">
        <v>2.0525920677748541E-3</v>
      </c>
      <c r="K57" s="19"/>
      <c r="L57" s="128">
        <v>2.961117371348871E-3</v>
      </c>
      <c r="M57" s="129">
        <f>_xll.qlSimpleQuoteSetValue(D57,ROUND(L57,6),EvaluationDate)</f>
        <v>0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EUR19x31F_SYNTH1Y_Quote#0000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>
        <f>SynthFra!G22</f>
        <v>3.0917190090483312E-3</v>
      </c>
      <c r="I58" s="19"/>
      <c r="J58" s="136">
        <v>2.1415420157302706E-3</v>
      </c>
      <c r="K58" s="19"/>
      <c r="L58" s="128">
        <v>3.0917190090483312E-3</v>
      </c>
      <c r="M58" s="129">
        <f>_xll.qlSimpleQuoteSetValue(D58,ROUND(L58,6),EvaluationDate)</f>
        <v>0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EUR20x32F_SYNTH1Y_Quote#0000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>
        <f>SynthFra!G23</f>
        <v>3.2423750665290527E-3</v>
      </c>
      <c r="I59" s="19"/>
      <c r="J59" s="136">
        <v>2.239062995801116E-3</v>
      </c>
      <c r="K59" s="19"/>
      <c r="L59" s="128">
        <v>3.2423750665290527E-3</v>
      </c>
      <c r="M59" s="129">
        <f>_xll.qlSimpleQuoteSetValue(D59,ROUND(L59,6),EvaluationDate)</f>
        <v>0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EUR21x33F_SYNTH1Y_Quote#0000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>
        <f>SynthFra!G24</f>
        <v>3.3822192927254083E-3</v>
      </c>
      <c r="I60" s="19"/>
      <c r="J60" s="136">
        <v>2.3413834432000026E-3</v>
      </c>
      <c r="K60" s="19"/>
      <c r="L60" s="128">
        <v>3.3822192927254083E-3</v>
      </c>
      <c r="M60" s="129">
        <f>_xll.qlSimpleQuoteSetValue(D60,ROUND(L60,6),EvaluationDate)</f>
        <v>0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EUR22x34F_SYNTH1Y_Quote#0000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>
        <f>SynthFra!G25</f>
        <v>3.5423264036804417E-3</v>
      </c>
      <c r="I61" s="19"/>
      <c r="J61" s="136">
        <v>2.4430084796921575E-3</v>
      </c>
      <c r="K61" s="19"/>
      <c r="L61" s="128">
        <v>3.5423264036804417E-3</v>
      </c>
      <c r="M61" s="129">
        <f>_xll.qlSimpleQuoteSetValue(D61,ROUND(L61,6),EvaluationDate)</f>
        <v>0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EUR23x35F_SYNTH1Y_Quote#0000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>
        <f>SynthFra!G26</f>
        <v>3.7124652048947178E-3</v>
      </c>
      <c r="I62" s="19"/>
      <c r="J62" s="136">
        <v>2.5460698839072883E-3</v>
      </c>
      <c r="K62" s="19"/>
      <c r="L62" s="128">
        <v>3.7124652048947178E-3</v>
      </c>
      <c r="M62" s="129">
        <f>_xll.qlSimpleQuoteSetValue(D62,ROUND(L62,6),EvaluationDate)</f>
        <v>0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EUR24x36F_SYNTH1Y_Quote#0000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>
        <f>SynthFra!G27</f>
        <v>3.9100000000000003E-3</v>
      </c>
      <c r="I63" s="19"/>
      <c r="J63" s="137">
        <v>2.5460698839072883E-3</v>
      </c>
      <c r="K63" s="19"/>
      <c r="L63" s="130">
        <v>3.9100000000000003E-3</v>
      </c>
      <c r="M63" s="131">
        <f>_xll.qlSimpleQuoteSetValue(D63,ROUND(L63,6),EvaluationDate)</f>
        <v>0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2015-06-01T16:05:37Z</dcterms:modified>
</cp:coreProperties>
</file>