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2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5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eekshithar/Downloads/internship/Archive/"/>
    </mc:Choice>
  </mc:AlternateContent>
  <xr:revisionPtr revIDLastSave="0" documentId="13_ncr:1_{D4C910A5-2EAE-8047-9895-84D4F07B7078}" xr6:coauthVersionLast="47" xr6:coauthVersionMax="47" xr10:uidLastSave="{00000000-0000-0000-0000-000000000000}"/>
  <bookViews>
    <workbookView xWindow="0" yWindow="500" windowWidth="23260" windowHeight="12460" tabRatio="772" xr2:uid="{00C35B03-1FB5-47AD-AE0B-C640CDAE8AFD}"/>
  </bookViews>
  <sheets>
    <sheet name="About Company &amp; Analysis" sheetId="1" r:id="rId1"/>
    <sheet name="income statement " sheetId="2" r:id="rId2"/>
    <sheet name="balances sheet" sheetId="3" r:id="rId3"/>
    <sheet name="Cash Flow Statement " sheetId="6" r:id="rId4"/>
    <sheet name="Debt Sch" sheetId="7" r:id="rId5"/>
    <sheet name="PP&amp;E Sch" sheetId="8" r:id="rId6"/>
    <sheet name="Data Sheet" sheetId="10" r:id="rId7"/>
  </sheets>
  <definedNames>
    <definedName name="_xlchart.v1.0" hidden="1">'balances sheet'!$C$11:$I$11</definedName>
    <definedName name="_xlchart.v1.1" hidden="1">'income statement '!$C$14:$I$14</definedName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  <definedName name="UPDATE">'Data Sheet'!$E$1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9" i="6" l="1"/>
  <c r="E19" i="6" s="1"/>
  <c r="F19" i="6" s="1"/>
  <c r="G19" i="6" s="1"/>
  <c r="H19" i="6" s="1"/>
  <c r="I19" i="6" s="1"/>
  <c r="C19" i="6"/>
  <c r="D18" i="6"/>
  <c r="E18" i="6" s="1"/>
  <c r="F18" i="6" s="1"/>
  <c r="G18" i="6" s="1"/>
  <c r="H18" i="6" s="1"/>
  <c r="I18" i="6" s="1"/>
  <c r="C18" i="6"/>
  <c r="D15" i="6"/>
  <c r="C15" i="6"/>
  <c r="C13" i="6"/>
  <c r="B6" i="8" s="1"/>
  <c r="D13" i="6"/>
  <c r="C6" i="8" s="1"/>
  <c r="D6" i="8" s="1"/>
  <c r="J122" i="10"/>
  <c r="I122" i="10"/>
  <c r="D9" i="6"/>
  <c r="C9" i="6"/>
  <c r="D8" i="6"/>
  <c r="E8" i="6" s="1"/>
  <c r="F8" i="6" s="1"/>
  <c r="G8" i="6" s="1"/>
  <c r="H8" i="6" s="1"/>
  <c r="I8" i="6" s="1"/>
  <c r="C8" i="6"/>
  <c r="D38" i="3"/>
  <c r="C38" i="3"/>
  <c r="D16" i="3"/>
  <c r="C16" i="3"/>
  <c r="D15" i="3"/>
  <c r="C15" i="3"/>
  <c r="D14" i="3"/>
  <c r="D5" i="8" s="1"/>
  <c r="C14" i="3"/>
  <c r="D9" i="3"/>
  <c r="C9" i="3"/>
  <c r="D8" i="3"/>
  <c r="C8" i="3"/>
  <c r="D7" i="3"/>
  <c r="C7" i="3"/>
  <c r="D32" i="2"/>
  <c r="C8" i="8" s="1"/>
  <c r="C32" i="2"/>
  <c r="B8" i="8" s="1"/>
  <c r="C24" i="2"/>
  <c r="D24" i="2"/>
  <c r="D20" i="2"/>
  <c r="C20" i="2"/>
  <c r="D19" i="2"/>
  <c r="C19" i="2"/>
  <c r="D14" i="2"/>
  <c r="C14" i="2"/>
  <c r="D8" i="2"/>
  <c r="C8" i="2"/>
  <c r="D5" i="2"/>
  <c r="C5" i="2"/>
  <c r="E1" i="10"/>
  <c r="B6" i="10"/>
  <c r="K15" i="10"/>
  <c r="B32" i="10"/>
  <c r="C32" i="10"/>
  <c r="D32" i="10"/>
  <c r="E32" i="10"/>
  <c r="F32" i="10"/>
  <c r="G32" i="10"/>
  <c r="H32" i="10"/>
  <c r="I32" i="10"/>
  <c r="J32" i="10"/>
  <c r="K32" i="10"/>
  <c r="B34" i="10"/>
  <c r="B15" i="10" s="1"/>
  <c r="C34" i="10"/>
  <c r="D34" i="10"/>
  <c r="E34" i="10"/>
  <c r="F34" i="10"/>
  <c r="G34" i="10"/>
  <c r="H34" i="10"/>
  <c r="I34" i="10"/>
  <c r="J34" i="10"/>
  <c r="K34" i="10"/>
  <c r="B51" i="10"/>
  <c r="C51" i="10"/>
  <c r="D51" i="10"/>
  <c r="E51" i="10"/>
  <c r="F51" i="10"/>
  <c r="G51" i="10"/>
  <c r="H51" i="10"/>
  <c r="I51" i="10"/>
  <c r="J51" i="10"/>
  <c r="K51" i="10"/>
  <c r="H73" i="10"/>
  <c r="I73" i="10"/>
  <c r="J73" i="10"/>
  <c r="K73" i="10"/>
  <c r="C27" i="3"/>
  <c r="C3" i="8"/>
  <c r="D3" i="8" s="1"/>
  <c r="E3" i="8" s="1"/>
  <c r="F3" i="8" s="1"/>
  <c r="G3" i="8" s="1"/>
  <c r="H3" i="8" s="1"/>
  <c r="E6" i="8" l="1"/>
  <c r="E13" i="6"/>
  <c r="E15" i="3"/>
  <c r="F15" i="3" s="1"/>
  <c r="B9" i="8"/>
  <c r="C9" i="8"/>
  <c r="E20" i="2"/>
  <c r="F20" i="2" s="1"/>
  <c r="G20" i="2" s="1"/>
  <c r="D23" i="6"/>
  <c r="C5" i="7"/>
  <c r="D5" i="7" s="1"/>
  <c r="E5" i="7" s="1"/>
  <c r="F5" i="7" s="1"/>
  <c r="G5" i="7" s="1"/>
  <c r="H5" i="7" s="1"/>
  <c r="E23" i="6"/>
  <c r="D6" i="7" s="1"/>
  <c r="I20" i="6"/>
  <c r="H8" i="7" s="1"/>
  <c r="H20" i="6"/>
  <c r="G8" i="7" s="1"/>
  <c r="G20" i="6"/>
  <c r="F8" i="7" s="1"/>
  <c r="F20" i="6"/>
  <c r="E8" i="7" s="1"/>
  <c r="E20" i="6"/>
  <c r="D8" i="7" s="1"/>
  <c r="D20" i="6"/>
  <c r="C20" i="6"/>
  <c r="D14" i="6"/>
  <c r="C14" i="6"/>
  <c r="D7" i="6"/>
  <c r="C7" i="6"/>
  <c r="D4" i="6"/>
  <c r="E4" i="6" s="1"/>
  <c r="F4" i="6" s="1"/>
  <c r="G4" i="6" s="1"/>
  <c r="H4" i="6" s="1"/>
  <c r="I4" i="6" s="1"/>
  <c r="D55" i="3"/>
  <c r="C55" i="3"/>
  <c r="D54" i="3"/>
  <c r="C54" i="3"/>
  <c r="D53" i="3"/>
  <c r="C53" i="3"/>
  <c r="E16" i="3"/>
  <c r="F16" i="3" s="1"/>
  <c r="G16" i="3" s="1"/>
  <c r="H16" i="3" s="1"/>
  <c r="I16" i="3" s="1"/>
  <c r="D50" i="3"/>
  <c r="C51" i="3"/>
  <c r="D51" i="3"/>
  <c r="C52" i="3"/>
  <c r="D52" i="3"/>
  <c r="C50" i="3"/>
  <c r="D4" i="3"/>
  <c r="E4" i="3" s="1"/>
  <c r="F4" i="3" s="1"/>
  <c r="G4" i="3" s="1"/>
  <c r="H4" i="3" s="1"/>
  <c r="I4" i="3" s="1"/>
  <c r="C29" i="3"/>
  <c r="G15" i="3" l="1"/>
  <c r="D9" i="8"/>
  <c r="F6" i="8"/>
  <c r="F13" i="6"/>
  <c r="E9" i="8"/>
  <c r="F9" i="8" s="1"/>
  <c r="H20" i="2"/>
  <c r="I20" i="2" s="1"/>
  <c r="E53" i="3"/>
  <c r="F53" i="3" s="1"/>
  <c r="G53" i="3" s="1"/>
  <c r="H15" i="3"/>
  <c r="I15" i="3" s="1"/>
  <c r="E52" i="3"/>
  <c r="E50" i="3"/>
  <c r="E54" i="3"/>
  <c r="F54" i="3" s="1"/>
  <c r="E55" i="3"/>
  <c r="E51" i="3"/>
  <c r="E14" i="6"/>
  <c r="E15" i="6" s="1"/>
  <c r="F55" i="3" l="1"/>
  <c r="G6" i="8"/>
  <c r="G13" i="6"/>
  <c r="G9" i="8"/>
  <c r="H9" i="8" s="1"/>
  <c r="F50" i="3"/>
  <c r="G50" i="3" s="1"/>
  <c r="F52" i="3"/>
  <c r="G52" i="3" s="1"/>
  <c r="G54" i="3"/>
  <c r="H54" i="3" s="1"/>
  <c r="F51" i="3"/>
  <c r="F14" i="6"/>
  <c r="F15" i="6" s="1"/>
  <c r="H53" i="3"/>
  <c r="G55" i="3" l="1"/>
  <c r="H6" i="8"/>
  <c r="I13" i="6" s="1"/>
  <c r="H13" i="6"/>
  <c r="H50" i="3"/>
  <c r="I50" i="3" s="1"/>
  <c r="H52" i="3"/>
  <c r="I52" i="3" s="1"/>
  <c r="I54" i="3"/>
  <c r="G51" i="3"/>
  <c r="H51" i="3" s="1"/>
  <c r="I53" i="3"/>
  <c r="G14" i="6"/>
  <c r="H14" i="6" s="1"/>
  <c r="I14" i="6" s="1"/>
  <c r="H55" i="3" l="1"/>
  <c r="H15" i="6"/>
  <c r="G15" i="6"/>
  <c r="I15" i="6"/>
  <c r="I51" i="3"/>
  <c r="I55" i="3" l="1"/>
  <c r="E5" i="2"/>
  <c r="D4" i="2"/>
  <c r="E4" i="2" s="1"/>
  <c r="F4" i="2" s="1"/>
  <c r="G4" i="2" s="1"/>
  <c r="H4" i="2" s="1"/>
  <c r="I4" i="2" s="1"/>
  <c r="D15" i="2"/>
  <c r="C15" i="2"/>
  <c r="E15" i="2" s="1"/>
  <c r="F15" i="2" s="1"/>
  <c r="C11" i="2"/>
  <c r="C12" i="2" s="1"/>
  <c r="D11" i="2"/>
  <c r="D17" i="2" s="1"/>
  <c r="D22" i="2" s="1"/>
  <c r="D27" i="2" s="1"/>
  <c r="D6" i="6" s="1"/>
  <c r="D10" i="6" s="1"/>
  <c r="D22" i="6" s="1"/>
  <c r="D9" i="2"/>
  <c r="C9" i="2"/>
  <c r="D6" i="2"/>
  <c r="E9" i="2" l="1"/>
  <c r="F9" i="2" s="1"/>
  <c r="F5" i="2"/>
  <c r="F8" i="2" s="1"/>
  <c r="D8" i="8"/>
  <c r="E8" i="3"/>
  <c r="G15" i="2"/>
  <c r="H15" i="2" s="1"/>
  <c r="E24" i="2"/>
  <c r="F24" i="2" s="1"/>
  <c r="G5" i="2"/>
  <c r="F14" i="2"/>
  <c r="E8" i="2"/>
  <c r="E11" i="2" s="1"/>
  <c r="E14" i="2"/>
  <c r="D12" i="2"/>
  <c r="C17" i="2"/>
  <c r="C22" i="2" s="1"/>
  <c r="C27" i="2" s="1"/>
  <c r="C6" i="6" s="1"/>
  <c r="C10" i="6" s="1"/>
  <c r="C22" i="6" s="1"/>
  <c r="G9" i="2" l="1"/>
  <c r="G8" i="2" s="1"/>
  <c r="E7" i="6"/>
  <c r="E32" i="2"/>
  <c r="D11" i="8"/>
  <c r="F8" i="8"/>
  <c r="G8" i="3"/>
  <c r="E8" i="8"/>
  <c r="F8" i="3"/>
  <c r="E24" i="3"/>
  <c r="E28" i="3"/>
  <c r="E25" i="3"/>
  <c r="E9" i="3"/>
  <c r="F11" i="2"/>
  <c r="F12" i="2" s="1"/>
  <c r="F25" i="3"/>
  <c r="F9" i="3"/>
  <c r="F24" i="3"/>
  <c r="F28" i="3"/>
  <c r="G24" i="2"/>
  <c r="H24" i="2" s="1"/>
  <c r="I24" i="2" s="1"/>
  <c r="E12" i="2"/>
  <c r="E17" i="2"/>
  <c r="H5" i="2"/>
  <c r="G14" i="2"/>
  <c r="I15" i="2"/>
  <c r="H9" i="2" l="1"/>
  <c r="I9" i="2" s="1"/>
  <c r="G32" i="2"/>
  <c r="G7" i="6"/>
  <c r="F32" i="2"/>
  <c r="F7" i="6"/>
  <c r="E5" i="8"/>
  <c r="E11" i="8" s="1"/>
  <c r="E14" i="3"/>
  <c r="F17" i="2"/>
  <c r="G8" i="8"/>
  <c r="H8" i="3"/>
  <c r="G11" i="2"/>
  <c r="G12" i="2" s="1"/>
  <c r="G25" i="3"/>
  <c r="G9" i="3"/>
  <c r="G24" i="3"/>
  <c r="G28" i="3"/>
  <c r="E31" i="2"/>
  <c r="E34" i="2"/>
  <c r="I5" i="2"/>
  <c r="H14" i="2"/>
  <c r="C41" i="3"/>
  <c r="D41" i="3"/>
  <c r="D11" i="3"/>
  <c r="C11" i="3"/>
  <c r="C34" i="2"/>
  <c r="D34" i="2"/>
  <c r="C17" i="3" l="1"/>
  <c r="D17" i="3"/>
  <c r="D18" i="3" s="1"/>
  <c r="D20" i="3" s="1"/>
  <c r="H8" i="2"/>
  <c r="H25" i="3" s="1"/>
  <c r="F34" i="2"/>
  <c r="G17" i="2"/>
  <c r="G34" i="2" s="1"/>
  <c r="F31" i="2"/>
  <c r="F14" i="3"/>
  <c r="F5" i="8"/>
  <c r="F11" i="8" s="1"/>
  <c r="H8" i="8"/>
  <c r="I8" i="3"/>
  <c r="H7" i="6"/>
  <c r="H32" i="2"/>
  <c r="H28" i="3"/>
  <c r="H24" i="3"/>
  <c r="H11" i="2"/>
  <c r="H12" i="2" s="1"/>
  <c r="H9" i="3"/>
  <c r="I14" i="2"/>
  <c r="I8" i="2"/>
  <c r="I11" i="2" s="1"/>
  <c r="D31" i="2"/>
  <c r="C31" i="2"/>
  <c r="E17" i="3" l="1"/>
  <c r="C18" i="3"/>
  <c r="C20" i="3" s="1"/>
  <c r="G31" i="2"/>
  <c r="I32" i="2"/>
  <c r="I7" i="6"/>
  <c r="G5" i="8"/>
  <c r="G11" i="8" s="1"/>
  <c r="G14" i="3"/>
  <c r="H17" i="2"/>
  <c r="H34" i="2" s="1"/>
  <c r="I25" i="3"/>
  <c r="I9" i="3"/>
  <c r="I24" i="3"/>
  <c r="I28" i="3"/>
  <c r="I12" i="2"/>
  <c r="I17" i="2"/>
  <c r="F17" i="3" l="1"/>
  <c r="E18" i="3"/>
  <c r="H31" i="2"/>
  <c r="H5" i="8"/>
  <c r="H11" i="8" s="1"/>
  <c r="I14" i="3" s="1"/>
  <c r="H14" i="3"/>
  <c r="I31" i="2"/>
  <c r="I34" i="2"/>
  <c r="D29" i="3"/>
  <c r="B15" i="7"/>
  <c r="C16" i="7" s="1"/>
  <c r="C33" i="3"/>
  <c r="C35" i="3" s="1"/>
  <c r="C44" i="3" s="1"/>
  <c r="D33" i="3"/>
  <c r="C15" i="7"/>
  <c r="G17" i="3" l="1"/>
  <c r="H17" i="3" s="1"/>
  <c r="H18" i="3" s="1"/>
  <c r="F18" i="3"/>
  <c r="C46" i="3"/>
  <c r="D35" i="3"/>
  <c r="D44" i="3" s="1"/>
  <c r="D15" i="7"/>
  <c r="E32" i="3" s="1"/>
  <c r="D16" i="7"/>
  <c r="E27" i="3" s="1"/>
  <c r="E29" i="3" s="1"/>
  <c r="I17" i="3" l="1"/>
  <c r="I18" i="3" s="1"/>
  <c r="G18" i="3"/>
  <c r="D46" i="3"/>
  <c r="E15" i="7"/>
  <c r="F32" i="3" s="1"/>
  <c r="E33" i="3"/>
  <c r="E35" i="3" s="1"/>
  <c r="E16" i="7"/>
  <c r="F27" i="3" s="1"/>
  <c r="F29" i="3" s="1"/>
  <c r="D22" i="7"/>
  <c r="D23" i="7" s="1"/>
  <c r="E19" i="2" s="1"/>
  <c r="E22" i="2" s="1"/>
  <c r="E27" i="2" s="1"/>
  <c r="E22" i="7" l="1"/>
  <c r="E23" i="7" s="1"/>
  <c r="F19" i="2" s="1"/>
  <c r="F22" i="2" s="1"/>
  <c r="F27" i="2" s="1"/>
  <c r="F6" i="6" s="1"/>
  <c r="F10" i="6" s="1"/>
  <c r="F22" i="6" s="1"/>
  <c r="F33" i="3"/>
  <c r="F35" i="3" s="1"/>
  <c r="E6" i="6"/>
  <c r="E10" i="6" s="1"/>
  <c r="E40" i="3"/>
  <c r="F15" i="7"/>
  <c r="F16" i="7"/>
  <c r="G27" i="3" s="1"/>
  <c r="G29" i="3" s="1"/>
  <c r="G32" i="3" l="1"/>
  <c r="G33" i="3" s="1"/>
  <c r="G35" i="3" s="1"/>
  <c r="E7" i="7"/>
  <c r="F22" i="7"/>
  <c r="F23" i="7" s="1"/>
  <c r="G19" i="2" s="1"/>
  <c r="G22" i="2" s="1"/>
  <c r="G27" i="2" s="1"/>
  <c r="G6" i="6" s="1"/>
  <c r="G10" i="6" s="1"/>
  <c r="G22" i="6" s="1"/>
  <c r="G15" i="7"/>
  <c r="G16" i="7"/>
  <c r="H27" i="3" s="1"/>
  <c r="H29" i="3" s="1"/>
  <c r="E41" i="3"/>
  <c r="E44" i="3" s="1"/>
  <c r="F40" i="3"/>
  <c r="E22" i="6"/>
  <c r="E24" i="6" s="1"/>
  <c r="D7" i="7"/>
  <c r="D10" i="7" s="1"/>
  <c r="E6" i="7" s="1"/>
  <c r="H32" i="3" l="1"/>
  <c r="H33" i="3" s="1"/>
  <c r="H35" i="3" s="1"/>
  <c r="E10" i="7"/>
  <c r="F6" i="7" s="1"/>
  <c r="G22" i="7"/>
  <c r="G23" i="7" s="1"/>
  <c r="H19" i="2" s="1"/>
  <c r="H22" i="2" s="1"/>
  <c r="H27" i="2" s="1"/>
  <c r="H6" i="6" s="1"/>
  <c r="H10" i="6" s="1"/>
  <c r="H22" i="6" s="1"/>
  <c r="F7" i="7"/>
  <c r="F41" i="3"/>
  <c r="F44" i="3" s="1"/>
  <c r="G40" i="3"/>
  <c r="F23" i="6"/>
  <c r="F24" i="6" s="1"/>
  <c r="E7" i="3"/>
  <c r="E11" i="3" s="1"/>
  <c r="E20" i="3" s="1"/>
  <c r="E46" i="3" s="1"/>
  <c r="H15" i="7"/>
  <c r="I32" i="3" s="1"/>
  <c r="H16" i="7"/>
  <c r="I27" i="3" s="1"/>
  <c r="I29" i="3" s="1"/>
  <c r="G7" i="7" l="1"/>
  <c r="F10" i="7"/>
  <c r="G6" i="7" s="1"/>
  <c r="H22" i="7"/>
  <c r="H23" i="7" s="1"/>
  <c r="I19" i="2" s="1"/>
  <c r="I22" i="2" s="1"/>
  <c r="I27" i="2" s="1"/>
  <c r="I6" i="6" s="1"/>
  <c r="I10" i="6" s="1"/>
  <c r="I22" i="6" s="1"/>
  <c r="I33" i="3"/>
  <c r="I35" i="3" s="1"/>
  <c r="F7" i="3"/>
  <c r="F11" i="3" s="1"/>
  <c r="F20" i="3" s="1"/>
  <c r="F46" i="3" s="1"/>
  <c r="G23" i="6"/>
  <c r="G24" i="6" s="1"/>
  <c r="H40" i="3"/>
  <c r="G41" i="3"/>
  <c r="G44" i="3" s="1"/>
  <c r="G10" i="7" l="1"/>
  <c r="H6" i="7" s="1"/>
  <c r="H7" i="7"/>
  <c r="H41" i="3"/>
  <c r="H44" i="3" s="1"/>
  <c r="I40" i="3"/>
  <c r="I41" i="3" s="1"/>
  <c r="I44" i="3" s="1"/>
  <c r="G7" i="3"/>
  <c r="G11" i="3" s="1"/>
  <c r="G20" i="3" s="1"/>
  <c r="G46" i="3" s="1"/>
  <c r="H23" i="6"/>
  <c r="H24" i="6" s="1"/>
  <c r="H10" i="7" l="1"/>
  <c r="I23" i="6"/>
  <c r="I24" i="6" s="1"/>
  <c r="I7" i="3" s="1"/>
  <c r="I11" i="3" s="1"/>
  <c r="I20" i="3" s="1"/>
  <c r="I46" i="3" s="1"/>
  <c r="H7" i="3"/>
  <c r="H11" i="3" s="1"/>
  <c r="H20" i="3" s="1"/>
  <c r="H46" i="3" s="1"/>
</calcChain>
</file>

<file path=xl/sharedStrings.xml><?xml version="1.0" encoding="utf-8"?>
<sst xmlns="http://schemas.openxmlformats.org/spreadsheetml/2006/main" count="255" uniqueCount="186">
  <si>
    <t xml:space="preserve">Company Name </t>
  </si>
  <si>
    <t xml:space="preserve">History </t>
  </si>
  <si>
    <t>Charts</t>
  </si>
  <si>
    <t>Sales Growth (Revenue)</t>
  </si>
  <si>
    <t>Profit Growth(GP)</t>
  </si>
  <si>
    <t>Cash flow Growth (Current Assets)</t>
  </si>
  <si>
    <t>Assets Division (Total Assets)</t>
  </si>
  <si>
    <t xml:space="preserve">COGS </t>
  </si>
  <si>
    <t>Operating Expenses</t>
  </si>
  <si>
    <t>Operating Income</t>
  </si>
  <si>
    <t>INCOME STATEMENT</t>
  </si>
  <si>
    <t>Revenue</t>
  </si>
  <si>
    <t>Growth (%)</t>
  </si>
  <si>
    <t>NA</t>
  </si>
  <si>
    <t>% of Sales</t>
  </si>
  <si>
    <t>Operating Income (EBIT)</t>
  </si>
  <si>
    <t>Interest Expense</t>
  </si>
  <si>
    <t>Income Tax Expense</t>
  </si>
  <si>
    <t>Tax Rate</t>
  </si>
  <si>
    <t>Net Income</t>
  </si>
  <si>
    <t xml:space="preserve">Depreciation </t>
  </si>
  <si>
    <t>EBITDA</t>
  </si>
  <si>
    <t>Gross Profit (Revenue-COGS)</t>
  </si>
  <si>
    <t>Less :Cost of Goods Sold (COGS)</t>
  </si>
  <si>
    <t>Less :Operating Expenses (SG&amp;A)</t>
  </si>
  <si>
    <t>Pretax Income(EBT)</t>
  </si>
  <si>
    <t>Less: Interest Expense</t>
  </si>
  <si>
    <t>Net Income (EAT)</t>
  </si>
  <si>
    <t>Caliculation of EBITDA- Earnings Before Interest, Tax, Depreciation, Amortization</t>
  </si>
  <si>
    <t>ASSETS</t>
  </si>
  <si>
    <t>Current Assets</t>
  </si>
  <si>
    <t>Inventory</t>
  </si>
  <si>
    <t>Current Liabilities</t>
  </si>
  <si>
    <t>Accounts Payable</t>
  </si>
  <si>
    <t>Line of Credit</t>
  </si>
  <si>
    <t>Current Maturities of Long Term Debt</t>
  </si>
  <si>
    <t>Long Term Debt, Net of Current Maturities</t>
  </si>
  <si>
    <t>EQUITY</t>
  </si>
  <si>
    <t>Common Stock</t>
  </si>
  <si>
    <t>TOTAL EQUITY</t>
  </si>
  <si>
    <t>TOTAL LIABILITIES &amp; EQUITY</t>
  </si>
  <si>
    <t>Add:Accounts Receivable</t>
  </si>
  <si>
    <t>Add:Inventory</t>
  </si>
  <si>
    <t>Add:Prepaid Expenses</t>
  </si>
  <si>
    <t>Total Current Assets (TCA)</t>
  </si>
  <si>
    <t xml:space="preserve"> Cash</t>
  </si>
  <si>
    <t>Total Current Liabilities (TCL)</t>
  </si>
  <si>
    <t>Add: Retained Earnings</t>
  </si>
  <si>
    <t>Add:Additional Paid In Capital</t>
  </si>
  <si>
    <t>Historical</t>
  </si>
  <si>
    <t>Projected</t>
  </si>
  <si>
    <t>BALANCE SHEET ASSUMPTIONS</t>
  </si>
  <si>
    <t>CASH FLOW FROM OPERATING ACTIVITIES</t>
  </si>
  <si>
    <t>CASH FLOW FROM INVESTING ACTIVITIES</t>
  </si>
  <si>
    <t>CASH FLOW FROM FINANCING ACTIVITIES</t>
  </si>
  <si>
    <t>Net Cash Flow</t>
  </si>
  <si>
    <t>Cash Balance @ Beg of Year (End of Last Year)</t>
  </si>
  <si>
    <t>Plus: Free Cash Flow from Operations and Investing</t>
  </si>
  <si>
    <t>Plus: Free Cash Flow from Financing (BEFORE L.O.C.)</t>
  </si>
  <si>
    <t>Less: Minimum Cash Balance</t>
  </si>
  <si>
    <t>Total Cash Available or (Required) from L.O.C.</t>
  </si>
  <si>
    <t>Debt</t>
  </si>
  <si>
    <t>Current Portion of Long Term Debt</t>
  </si>
  <si>
    <t>Interest Rate on Long Term Debt</t>
  </si>
  <si>
    <t>Interest Rate on Line of Credit</t>
  </si>
  <si>
    <t>Interest Expense on Long Term Debt</t>
  </si>
  <si>
    <t>Interest Expense on Line of Credit</t>
  </si>
  <si>
    <t>Total Interest Expense</t>
  </si>
  <si>
    <t>PP&amp;E SCHEDULE</t>
  </si>
  <si>
    <t>Beg: PP&amp;E, Net of Accum. Depreciation</t>
  </si>
  <si>
    <t>Plus: Capital Expenditures</t>
  </si>
  <si>
    <t>Less: Depreciation</t>
  </si>
  <si>
    <t>Depreciation as % of Revenues</t>
  </si>
  <si>
    <t>End: PP&amp;E, Net of Accum. Depreciation</t>
  </si>
  <si>
    <t xml:space="preserve">add: Interest Income </t>
  </si>
  <si>
    <t xml:space="preserve">add: Depreciation </t>
  </si>
  <si>
    <t>add: Amortization</t>
  </si>
  <si>
    <t>Capital Work in Progress</t>
  </si>
  <si>
    <t>Investments</t>
  </si>
  <si>
    <t>Other Assets</t>
  </si>
  <si>
    <t xml:space="preserve">short term borrowing </t>
  </si>
  <si>
    <t>Other Current Liabilities:</t>
  </si>
  <si>
    <t>Long-Term Debt:</t>
  </si>
  <si>
    <t>Total Non-Current Liabilities:</t>
  </si>
  <si>
    <t>Total Liabilities:</t>
  </si>
  <si>
    <t>Non-Current Assets:</t>
  </si>
  <si>
    <t xml:space="preserve">Fixed Aseets Net Block </t>
  </si>
  <si>
    <t>Total Non-Current Assets:</t>
  </si>
  <si>
    <t>Total asset</t>
  </si>
  <si>
    <t>Check (Total Assets=Total Liabilities&amp; Equity)</t>
  </si>
  <si>
    <t xml:space="preserve">BALANCESHEET </t>
  </si>
  <si>
    <t xml:space="preserve"> LIABILITIES &amp; EQUITY</t>
  </si>
  <si>
    <t xml:space="preserve"> Non-Current Liabilities:</t>
  </si>
  <si>
    <t xml:space="preserve">Inventory Days </t>
  </si>
  <si>
    <t xml:space="preserve">Account Receivable Days </t>
  </si>
  <si>
    <t xml:space="preserve">Accounts Payable Days </t>
  </si>
  <si>
    <t xml:space="preserve"> Line of Credit</t>
  </si>
  <si>
    <t>Accrued Expenses % SG&amp;A:</t>
  </si>
  <si>
    <t>Other Current Liabilities % SG&amp;A:</t>
  </si>
  <si>
    <t>Other Long-Term Liabilities % SG&amp;A:</t>
  </si>
  <si>
    <t xml:space="preserve">CASH FLOW STATEMENT </t>
  </si>
  <si>
    <t>Net Cash Provided by Operating ActivitiY)</t>
  </si>
  <si>
    <t>Interest paid fin</t>
  </si>
  <si>
    <t>Dividends paid</t>
  </si>
  <si>
    <t xml:space="preserve">Capital expenditure </t>
  </si>
  <si>
    <t xml:space="preserve">Net Cash flow by Investment Activities </t>
  </si>
  <si>
    <t xml:space="preserve">other investment items </t>
  </si>
  <si>
    <t xml:space="preserve">Net Cash flow byFinancing Activities </t>
  </si>
  <si>
    <t>Beginning Cah Flow</t>
  </si>
  <si>
    <t xml:space="preserve">Ending Cash Flow </t>
  </si>
  <si>
    <t xml:space="preserve">DEBT SECHEDULE </t>
  </si>
  <si>
    <t>Adjusted Equity Shares in Cr</t>
  </si>
  <si>
    <t>DERIVED:</t>
  </si>
  <si>
    <t>PRICE:</t>
  </si>
  <si>
    <t>Cash from Financing Activity</t>
  </si>
  <si>
    <t>Cash from Investing Activity</t>
  </si>
  <si>
    <t>Cash from Operating Activity</t>
  </si>
  <si>
    <t>Report Date</t>
  </si>
  <si>
    <t>CASH FLOW:</t>
  </si>
  <si>
    <t>Face value</t>
  </si>
  <si>
    <t>New Bonus Shares</t>
  </si>
  <si>
    <t>No. of Equity Shares</t>
  </si>
  <si>
    <t>Cash &amp; Bank</t>
  </si>
  <si>
    <t>Receivables</t>
  </si>
  <si>
    <t>Total</t>
  </si>
  <si>
    <t>Net Block</t>
  </si>
  <si>
    <t>Other Liabilities</t>
  </si>
  <si>
    <t>Borrowings</t>
  </si>
  <si>
    <t>Reserves</t>
  </si>
  <si>
    <t>Equity Share Capital</t>
  </si>
  <si>
    <t>BALANCE SHEET</t>
  </si>
  <si>
    <t>Operating Profit</t>
  </si>
  <si>
    <t>Net profit</t>
  </si>
  <si>
    <t>Tax</t>
  </si>
  <si>
    <t>Profit before tax</t>
  </si>
  <si>
    <t>Interest</t>
  </si>
  <si>
    <t>Depreciation</t>
  </si>
  <si>
    <t>Other Income</t>
  </si>
  <si>
    <t>Expenses</t>
  </si>
  <si>
    <t>Sales</t>
  </si>
  <si>
    <t>Quarters</t>
  </si>
  <si>
    <t>Effective Tax Rate</t>
  </si>
  <si>
    <t>Dividend Amount</t>
  </si>
  <si>
    <t>Other Expenses</t>
  </si>
  <si>
    <t>Selling and admin</t>
  </si>
  <si>
    <t>Employee Cost</t>
  </si>
  <si>
    <t>Other Mfr. Exp</t>
  </si>
  <si>
    <t>Power and Fuel</t>
  </si>
  <si>
    <t>Change in Inventory</t>
  </si>
  <si>
    <t>Raw Material Cost</t>
  </si>
  <si>
    <t>PROFIT &amp; LOSS</t>
  </si>
  <si>
    <t>Market Capitalization</t>
  </si>
  <si>
    <t>Current Price</t>
  </si>
  <si>
    <t>Face Value</t>
  </si>
  <si>
    <t>Number of shares</t>
  </si>
  <si>
    <t>META</t>
  </si>
  <si>
    <t>CURRENT VERSION</t>
  </si>
  <si>
    <t>PLEASE DO NOT MAKE ANY CHANGES TO THIS SHEET</t>
  </si>
  <si>
    <t>LATEST VERSION</t>
  </si>
  <si>
    <t>LIFE INSURANCE CORPORATION OF INDIA</t>
  </si>
  <si>
    <t>COMPANY NAME</t>
  </si>
  <si>
    <t>Balance Sheet</t>
  </si>
  <si>
    <t>Standalone Figures in Rs. Crores / View Consolidated</t>
  </si>
  <si>
    <t>CORPORATE ACTIONS</t>
  </si>
  <si>
    <t>Equity Capital</t>
  </si>
  <si>
    <t>Borrowings -</t>
  </si>
  <si>
    <t>Other Liabilities -</t>
  </si>
  <si>
    <t>Trade Payables</t>
  </si>
  <si>
    <t>Other liability items</t>
  </si>
  <si>
    <t>Total Liabilities</t>
  </si>
  <si>
    <t>Cash Flows</t>
  </si>
  <si>
    <t>Cash from Operating Activity -</t>
  </si>
  <si>
    <t>Profit from operations</t>
  </si>
  <si>
    <t>Direct taxes</t>
  </si>
  <si>
    <t>Other operating items</t>
  </si>
  <si>
    <t>Cash from Investing Activity -</t>
  </si>
  <si>
    <t>Fixed assets purchased</t>
  </si>
  <si>
    <t>Fixed assets sold</t>
  </si>
  <si>
    <t>Investments purchased</t>
  </si>
  <si>
    <t>Investments sold</t>
  </si>
  <si>
    <t>Interest received</t>
  </si>
  <si>
    <t>Dividends received</t>
  </si>
  <si>
    <t>Other investing items</t>
  </si>
  <si>
    <t>Cash from Financing Activity -</t>
  </si>
  <si>
    <t>Investment subsidy</t>
  </si>
  <si>
    <t>Life Insurance Corporation (LIC) is the largest insurance provider company in India. It has a market share of above 66.2% in new business premium. The company offers participating insurance products and non-participating products like unit-linked insurance products, saving insurance products, term insurance products, health insurance, and annuity &amp; pension products.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</si>
</sst>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#,##0.0_);[Red]\(#,##0.0\)"/>
    <numFmt numFmtId="165" formatCode="_(* #,##0.0_);_(* \(#,##0.0\);_(* &quot;-&quot;?_);_(@_)"/>
    <numFmt numFmtId="166" formatCode="0.00_);\(0.00\)"/>
    <numFmt numFmtId="167" formatCode="_ * #,##0.00_ ;_ * \-#,##0.00_ ;_ * &quot;-&quot;??_ ;_ @_ "/>
    <numFmt numFmtId="168" formatCode="[$-409]mmm\-yy;@"/>
  </numFmts>
  <fonts count="2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8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Arial"/>
      <family val="2"/>
    </font>
    <font>
      <i/>
      <sz val="11"/>
      <color theme="2" tint="-0.499984740745262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0"/>
      <color rgb="FF0000FF"/>
      <name val="Arial"/>
      <family val="2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22222F"/>
      <name val="Calibri"/>
      <family val="2"/>
      <scheme val="minor"/>
    </font>
    <font>
      <b/>
      <sz val="10"/>
      <color theme="1"/>
      <name val="Arial"/>
      <family val="2"/>
    </font>
    <font>
      <sz val="10"/>
      <name val="Arial"/>
      <family val="2"/>
    </font>
    <font>
      <b/>
      <sz val="10"/>
      <color theme="0"/>
      <name val="Arial"/>
      <family val="2"/>
    </font>
    <font>
      <sz val="11"/>
      <color theme="1"/>
      <name val="Calibri"/>
      <family val="2"/>
    </font>
    <font>
      <sz val="11"/>
      <color theme="1"/>
      <name val="Arial Narrow"/>
      <family val="2"/>
    </font>
    <font>
      <u/>
      <sz val="11"/>
      <color theme="10"/>
      <name val="calibri"/>
      <family val="2"/>
    </font>
    <font>
      <u/>
      <sz val="10"/>
      <color theme="10"/>
      <name val="Arial"/>
      <family val="2"/>
    </font>
    <font>
      <u/>
      <sz val="11"/>
      <color theme="10"/>
      <name val="Calibri"/>
      <family val="2"/>
      <scheme val="minor"/>
    </font>
    <font>
      <sz val="10"/>
      <color rgb="FF22222F"/>
      <name val="Arial"/>
      <family val="2"/>
    </font>
    <font>
      <sz val="18"/>
      <color rgb="FF22222F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DFCCF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0" fontId="3" fillId="0" borderId="0"/>
    <xf numFmtId="9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17" fillId="0" borderId="0"/>
    <xf numFmtId="0" fontId="18" fillId="0" borderId="0"/>
    <xf numFmtId="9" fontId="3" fillId="0" borderId="0" applyFont="0" applyFill="0" applyBorder="0" applyAlignment="0" applyProtection="0"/>
    <xf numFmtId="0" fontId="11" fillId="7" borderId="0" applyNumberFormat="0" applyBorder="0" applyAlignment="0" applyProtection="0"/>
    <xf numFmtId="0" fontId="19" fillId="0" borderId="0" applyNumberFormat="0" applyFill="0" applyBorder="0" applyAlignment="0" applyProtection="0">
      <alignment vertical="top"/>
      <protection locked="0"/>
    </xf>
    <xf numFmtId="0" fontId="21" fillId="0" borderId="0" applyNumberFormat="0" applyFill="0" applyBorder="0" applyAlignment="0" applyProtection="0"/>
  </cellStyleXfs>
  <cellXfs count="111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left" indent="1"/>
    </xf>
    <xf numFmtId="0" fontId="0" fillId="0" borderId="0" xfId="0" applyAlignment="1">
      <alignment horizontal="left"/>
    </xf>
    <xf numFmtId="0" fontId="0" fillId="3" borderId="0" xfId="0" applyFill="1"/>
    <xf numFmtId="0" fontId="0" fillId="3" borderId="0" xfId="0" applyFill="1" applyAlignment="1">
      <alignment horizontal="left"/>
    </xf>
    <xf numFmtId="38" fontId="0" fillId="3" borderId="0" xfId="0" applyNumberFormat="1" applyFill="1"/>
    <xf numFmtId="0" fontId="4" fillId="4" borderId="0" xfId="0" applyFont="1" applyFill="1"/>
    <xf numFmtId="0" fontId="4" fillId="4" borderId="0" xfId="0" applyFont="1" applyFill="1" applyAlignment="1">
      <alignment horizontal="center"/>
    </xf>
    <xf numFmtId="0" fontId="1" fillId="3" borderId="0" xfId="0" applyFont="1" applyFill="1"/>
    <xf numFmtId="0" fontId="6" fillId="3" borderId="0" xfId="0" applyFont="1" applyFill="1" applyAlignment="1">
      <alignment horizontal="left" indent="1"/>
    </xf>
    <xf numFmtId="165" fontId="6" fillId="3" borderId="0" xfId="0" applyNumberFormat="1" applyFont="1" applyFill="1" applyAlignment="1">
      <alignment horizontal="right"/>
    </xf>
    <xf numFmtId="10" fontId="6" fillId="3" borderId="0" xfId="0" applyNumberFormat="1" applyFont="1" applyFill="1"/>
    <xf numFmtId="0" fontId="7" fillId="3" borderId="0" xfId="0" applyFont="1" applyFill="1" applyAlignment="1">
      <alignment horizontal="left" indent="1"/>
    </xf>
    <xf numFmtId="10" fontId="7" fillId="3" borderId="0" xfId="0" applyNumberFormat="1" applyFont="1" applyFill="1"/>
    <xf numFmtId="40" fontId="8" fillId="3" borderId="0" xfId="0" applyNumberFormat="1" applyFont="1" applyFill="1"/>
    <xf numFmtId="166" fontId="8" fillId="0" borderId="0" xfId="0" applyNumberFormat="1" applyFont="1"/>
    <xf numFmtId="0" fontId="1" fillId="3" borderId="3" xfId="0" applyFont="1" applyFill="1" applyBorder="1"/>
    <xf numFmtId="10" fontId="6" fillId="5" borderId="0" xfId="0" applyNumberFormat="1" applyFont="1" applyFill="1"/>
    <xf numFmtId="10" fontId="7" fillId="5" borderId="0" xfId="0" applyNumberFormat="1" applyFont="1" applyFill="1"/>
    <xf numFmtId="0" fontId="0" fillId="5" borderId="0" xfId="0" applyFill="1"/>
    <xf numFmtId="10" fontId="7" fillId="3" borderId="0" xfId="0" applyNumberFormat="1" applyFont="1" applyFill="1" applyAlignment="1">
      <alignment horizontal="right"/>
    </xf>
    <xf numFmtId="0" fontId="1" fillId="0" borderId="0" xfId="0" applyFont="1" applyAlignment="1">
      <alignment horizontal="left" indent="1"/>
    </xf>
    <xf numFmtId="0" fontId="0" fillId="3" borderId="0" xfId="0" applyFill="1" applyAlignment="1">
      <alignment horizontal="left" indent="1"/>
    </xf>
    <xf numFmtId="167" fontId="5" fillId="0" borderId="0" xfId="3" applyFont="1" applyBorder="1"/>
    <xf numFmtId="0" fontId="12" fillId="3" borderId="0" xfId="0" applyFont="1" applyFill="1"/>
    <xf numFmtId="0" fontId="1" fillId="3" borderId="0" xfId="0" applyFont="1" applyFill="1" applyAlignment="1">
      <alignment horizontal="left" indent="1"/>
    </xf>
    <xf numFmtId="2" fontId="0" fillId="3" borderId="0" xfId="0" applyNumberFormat="1" applyFill="1"/>
    <xf numFmtId="0" fontId="4" fillId="4" borderId="0" xfId="0" applyFont="1" applyFill="1" applyAlignment="1">
      <alignment horizontal="right"/>
    </xf>
    <xf numFmtId="0" fontId="0" fillId="3" borderId="0" xfId="0" applyFill="1" applyAlignment="1">
      <alignment horizontal="right"/>
    </xf>
    <xf numFmtId="38" fontId="0" fillId="3" borderId="0" xfId="0" applyNumberFormat="1" applyFill="1" applyAlignment="1">
      <alignment horizontal="right"/>
    </xf>
    <xf numFmtId="0" fontId="8" fillId="0" borderId="0" xfId="0" applyFont="1" applyAlignment="1">
      <alignment horizontal="right"/>
    </xf>
    <xf numFmtId="38" fontId="8" fillId="3" borderId="0" xfId="0" applyNumberFormat="1" applyFont="1" applyFill="1" applyAlignment="1">
      <alignment horizontal="right"/>
    </xf>
    <xf numFmtId="38" fontId="9" fillId="3" borderId="0" xfId="0" applyNumberFormat="1" applyFont="1" applyFill="1" applyAlignment="1">
      <alignment horizontal="right"/>
    </xf>
    <xf numFmtId="164" fontId="0" fillId="3" borderId="0" xfId="0" applyNumberFormat="1" applyFill="1" applyAlignment="1">
      <alignment horizontal="right"/>
    </xf>
    <xf numFmtId="164" fontId="1" fillId="3" borderId="0" xfId="0" applyNumberFormat="1" applyFont="1" applyFill="1" applyAlignment="1">
      <alignment horizontal="right"/>
    </xf>
    <xf numFmtId="9" fontId="0" fillId="3" borderId="0" xfId="0" applyNumberFormat="1" applyFill="1" applyAlignment="1">
      <alignment horizontal="right"/>
    </xf>
    <xf numFmtId="0" fontId="4" fillId="4" borderId="0" xfId="0" applyFont="1" applyFill="1" applyAlignment="1">
      <alignment horizontal="left"/>
    </xf>
    <xf numFmtId="165" fontId="8" fillId="3" borderId="0" xfId="0" applyNumberFormat="1" applyFont="1" applyFill="1" applyAlignment="1">
      <alignment horizontal="right"/>
    </xf>
    <xf numFmtId="2" fontId="0" fillId="3" borderId="0" xfId="2" applyNumberFormat="1" applyFont="1" applyFill="1"/>
    <xf numFmtId="2" fontId="0" fillId="5" borderId="0" xfId="0" applyNumberFormat="1" applyFill="1" applyAlignment="1">
      <alignment horizontal="right"/>
    </xf>
    <xf numFmtId="2" fontId="0" fillId="5" borderId="0" xfId="0" applyNumberFormat="1" applyFill="1"/>
    <xf numFmtId="2" fontId="0" fillId="0" borderId="0" xfId="0" applyNumberFormat="1"/>
    <xf numFmtId="0" fontId="1" fillId="3" borderId="0" xfId="0" applyFont="1" applyFill="1" applyAlignment="1">
      <alignment horizontal="left"/>
    </xf>
    <xf numFmtId="0" fontId="13" fillId="6" borderId="0" xfId="0" applyFont="1" applyFill="1" applyAlignment="1">
      <alignment horizontal="left" vertical="center"/>
    </xf>
    <xf numFmtId="40" fontId="1" fillId="3" borderId="3" xfId="0" applyNumberFormat="1" applyFont="1" applyFill="1" applyBorder="1" applyAlignment="1">
      <alignment horizontal="right"/>
    </xf>
    <xf numFmtId="40" fontId="0" fillId="3" borderId="0" xfId="0" applyNumberFormat="1" applyFill="1"/>
    <xf numFmtId="40" fontId="5" fillId="0" borderId="0" xfId="1" applyNumberFormat="1" applyFont="1" applyAlignment="1">
      <alignment horizontal="right"/>
    </xf>
    <xf numFmtId="39" fontId="0" fillId="3" borderId="0" xfId="0" applyNumberFormat="1" applyFill="1" applyAlignment="1">
      <alignment horizontal="right"/>
    </xf>
    <xf numFmtId="39" fontId="8" fillId="3" borderId="0" xfId="0" applyNumberFormat="1" applyFont="1" applyFill="1" applyAlignment="1">
      <alignment horizontal="right"/>
    </xf>
    <xf numFmtId="0" fontId="4" fillId="3" borderId="0" xfId="0" applyFont="1" applyFill="1" applyAlignment="1">
      <alignment horizontal="center"/>
    </xf>
    <xf numFmtId="39" fontId="0" fillId="0" borderId="0" xfId="0" applyNumberFormat="1"/>
    <xf numFmtId="165" fontId="0" fillId="0" borderId="0" xfId="0" applyNumberFormat="1"/>
    <xf numFmtId="9" fontId="0" fillId="5" borderId="0" xfId="0" applyNumberFormat="1" applyFill="1"/>
    <xf numFmtId="2" fontId="1" fillId="0" borderId="2" xfId="0" applyNumberFormat="1" applyFont="1" applyBorder="1"/>
    <xf numFmtId="0" fontId="11" fillId="3" borderId="0" xfId="0" applyFont="1" applyFill="1"/>
    <xf numFmtId="39" fontId="1" fillId="0" borderId="2" xfId="0" applyNumberFormat="1" applyFont="1" applyBorder="1"/>
    <xf numFmtId="2" fontId="0" fillId="2" borderId="0" xfId="0" applyNumberFormat="1" applyFill="1"/>
    <xf numFmtId="40" fontId="0" fillId="0" borderId="0" xfId="0" applyNumberFormat="1"/>
    <xf numFmtId="2" fontId="8" fillId="0" borderId="0" xfId="0" applyNumberFormat="1" applyFont="1"/>
    <xf numFmtId="2" fontId="9" fillId="3" borderId="1" xfId="0" applyNumberFormat="1" applyFont="1" applyFill="1" applyBorder="1"/>
    <xf numFmtId="2" fontId="1" fillId="3" borderId="1" xfId="0" applyNumberFormat="1" applyFont="1" applyFill="1" applyBorder="1"/>
    <xf numFmtId="2" fontId="10" fillId="0" borderId="0" xfId="1" applyNumberFormat="1" applyFont="1"/>
    <xf numFmtId="2" fontId="9" fillId="3" borderId="3" xfId="0" applyNumberFormat="1" applyFont="1" applyFill="1" applyBorder="1"/>
    <xf numFmtId="2" fontId="1" fillId="3" borderId="3" xfId="0" applyNumberFormat="1" applyFont="1" applyFill="1" applyBorder="1"/>
    <xf numFmtId="2" fontId="10" fillId="0" borderId="0" xfId="1" applyNumberFormat="1" applyFont="1" applyAlignment="1">
      <alignment horizontal="right"/>
    </xf>
    <xf numFmtId="2" fontId="8" fillId="0" borderId="0" xfId="0" applyNumberFormat="1" applyFont="1" applyAlignment="1">
      <alignment horizontal="right"/>
    </xf>
    <xf numFmtId="2" fontId="8" fillId="3" borderId="0" xfId="0" applyNumberFormat="1" applyFont="1" applyFill="1" applyAlignment="1">
      <alignment horizontal="right"/>
    </xf>
    <xf numFmtId="2" fontId="9" fillId="3" borderId="3" xfId="0" applyNumberFormat="1" applyFont="1" applyFill="1" applyBorder="1" applyAlignment="1">
      <alignment horizontal="right"/>
    </xf>
    <xf numFmtId="2" fontId="1" fillId="3" borderId="3" xfId="0" applyNumberFormat="1" applyFont="1" applyFill="1" applyBorder="1" applyAlignment="1">
      <alignment horizontal="right"/>
    </xf>
    <xf numFmtId="2" fontId="8" fillId="2" borderId="0" xfId="0" applyNumberFormat="1" applyFont="1" applyFill="1"/>
    <xf numFmtId="40" fontId="9" fillId="3" borderId="0" xfId="0" applyNumberFormat="1" applyFont="1" applyFill="1" applyAlignment="1">
      <alignment horizontal="right"/>
    </xf>
    <xf numFmtId="40" fontId="1" fillId="3" borderId="0" xfId="0" applyNumberFormat="1" applyFont="1" applyFill="1" applyAlignment="1">
      <alignment horizontal="right"/>
    </xf>
    <xf numFmtId="40" fontId="8" fillId="3" borderId="0" xfId="0" applyNumberFormat="1" applyFont="1" applyFill="1" applyAlignment="1">
      <alignment horizontal="right"/>
    </xf>
    <xf numFmtId="40" fontId="10" fillId="0" borderId="0" xfId="1" applyNumberFormat="1" applyFont="1" applyAlignment="1">
      <alignment horizontal="right"/>
    </xf>
    <xf numFmtId="40" fontId="9" fillId="3" borderId="3" xfId="0" applyNumberFormat="1" applyFont="1" applyFill="1" applyBorder="1" applyAlignment="1">
      <alignment horizontal="right"/>
    </xf>
    <xf numFmtId="2" fontId="0" fillId="5" borderId="0" xfId="2" applyNumberFormat="1" applyFont="1" applyFill="1" applyAlignment="1">
      <alignment horizontal="right"/>
    </xf>
    <xf numFmtId="165" fontId="0" fillId="3" borderId="0" xfId="0" applyNumberFormat="1" applyFill="1" applyAlignment="1">
      <alignment horizontal="right"/>
    </xf>
    <xf numFmtId="39" fontId="9" fillId="3" borderId="3" xfId="0" applyNumberFormat="1" applyFont="1" applyFill="1" applyBorder="1" applyAlignment="1">
      <alignment horizontal="right"/>
    </xf>
    <xf numFmtId="39" fontId="1" fillId="3" borderId="3" xfId="0" applyNumberFormat="1" applyFont="1" applyFill="1" applyBorder="1" applyAlignment="1">
      <alignment horizontal="right"/>
    </xf>
    <xf numFmtId="165" fontId="9" fillId="3" borderId="3" xfId="0" applyNumberFormat="1" applyFont="1" applyFill="1" applyBorder="1" applyAlignment="1">
      <alignment horizontal="right"/>
    </xf>
    <xf numFmtId="43" fontId="5" fillId="0" borderId="0" xfId="3" applyNumberFormat="1" applyFont="1" applyBorder="1"/>
    <xf numFmtId="167" fontId="14" fillId="0" borderId="0" xfId="3" applyFont="1" applyBorder="1"/>
    <xf numFmtId="0" fontId="5" fillId="0" borderId="0" xfId="1" applyFont="1"/>
    <xf numFmtId="168" fontId="15" fillId="0" borderId="0" xfId="3" applyNumberFormat="1" applyFont="1" applyFill="1" applyBorder="1"/>
    <xf numFmtId="168" fontId="16" fillId="8" borderId="0" xfId="1" applyNumberFormat="1" applyFont="1" applyFill="1" applyAlignment="1">
      <alignment horizontal="center"/>
    </xf>
    <xf numFmtId="168" fontId="16" fillId="8" borderId="0" xfId="3" applyNumberFormat="1" applyFont="1" applyFill="1" applyBorder="1"/>
    <xf numFmtId="0" fontId="17" fillId="0" borderId="0" xfId="4"/>
    <xf numFmtId="0" fontId="18" fillId="0" borderId="0" xfId="5"/>
    <xf numFmtId="0" fontId="3" fillId="0" borderId="0" xfId="1"/>
    <xf numFmtId="9" fontId="5" fillId="0" borderId="0" xfId="6" applyFont="1" applyBorder="1"/>
    <xf numFmtId="2" fontId="0" fillId="3" borderId="0" xfId="0" applyNumberFormat="1" applyFill="1" applyAlignment="1">
      <alignment horizontal="right"/>
    </xf>
    <xf numFmtId="0" fontId="23" fillId="0" borderId="0" xfId="0" applyFont="1" applyAlignment="1">
      <alignment vertical="center" wrapText="1"/>
    </xf>
    <xf numFmtId="0" fontId="22" fillId="0" borderId="0" xfId="0" applyFont="1" applyAlignment="1">
      <alignment vertical="center" wrapText="1"/>
    </xf>
    <xf numFmtId="0" fontId="21" fillId="0" borderId="0" xfId="9" applyAlignment="1">
      <alignment vertical="center" wrapText="1"/>
    </xf>
    <xf numFmtId="0" fontId="24" fillId="0" borderId="0" xfId="0" applyFont="1" applyAlignment="1">
      <alignment horizontal="left" vertical="center"/>
    </xf>
    <xf numFmtId="17" fontId="24" fillId="0" borderId="0" xfId="0" applyNumberFormat="1" applyFont="1" applyAlignment="1">
      <alignment horizontal="right" vertical="center" wrapText="1"/>
    </xf>
    <xf numFmtId="0" fontId="25" fillId="0" borderId="0" xfId="0" applyFont="1" applyAlignment="1">
      <alignment horizontal="left" vertical="center"/>
    </xf>
    <xf numFmtId="0" fontId="25" fillId="0" borderId="0" xfId="0" applyFont="1" applyAlignment="1">
      <alignment horizontal="right" vertical="center" wrapText="1"/>
    </xf>
    <xf numFmtId="3" fontId="25" fillId="0" borderId="0" xfId="0" applyNumberFormat="1" applyFont="1" applyAlignment="1">
      <alignment horizontal="right" vertical="center" wrapText="1"/>
    </xf>
    <xf numFmtId="0" fontId="26" fillId="0" borderId="0" xfId="0" applyFont="1" applyAlignment="1">
      <alignment horizontal="left" vertical="center"/>
    </xf>
    <xf numFmtId="0" fontId="26" fillId="0" borderId="0" xfId="0" applyFont="1" applyAlignment="1">
      <alignment horizontal="right" vertical="center" wrapText="1"/>
    </xf>
    <xf numFmtId="3" fontId="26" fillId="0" borderId="0" xfId="0" applyNumberFormat="1" applyFont="1" applyAlignment="1">
      <alignment horizontal="right" vertical="center" wrapText="1"/>
    </xf>
    <xf numFmtId="43" fontId="1" fillId="3" borderId="0" xfId="0" applyNumberFormat="1" applyFont="1" applyFill="1" applyAlignment="1">
      <alignment horizontal="right"/>
    </xf>
    <xf numFmtId="0" fontId="0" fillId="0" borderId="0" xfId="0" applyAlignment="1">
      <alignment wrapText="1"/>
    </xf>
    <xf numFmtId="0" fontId="1" fillId="0" borderId="0" xfId="0" applyFont="1" applyAlignment="1">
      <alignment vertical="center"/>
    </xf>
    <xf numFmtId="0" fontId="0" fillId="3" borderId="0" xfId="0" applyFill="1" applyAlignment="1">
      <alignment horizontal="left"/>
    </xf>
    <xf numFmtId="0" fontId="4" fillId="4" borderId="0" xfId="0" applyFont="1" applyFill="1" applyAlignment="1">
      <alignment horizontal="center"/>
    </xf>
    <xf numFmtId="167" fontId="20" fillId="0" borderId="0" xfId="8" applyNumberFormat="1" applyFont="1" applyBorder="1" applyAlignment="1" applyProtection="1">
      <alignment horizontal="center"/>
    </xf>
    <xf numFmtId="167" fontId="16" fillId="7" borderId="0" xfId="7" applyNumberFormat="1" applyFont="1" applyBorder="1" applyAlignment="1">
      <alignment horizontal="center"/>
    </xf>
  </cellXfs>
  <cellStyles count="10">
    <cellStyle name="Accent6 2" xfId="7" xr:uid="{9627506B-C0D7-4A20-A6C1-5BBE82E1FBB0}"/>
    <cellStyle name="Comma 2" xfId="3" xr:uid="{A31A553E-596A-42AB-A629-0F304E0F8E69}"/>
    <cellStyle name="Hyperlink" xfId="9" builtinId="8"/>
    <cellStyle name="Hyperlink 2" xfId="8" xr:uid="{A2659882-F2FC-4FB9-8176-03E68BBCEDE1}"/>
    <cellStyle name="Normal" xfId="0" builtinId="0"/>
    <cellStyle name="Normal 2" xfId="4" xr:uid="{AD78D56A-273D-4E30-BFD9-0D6E46DC5558}"/>
    <cellStyle name="Normal 2 2" xfId="5" xr:uid="{E865BB7F-AE00-4F86-8ED4-077F16D5F406}"/>
    <cellStyle name="Normal 3" xfId="1" xr:uid="{B1B2BAB4-16BC-466C-AEDB-1E382C13A388}"/>
    <cellStyle name="Per cent" xfId="2" builtinId="5"/>
    <cellStyle name="Percent 3" xfId="6" xr:uid="{BB8515EE-A823-4256-A0FF-3DA8CEA26970}"/>
  </cellStyles>
  <dxfs count="1">
    <dxf>
      <font>
        <b/>
        <i val="0"/>
        <color theme="0"/>
      </font>
      <fill>
        <patternFill>
          <bgColor theme="5"/>
        </patternFill>
      </fill>
    </dxf>
  </dxfs>
  <tableStyles count="0" defaultTableStyle="TableStyleMedium2" defaultPivotStyle="PivotStyleLight16"/>
  <colors>
    <mruColors>
      <color rgb="FF0000FF"/>
      <color rgb="FFDFCCF8"/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'income statement '!$C$5:$I$5</c:f>
              <c:numCache>
                <c:formatCode>#,##0.00_);[Red]\(#,##0.00\)</c:formatCode>
                <c:ptCount val="7"/>
                <c:pt idx="0">
                  <c:v>720514.89</c:v>
                </c:pt>
                <c:pt idx="1">
                  <c:v>781542.56</c:v>
                </c:pt>
                <c:pt idx="2">
                  <c:v>937851.07200000004</c:v>
                </c:pt>
                <c:pt idx="3">
                  <c:v>1125421.2864000001</c:v>
                </c:pt>
                <c:pt idx="4">
                  <c:v>1350505.5436800001</c:v>
                </c:pt>
                <c:pt idx="5">
                  <c:v>1620606.6524160001</c:v>
                </c:pt>
                <c:pt idx="6">
                  <c:v>1944727.9828992002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80-4EF7-95FA-4CEF06705B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4033808"/>
        <c:axId val="504034512"/>
      </c:lineChart>
      <c:catAx>
        <c:axId val="504033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034512"/>
        <c:crosses val="autoZero"/>
        <c:auto val="1"/>
        <c:lblAlgn val="ctr"/>
        <c:lblOffset val="100"/>
        <c:noMultiLvlLbl val="0"/>
      </c:catAx>
      <c:valAx>
        <c:axId val="50403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_);[Red]\(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033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'income statement '!$C$27:$I$27</c:f>
              <c:numCache>
                <c:formatCode>0.00</c:formatCode>
                <c:ptCount val="7"/>
                <c:pt idx="0">
                  <c:v>4476.4800000000705</c:v>
                </c:pt>
                <c:pt idx="1">
                  <c:v>36862.320000000014</c:v>
                </c:pt>
                <c:pt idx="2">
                  <c:v>30614.198711858935</c:v>
                </c:pt>
                <c:pt idx="3">
                  <c:v>47083.076627115246</c:v>
                </c:pt>
                <c:pt idx="4">
                  <c:v>50266.857728807568</c:v>
                </c:pt>
                <c:pt idx="5">
                  <c:v>62768.606411807537</c:v>
                </c:pt>
                <c:pt idx="6">
                  <c:v>72367.087620375998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BA-4103-A1E5-394B1DD595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1320560"/>
        <c:axId val="521320912"/>
      </c:barChart>
      <c:catAx>
        <c:axId val="521320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320912"/>
        <c:crosses val="autoZero"/>
        <c:auto val="1"/>
        <c:lblAlgn val="ctr"/>
        <c:lblOffset val="100"/>
        <c:noMultiLvlLbl val="0"/>
      </c:catAx>
      <c:valAx>
        <c:axId val="52132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320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'balances sheet'!$C$18:$I$18</c:f>
              <c:numCache>
                <c:formatCode>0.00</c:formatCode>
                <c:ptCount val="7"/>
                <c:pt idx="0">
                  <c:v>4193157.63</c:v>
                </c:pt>
                <c:pt idx="1">
                  <c:v>4512158.74</c:v>
                </c:pt>
                <c:pt idx="2">
                  <c:v>5717419.8533764249</c:v>
                </c:pt>
                <c:pt idx="3">
                  <c:v>7046490.8620522795</c:v>
                </c:pt>
                <c:pt idx="4">
                  <c:v>8515025.3283513188</c:v>
                </c:pt>
                <c:pt idx="5">
                  <c:v>10140989.233464234</c:v>
                </c:pt>
                <c:pt idx="6">
                  <c:v>11944842.541035321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43-4F22-A00D-DAB5A64474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1334232"/>
        <c:axId val="581333176"/>
      </c:lineChart>
      <c:catAx>
        <c:axId val="581334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333176"/>
        <c:crosses val="autoZero"/>
        <c:auto val="1"/>
        <c:lblAlgn val="ctr"/>
        <c:lblOffset val="100"/>
        <c:noMultiLvlLbl val="0"/>
      </c:catAx>
      <c:valAx>
        <c:axId val="581333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334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'income statement '!$C$8:$I$8</c:f>
              <c:numCache>
                <c:formatCode>#,##0.00_);[Red]\(#,##0.00\)</c:formatCode>
                <c:ptCount val="7"/>
                <c:pt idx="0">
                  <c:v>702255.94</c:v>
                </c:pt>
                <c:pt idx="1">
                  <c:v>753442.79</c:v>
                </c:pt>
                <c:pt idx="2" formatCode="0.00">
                  <c:v>909107.91926669236</c:v>
                </c:pt>
                <c:pt idx="3" formatCode="0.00">
                  <c:v>1087943.5603600156</c:v>
                </c:pt>
                <c:pt idx="4" formatCode="0.00">
                  <c:v>1307323.8380880279</c:v>
                </c:pt>
                <c:pt idx="5" formatCode="0.00">
                  <c:v>1567713.666312028</c:v>
                </c:pt>
                <c:pt idx="6" formatCode="0.00">
                  <c:v>1881901.3632105968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8D-43A6-9C39-6B166CE1A0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4034864"/>
        <c:axId val="504035568"/>
      </c:lineChart>
      <c:catAx>
        <c:axId val="50403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035568"/>
        <c:crosses val="autoZero"/>
        <c:auto val="1"/>
        <c:lblAlgn val="ctr"/>
        <c:lblOffset val="100"/>
        <c:noMultiLvlLbl val="0"/>
      </c:catAx>
      <c:valAx>
        <c:axId val="50403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_);[Red]\(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034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'income statement '!$C$17:$I$17</c:f>
              <c:numCache>
                <c:formatCode>0.00</c:formatCode>
                <c:ptCount val="7"/>
                <c:pt idx="0">
                  <c:v>11589.81000000007</c:v>
                </c:pt>
                <c:pt idx="1">
                  <c:v>34503.720000000016</c:v>
                </c:pt>
                <c:pt idx="2">
                  <c:v>28245.112711858936</c:v>
                </c:pt>
                <c:pt idx="3">
                  <c:v>41789.746027115252</c:v>
                </c:pt>
                <c:pt idx="4">
                  <c:v>45410.328768807572</c:v>
                </c:pt>
                <c:pt idx="5">
                  <c:v>57334.81440080754</c:v>
                </c:pt>
                <c:pt idx="6">
                  <c:v>67096.32535402599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C3-47AA-A8F7-3FE46C7C76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506632"/>
        <c:axId val="540505928"/>
      </c:lineChart>
      <c:catAx>
        <c:axId val="540506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505928"/>
        <c:crosses val="autoZero"/>
        <c:auto val="1"/>
        <c:lblAlgn val="ctr"/>
        <c:lblOffset val="100"/>
        <c:noMultiLvlLbl val="0"/>
      </c:catAx>
      <c:valAx>
        <c:axId val="540505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506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_xlchart.v1.0</cx:f>
      </cx:numDim>
    </cx:data>
  </cx:chartData>
  <cx:chart>
    <cx:plotArea>
      <cx:plotAreaRegion>
        <cx:plotSurface>
          <cx:spPr>
            <a:noFill/>
            <a:ln>
              <a:noFill/>
            </a:ln>
          </cx:spPr>
        </cx:plotSurface>
        <cx:series layoutId="waterfall" uniqueId="{02936827-7697-45DB-8752-3DF96CF9B3C8}">
          <cx:dataLabels pos="outEnd">
            <cx:visibility seriesName="0" categoryName="0" value="1"/>
          </cx:dataLabels>
          <cx:dataId val="0"/>
          <cx:layoutPr>
            <cx:subtotals/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</cx:axis>
    </cx:plotArea>
    <cx:legend pos="t" align="ctr" overlay="0"/>
  </cx:chart>
  <cx:spPr>
    <a:noFill/>
    <a:ln>
      <a:noFill/>
    </a:ln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_xlchart.v1.1</cx:f>
      </cx:numDim>
    </cx:data>
  </cx:chartData>
  <cx:chart>
    <cx:plotArea>
      <cx:plotAreaRegion>
        <cx:series layoutId="waterfall" uniqueId="{903D0CAD-B70A-4EBF-B67C-9EED2A6D926F}">
          <cx:dataLabels pos="outEnd">
            <cx:visibility seriesName="0" categoryName="0" value="1"/>
          </cx:dataLabels>
          <cx:dataId val="0"/>
          <cx:layoutPr>
            <cx:subtotals/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</cx:axis>
    </cx:plotArea>
    <cx:legend pos="t" align="ctr" overlay="0"/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7" Type="http://schemas.openxmlformats.org/officeDocument/2006/relationships/chart" Target="../charts/chart5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microsoft.com/office/2014/relationships/chartEx" Target="../charts/chartEx2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30480</xdr:rowOff>
    </xdr:from>
    <xdr:to>
      <xdr:col>1</xdr:col>
      <xdr:colOff>3459480</xdr:colOff>
      <xdr:row>15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419DD4-FA75-4B60-A1A9-C3BF7653EF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18</xdr:row>
      <xdr:rowOff>0</xdr:rowOff>
    </xdr:from>
    <xdr:to>
      <xdr:col>2</xdr:col>
      <xdr:colOff>312420</xdr:colOff>
      <xdr:row>27</xdr:row>
      <xdr:rowOff>160020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1948A66-A24E-4149-B1F2-2BE02B976F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30</xdr:row>
      <xdr:rowOff>0</xdr:rowOff>
    </xdr:from>
    <xdr:to>
      <xdr:col>3</xdr:col>
      <xdr:colOff>144780</xdr:colOff>
      <xdr:row>41</xdr:row>
      <xdr:rowOff>106680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6FC79D8E-4963-4DBB-9CF7-FDFC5E07F68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298700" y="6743700"/>
              <a:ext cx="4678680" cy="22021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2065020</xdr:colOff>
      <xdr:row>44</xdr:row>
      <xdr:rowOff>38100</xdr:rowOff>
    </xdr:from>
    <xdr:to>
      <xdr:col>3</xdr:col>
      <xdr:colOff>480060</xdr:colOff>
      <xdr:row>55</xdr:row>
      <xdr:rowOff>30480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2B6F181-3D66-4E5C-AA07-4FE46A701A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2034540</xdr:colOff>
      <xdr:row>56</xdr:row>
      <xdr:rowOff>152400</xdr:rowOff>
    </xdr:from>
    <xdr:to>
      <xdr:col>3</xdr:col>
      <xdr:colOff>449580</xdr:colOff>
      <xdr:row>65</xdr:row>
      <xdr:rowOff>114300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ACF2C6A9-C290-4983-A59E-6322918BA7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68</xdr:row>
      <xdr:rowOff>0</xdr:rowOff>
    </xdr:from>
    <xdr:to>
      <xdr:col>3</xdr:col>
      <xdr:colOff>487680</xdr:colOff>
      <xdr:row>83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4" name="Chart 13">
              <a:extLst>
                <a:ext uri="{FF2B5EF4-FFF2-40B4-BE49-F238E27FC236}">
                  <a16:creationId xmlns:a16="http://schemas.microsoft.com/office/drawing/2014/main" id="{0531A900-E05C-4834-B137-2F5EA377709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298700" y="13982700"/>
              <a:ext cx="5021580" cy="2857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0</xdr:colOff>
      <xdr:row>88</xdr:row>
      <xdr:rowOff>0</xdr:rowOff>
    </xdr:from>
    <xdr:to>
      <xdr:col>3</xdr:col>
      <xdr:colOff>487680</xdr:colOff>
      <xdr:row>101</xdr:row>
      <xdr:rowOff>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C36FEABC-BE52-4110-8FF7-C378736725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creener.in/company/LICI/consolidated/" TargetMode="External"/><Relationship Id="rId2" Type="http://schemas.openxmlformats.org/officeDocument/2006/relationships/hyperlink" Target="https://www.screener.in/company/LICI/consolidated/" TargetMode="External"/><Relationship Id="rId1" Type="http://schemas.openxmlformats.org/officeDocument/2006/relationships/hyperlink" Target="https://www.screener.in/excel/" TargetMode="Externa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0BE80-F67D-49C4-A5D2-326E8E0A0FD5}">
  <sheetPr>
    <tabColor theme="5" tint="-0.249977111117893"/>
  </sheetPr>
  <dimension ref="A1:B87"/>
  <sheetViews>
    <sheetView showGridLines="0" tabSelected="1" workbookViewId="0">
      <pane xSplit="1" ySplit="1" topLeftCell="B2" activePane="bottomRight" state="frozen"/>
      <selection pane="topRight" activeCell="C1" sqref="C1"/>
      <selection pane="bottomLeft" activeCell="A2" sqref="A2"/>
      <selection pane="bottomRight" activeCell="H8" sqref="H8"/>
    </sheetView>
  </sheetViews>
  <sheetFormatPr baseColWidth="10" defaultColWidth="8.83203125" defaultRowHeight="15" x14ac:dyDescent="0.2"/>
  <cols>
    <col min="1" max="1" width="30.1640625" bestFit="1" customWidth="1"/>
    <col min="2" max="2" width="50.6640625" customWidth="1"/>
  </cols>
  <sheetData>
    <row r="1" spans="1:2" x14ac:dyDescent="0.2">
      <c r="A1" s="1" t="s">
        <v>0</v>
      </c>
      <c r="B1" s="1" t="s">
        <v>159</v>
      </c>
    </row>
    <row r="4" spans="1:2" ht="96" x14ac:dyDescent="0.2">
      <c r="A4" s="106" t="s">
        <v>1</v>
      </c>
      <c r="B4" s="105" t="s">
        <v>185</v>
      </c>
    </row>
    <row r="6" spans="1:2" x14ac:dyDescent="0.2">
      <c r="A6" s="8" t="s">
        <v>2</v>
      </c>
    </row>
    <row r="8" spans="1:2" x14ac:dyDescent="0.2">
      <c r="A8" s="1" t="s">
        <v>3</v>
      </c>
    </row>
    <row r="16" spans="1:2" x14ac:dyDescent="0.2">
      <c r="A16" s="1"/>
    </row>
    <row r="19" spans="1:1" x14ac:dyDescent="0.2">
      <c r="A19" s="1" t="s">
        <v>4</v>
      </c>
    </row>
    <row r="30" spans="1:1" x14ac:dyDescent="0.2">
      <c r="A30" s="1" t="s">
        <v>5</v>
      </c>
    </row>
    <row r="44" spans="1:1" x14ac:dyDescent="0.2">
      <c r="A44" s="1" t="s">
        <v>6</v>
      </c>
    </row>
    <row r="51" spans="1:1" x14ac:dyDescent="0.2">
      <c r="A51" s="1"/>
    </row>
    <row r="57" spans="1:1" x14ac:dyDescent="0.2">
      <c r="A57" s="1" t="s">
        <v>7</v>
      </c>
    </row>
    <row r="68" spans="1:1" x14ac:dyDescent="0.2">
      <c r="A68" s="1" t="s">
        <v>8</v>
      </c>
    </row>
    <row r="87" spans="1:1" x14ac:dyDescent="0.2">
      <c r="A87" s="1" t="s">
        <v>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3D55C-7B8B-4071-878A-979F944C165A}">
  <sheetPr>
    <tabColor theme="4" tint="-0.249977111117893"/>
  </sheetPr>
  <dimension ref="B2:I34"/>
  <sheetViews>
    <sheetView showGridLines="0" workbookViewId="0">
      <pane ySplit="4" topLeftCell="A5" activePane="bottomLeft" state="frozen"/>
      <selection pane="bottomLeft" activeCell="B28" sqref="B28"/>
    </sheetView>
  </sheetViews>
  <sheetFormatPr baseColWidth="10" defaultColWidth="8.83203125" defaultRowHeight="15" x14ac:dyDescent="0.2"/>
  <cols>
    <col min="1" max="1" width="1.83203125" customWidth="1"/>
    <col min="2" max="2" width="34.1640625" style="5" bestFit="1" customWidth="1"/>
    <col min="3" max="4" width="12.83203125" style="5" customWidth="1"/>
    <col min="5" max="5" width="11.83203125" style="5" customWidth="1"/>
    <col min="6" max="6" width="13.1640625" style="5" bestFit="1" customWidth="1"/>
    <col min="7" max="7" width="12" style="5" bestFit="1" customWidth="1"/>
    <col min="8" max="9" width="12" bestFit="1" customWidth="1"/>
  </cols>
  <sheetData>
    <row r="2" spans="2:9" x14ac:dyDescent="0.2">
      <c r="B2" s="108" t="s">
        <v>159</v>
      </c>
      <c r="C2" s="108"/>
      <c r="D2" s="108"/>
      <c r="E2" s="108"/>
      <c r="F2" s="108"/>
      <c r="G2" s="108"/>
      <c r="H2" s="108"/>
      <c r="I2" s="108"/>
    </row>
    <row r="3" spans="2:9" x14ac:dyDescent="0.2">
      <c r="B3" s="9"/>
      <c r="C3" s="9" t="s">
        <v>49</v>
      </c>
      <c r="D3" s="9" t="s">
        <v>49</v>
      </c>
      <c r="E3" s="9" t="s">
        <v>50</v>
      </c>
      <c r="F3" s="9" t="s">
        <v>50</v>
      </c>
      <c r="G3" s="9" t="s">
        <v>50</v>
      </c>
      <c r="H3" s="9" t="s">
        <v>50</v>
      </c>
      <c r="I3" s="9" t="s">
        <v>50</v>
      </c>
    </row>
    <row r="4" spans="2:9" x14ac:dyDescent="0.2">
      <c r="B4" s="8" t="s">
        <v>10</v>
      </c>
      <c r="C4" s="9">
        <v>2022</v>
      </c>
      <c r="D4" s="9">
        <f>C4+1</f>
        <v>2023</v>
      </c>
      <c r="E4" s="9">
        <f t="shared" ref="E4:I4" si="0">D4+1</f>
        <v>2024</v>
      </c>
      <c r="F4" s="9">
        <f t="shared" si="0"/>
        <v>2025</v>
      </c>
      <c r="G4" s="9">
        <f t="shared" si="0"/>
        <v>2026</v>
      </c>
      <c r="H4" s="9">
        <f t="shared" si="0"/>
        <v>2027</v>
      </c>
      <c r="I4" s="9">
        <f t="shared" si="0"/>
        <v>2028</v>
      </c>
    </row>
    <row r="5" spans="2:9" x14ac:dyDescent="0.2">
      <c r="B5" s="5" t="s">
        <v>11</v>
      </c>
      <c r="C5" s="16">
        <f>'Data Sheet'!J17</f>
        <v>720514.89</v>
      </c>
      <c r="D5" s="16">
        <f>'Data Sheet'!K17</f>
        <v>781542.56</v>
      </c>
      <c r="E5" s="47">
        <f>D5*(1+E6)</f>
        <v>937851.07200000004</v>
      </c>
      <c r="F5" s="47">
        <f t="shared" ref="F5:I5" si="1">E5*(1+F6)</f>
        <v>1125421.2864000001</v>
      </c>
      <c r="G5" s="47">
        <f t="shared" si="1"/>
        <v>1350505.5436800001</v>
      </c>
      <c r="H5" s="47">
        <f t="shared" si="1"/>
        <v>1620606.6524160001</v>
      </c>
      <c r="I5" s="47">
        <f t="shared" si="1"/>
        <v>1944727.9828992002</v>
      </c>
    </row>
    <row r="6" spans="2:9" s="2" customFormat="1" x14ac:dyDescent="0.2">
      <c r="B6" s="11" t="s">
        <v>12</v>
      </c>
      <c r="C6" s="12">
        <v>0</v>
      </c>
      <c r="D6" s="13">
        <f>D5/C5-1</f>
        <v>8.4700081631900792E-2</v>
      </c>
      <c r="E6" s="19">
        <v>0.2</v>
      </c>
      <c r="F6" s="19">
        <v>0.2</v>
      </c>
      <c r="G6" s="19">
        <v>0.2</v>
      </c>
      <c r="H6" s="19">
        <v>0.2</v>
      </c>
      <c r="I6" s="19">
        <v>0.2</v>
      </c>
    </row>
    <row r="7" spans="2:9" x14ac:dyDescent="0.2">
      <c r="C7" s="7"/>
      <c r="D7" s="7"/>
    </row>
    <row r="8" spans="2:9" x14ac:dyDescent="0.2">
      <c r="B8" s="5" t="s">
        <v>23</v>
      </c>
      <c r="C8" s="16">
        <f>SUM('Data Sheet'!J21:J22)</f>
        <v>702255.94</v>
      </c>
      <c r="D8" s="16">
        <f>SUM('Data Sheet'!K21:K22)</f>
        <v>753442.79</v>
      </c>
      <c r="E8" s="28">
        <f>E5*E9</f>
        <v>909107.91926669236</v>
      </c>
      <c r="F8" s="28">
        <f t="shared" ref="F8:I8" si="2">F5*F9</f>
        <v>1087943.5603600156</v>
      </c>
      <c r="G8" s="28">
        <f t="shared" si="2"/>
        <v>1307323.8380880279</v>
      </c>
      <c r="H8" s="28">
        <f t="shared" si="2"/>
        <v>1567713.666312028</v>
      </c>
      <c r="I8" s="28">
        <f t="shared" si="2"/>
        <v>1881901.3632105968</v>
      </c>
    </row>
    <row r="9" spans="2:9" s="2" customFormat="1" x14ac:dyDescent="0.2">
      <c r="B9" s="14" t="s">
        <v>14</v>
      </c>
      <c r="C9" s="15">
        <f>C8/C5</f>
        <v>0.9746584695841608</v>
      </c>
      <c r="D9" s="15">
        <f t="shared" ref="D9" si="3">D8/D5</f>
        <v>0.96404575842932982</v>
      </c>
      <c r="E9" s="20">
        <f>(C9+D9)/2</f>
        <v>0.96935211400674537</v>
      </c>
      <c r="F9" s="20">
        <f t="shared" ref="F9:I9" si="4">(D9+E9)/2</f>
        <v>0.9666989362180376</v>
      </c>
      <c r="G9" s="20">
        <f t="shared" si="4"/>
        <v>0.96802552511239148</v>
      </c>
      <c r="H9" s="20">
        <f t="shared" si="4"/>
        <v>0.96736223066521454</v>
      </c>
      <c r="I9" s="20">
        <f t="shared" si="4"/>
        <v>0.96769387788880301</v>
      </c>
    </row>
    <row r="10" spans="2:9" x14ac:dyDescent="0.2">
      <c r="C10" s="7"/>
      <c r="D10" s="7"/>
    </row>
    <row r="11" spans="2:9" x14ac:dyDescent="0.2">
      <c r="B11" s="10" t="s">
        <v>22</v>
      </c>
      <c r="C11" s="61">
        <f>C5-C8</f>
        <v>18258.95000000007</v>
      </c>
      <c r="D11" s="61">
        <f t="shared" ref="D11:I11" si="5">D5-D8</f>
        <v>28099.770000000019</v>
      </c>
      <c r="E11" s="62">
        <f t="shared" si="5"/>
        <v>28743.152733307681</v>
      </c>
      <c r="F11" s="62">
        <f t="shared" si="5"/>
        <v>37477.726039984496</v>
      </c>
      <c r="G11" s="62">
        <f t="shared" si="5"/>
        <v>43181.705591972219</v>
      </c>
      <c r="H11" s="62">
        <f t="shared" si="5"/>
        <v>52892.986103972187</v>
      </c>
      <c r="I11" s="62">
        <f t="shared" si="5"/>
        <v>62826.619688603329</v>
      </c>
    </row>
    <row r="12" spans="2:9" s="2" customFormat="1" x14ac:dyDescent="0.2">
      <c r="B12" s="14" t="s">
        <v>14</v>
      </c>
      <c r="C12" s="13">
        <f>C11/C5</f>
        <v>2.5341530415839246E-2</v>
      </c>
      <c r="D12" s="13">
        <f t="shared" ref="D12:I12" si="6">D11/D5</f>
        <v>3.595424157067021E-2</v>
      </c>
      <c r="E12" s="13">
        <f t="shared" si="6"/>
        <v>3.0647885993254673E-2</v>
      </c>
      <c r="F12" s="13">
        <f t="shared" si="6"/>
        <v>3.3301063781962327E-2</v>
      </c>
      <c r="G12" s="13">
        <f t="shared" si="6"/>
        <v>3.1974474887608496E-2</v>
      </c>
      <c r="H12" s="13">
        <f t="shared" si="6"/>
        <v>3.2637769334785426E-2</v>
      </c>
      <c r="I12" s="13">
        <f t="shared" si="6"/>
        <v>3.2306122111196968E-2</v>
      </c>
    </row>
    <row r="13" spans="2:9" x14ac:dyDescent="0.2">
      <c r="C13" s="7"/>
      <c r="D13" s="7"/>
    </row>
    <row r="14" spans="2:9" x14ac:dyDescent="0.2">
      <c r="B14" s="5" t="s">
        <v>24</v>
      </c>
      <c r="C14" s="60">
        <f>SUM('Data Sheet'!J23:J24)</f>
        <v>6669.1399999999994</v>
      </c>
      <c r="D14" s="60">
        <f>SUM('Data Sheet'!K23:K24)</f>
        <v>-6403.95</v>
      </c>
      <c r="E14" s="28">
        <f>E5*E15</f>
        <v>498.04002144874516</v>
      </c>
      <c r="F14" s="28">
        <f t="shared" ref="F14:I14" si="7">F5*F15</f>
        <v>-4312.0199871307523</v>
      </c>
      <c r="G14" s="28">
        <f t="shared" si="7"/>
        <v>-2228.623176835355</v>
      </c>
      <c r="H14" s="28">
        <f t="shared" si="7"/>
        <v>-4441.8282968353551</v>
      </c>
      <c r="I14" s="28">
        <f t="shared" si="7"/>
        <v>-4269.705665422669</v>
      </c>
    </row>
    <row r="15" spans="2:9" s="2" customFormat="1" x14ac:dyDescent="0.2">
      <c r="B15" s="14" t="s">
        <v>14</v>
      </c>
      <c r="C15" s="15">
        <f>C14/C5</f>
        <v>9.2560751936715691E-3</v>
      </c>
      <c r="D15" s="15">
        <f t="shared" ref="D15" si="8">D14/D5</f>
        <v>-8.1939875417661179E-3</v>
      </c>
      <c r="E15" s="20">
        <f>AVERAGE(C15:D15)</f>
        <v>5.3104382595272562E-4</v>
      </c>
      <c r="F15" s="20">
        <f t="shared" ref="F15:I15" si="9">AVERAGE(D15:E15)</f>
        <v>-3.8314718579066961E-3</v>
      </c>
      <c r="G15" s="20">
        <f>AVERAGE(E15:F15)</f>
        <v>-1.6502140159769853E-3</v>
      </c>
      <c r="H15" s="20">
        <f t="shared" si="9"/>
        <v>-2.7408429369418408E-3</v>
      </c>
      <c r="I15" s="20">
        <f t="shared" si="9"/>
        <v>-2.1955284764594131E-3</v>
      </c>
    </row>
    <row r="16" spans="2:9" x14ac:dyDescent="0.2">
      <c r="C16" s="7"/>
      <c r="D16" s="7"/>
    </row>
    <row r="17" spans="2:9" x14ac:dyDescent="0.2">
      <c r="B17" s="10" t="s">
        <v>15</v>
      </c>
      <c r="C17" s="61">
        <f>C11-C14</f>
        <v>11589.81000000007</v>
      </c>
      <c r="D17" s="61">
        <f t="shared" ref="D17:I17" si="10">D11-D14</f>
        <v>34503.720000000016</v>
      </c>
      <c r="E17" s="62">
        <f t="shared" si="10"/>
        <v>28245.112711858936</v>
      </c>
      <c r="F17" s="62">
        <f t="shared" si="10"/>
        <v>41789.746027115252</v>
      </c>
      <c r="G17" s="62">
        <f t="shared" si="10"/>
        <v>45410.328768807572</v>
      </c>
      <c r="H17" s="62">
        <f t="shared" si="10"/>
        <v>57334.81440080754</v>
      </c>
      <c r="I17" s="62">
        <f t="shared" si="10"/>
        <v>67096.32535402599</v>
      </c>
    </row>
    <row r="18" spans="2:9" x14ac:dyDescent="0.2">
      <c r="C18" s="7"/>
      <c r="D18" s="7"/>
    </row>
    <row r="19" spans="2:9" x14ac:dyDescent="0.2">
      <c r="B19" s="5" t="s">
        <v>26</v>
      </c>
      <c r="C19" s="17">
        <f>'Data Sheet'!J27</f>
        <v>0</v>
      </c>
      <c r="D19" s="17">
        <f>'Data Sheet'!K27</f>
        <v>0</v>
      </c>
      <c r="E19" s="17">
        <f>-'Debt Sch'!D23</f>
        <v>0</v>
      </c>
      <c r="F19" s="17">
        <f>-'Debt Sch'!E23</f>
        <v>0</v>
      </c>
      <c r="G19" s="17">
        <f>-'Debt Sch'!F23</f>
        <v>0</v>
      </c>
      <c r="H19" s="17">
        <f>-'Debt Sch'!G23</f>
        <v>0</v>
      </c>
      <c r="I19" s="17">
        <f>-'Debt Sch'!H23</f>
        <v>0</v>
      </c>
    </row>
    <row r="20" spans="2:9" x14ac:dyDescent="0.2">
      <c r="B20" s="5" t="s">
        <v>74</v>
      </c>
      <c r="C20" s="60">
        <f>'Data Sheet'!J25</f>
        <v>788.9</v>
      </c>
      <c r="D20" s="60">
        <f>'Data Sheet'!K25</f>
        <v>7660.84</v>
      </c>
      <c r="E20" s="28">
        <f>AVERAGE(C20:D20)</f>
        <v>4224.87</v>
      </c>
      <c r="F20" s="28">
        <f t="shared" ref="F20:I20" si="11">AVERAGE(D20:E20)</f>
        <v>5942.8549999999996</v>
      </c>
      <c r="G20" s="28">
        <f t="shared" si="11"/>
        <v>5083.8624999999993</v>
      </c>
      <c r="H20" s="28">
        <f t="shared" si="11"/>
        <v>5513.3587499999994</v>
      </c>
      <c r="I20" s="28">
        <f t="shared" si="11"/>
        <v>5298.6106249999993</v>
      </c>
    </row>
    <row r="21" spans="2:9" x14ac:dyDescent="0.2">
      <c r="C21" s="43"/>
      <c r="D21" s="43"/>
      <c r="E21" s="28"/>
      <c r="F21" s="28"/>
      <c r="G21" s="28"/>
      <c r="H21" s="43"/>
      <c r="I21" s="43"/>
    </row>
    <row r="22" spans="2:9" x14ac:dyDescent="0.2">
      <c r="B22" s="10" t="s">
        <v>25</v>
      </c>
      <c r="C22" s="61">
        <f>C17+C19+C20</f>
        <v>12378.71000000007</v>
      </c>
      <c r="D22" s="61">
        <f t="shared" ref="D22:I22" si="12">D17+D19+D20</f>
        <v>42164.560000000012</v>
      </c>
      <c r="E22" s="62">
        <f t="shared" si="12"/>
        <v>32469.982711858935</v>
      </c>
      <c r="F22" s="62">
        <f t="shared" si="12"/>
        <v>47732.601027115248</v>
      </c>
      <c r="G22" s="62">
        <f t="shared" si="12"/>
        <v>50494.191268807568</v>
      </c>
      <c r="H22" s="62">
        <f t="shared" si="12"/>
        <v>62848.173150807539</v>
      </c>
      <c r="I22" s="62">
        <f t="shared" si="12"/>
        <v>72394.935979025991</v>
      </c>
    </row>
    <row r="23" spans="2:9" x14ac:dyDescent="0.2">
      <c r="C23" s="28"/>
      <c r="D23" s="28"/>
      <c r="E23" s="28"/>
      <c r="F23" s="28"/>
      <c r="G23" s="28"/>
      <c r="H23" s="43"/>
      <c r="I23" s="43"/>
    </row>
    <row r="24" spans="2:9" x14ac:dyDescent="0.2">
      <c r="B24" s="5" t="s">
        <v>17</v>
      </c>
      <c r="C24" s="63">
        <f>'Data Sheet'!J29</f>
        <v>7902.23</v>
      </c>
      <c r="D24" s="63">
        <f>'Data Sheet'!K29</f>
        <v>5302.24</v>
      </c>
      <c r="E24" s="28">
        <f>D24*E25</f>
        <v>1855.7839999999999</v>
      </c>
      <c r="F24" s="28">
        <f t="shared" ref="F24:I24" si="13">E24*F25</f>
        <v>649.5243999999999</v>
      </c>
      <c r="G24" s="28">
        <f t="shared" si="13"/>
        <v>227.33353999999994</v>
      </c>
      <c r="H24" s="28">
        <f t="shared" si="13"/>
        <v>79.56673899999997</v>
      </c>
      <c r="I24" s="28">
        <f t="shared" si="13"/>
        <v>27.848358649999987</v>
      </c>
    </row>
    <row r="25" spans="2:9" x14ac:dyDescent="0.2">
      <c r="B25" s="15" t="s">
        <v>18</v>
      </c>
      <c r="C25" s="22" t="s">
        <v>13</v>
      </c>
      <c r="D25" s="22" t="s">
        <v>13</v>
      </c>
      <c r="E25" s="20">
        <v>0.35</v>
      </c>
      <c r="F25" s="20">
        <v>0.35</v>
      </c>
      <c r="G25" s="20">
        <v>0.35</v>
      </c>
      <c r="H25" s="20">
        <v>0.35</v>
      </c>
      <c r="I25" s="20">
        <v>0.35</v>
      </c>
    </row>
    <row r="26" spans="2:9" x14ac:dyDescent="0.2">
      <c r="C26" s="7"/>
      <c r="D26" s="7"/>
    </row>
    <row r="27" spans="2:9" x14ac:dyDescent="0.2">
      <c r="B27" s="10" t="s">
        <v>27</v>
      </c>
      <c r="C27" s="64">
        <f>C22-C24</f>
        <v>4476.4800000000705</v>
      </c>
      <c r="D27" s="64">
        <f t="shared" ref="D27:I27" si="14">D22-D24</f>
        <v>36862.320000000014</v>
      </c>
      <c r="E27" s="65">
        <f t="shared" si="14"/>
        <v>30614.198711858935</v>
      </c>
      <c r="F27" s="65">
        <f t="shared" si="14"/>
        <v>47083.076627115246</v>
      </c>
      <c r="G27" s="65">
        <f t="shared" si="14"/>
        <v>50266.857728807568</v>
      </c>
      <c r="H27" s="65">
        <f t="shared" si="14"/>
        <v>62768.606411807537</v>
      </c>
      <c r="I27" s="65">
        <f t="shared" si="14"/>
        <v>72367.087620375998</v>
      </c>
    </row>
    <row r="28" spans="2:9" x14ac:dyDescent="0.2">
      <c r="C28" s="7"/>
      <c r="D28" s="7"/>
    </row>
    <row r="29" spans="2:9" x14ac:dyDescent="0.2">
      <c r="B29" s="107" t="s">
        <v>28</v>
      </c>
      <c r="C29" s="107"/>
      <c r="D29" s="107"/>
      <c r="E29" s="107"/>
      <c r="F29" s="107"/>
      <c r="G29" s="107"/>
    </row>
    <row r="30" spans="2:9" x14ac:dyDescent="0.2">
      <c r="B30" s="6"/>
      <c r="C30" s="6"/>
      <c r="D30" s="6"/>
      <c r="E30" s="6"/>
      <c r="F30" s="6"/>
      <c r="G30" s="6"/>
    </row>
    <row r="31" spans="2:9" x14ac:dyDescent="0.2">
      <c r="B31" s="5" t="s">
        <v>15</v>
      </c>
      <c r="C31" s="28">
        <f>C17</f>
        <v>11589.81000000007</v>
      </c>
      <c r="D31" s="28">
        <f>D17</f>
        <v>34503.720000000016</v>
      </c>
      <c r="E31" s="28">
        <f t="shared" ref="E31:I31" si="15">E17</f>
        <v>28245.112711858936</v>
      </c>
      <c r="F31" s="28">
        <f t="shared" si="15"/>
        <v>41789.746027115252</v>
      </c>
      <c r="G31" s="28">
        <f t="shared" si="15"/>
        <v>45410.328768807572</v>
      </c>
      <c r="H31" s="28">
        <f t="shared" si="15"/>
        <v>57334.81440080754</v>
      </c>
      <c r="I31" s="28">
        <f t="shared" si="15"/>
        <v>67096.32535402599</v>
      </c>
    </row>
    <row r="32" spans="2:9" x14ac:dyDescent="0.2">
      <c r="B32" s="5" t="s">
        <v>75</v>
      </c>
      <c r="C32" s="43">
        <f>'Data Sheet'!J26</f>
        <v>433.36</v>
      </c>
      <c r="D32" s="43">
        <f>'Data Sheet'!K26</f>
        <v>464.93</v>
      </c>
      <c r="E32" s="58">
        <f>'PP&amp;E Sch'!D8</f>
        <v>560.99737642560024</v>
      </c>
      <c r="F32" s="58">
        <f>'PP&amp;E Sch'!E8</f>
        <v>671.34802585536011</v>
      </c>
      <c r="G32" s="58">
        <f>'PP&amp;E Sch'!F8</f>
        <v>806.72692653964828</v>
      </c>
      <c r="H32" s="58">
        <f>'PP&amp;E Sch'!G8</f>
        <v>967.40673453964814</v>
      </c>
      <c r="I32" s="58">
        <f>'PP&amp;E Sch'!H8</f>
        <v>1161.2874278323357</v>
      </c>
    </row>
    <row r="33" spans="2:9" x14ac:dyDescent="0.2">
      <c r="B33" s="5" t="s">
        <v>76</v>
      </c>
      <c r="C33" s="12">
        <v>0</v>
      </c>
      <c r="D33" s="12">
        <v>0</v>
      </c>
      <c r="E33" s="12">
        <v>0</v>
      </c>
      <c r="F33" s="12">
        <v>0</v>
      </c>
      <c r="G33" s="12">
        <v>0</v>
      </c>
      <c r="H33" s="12">
        <v>0</v>
      </c>
      <c r="I33" s="12">
        <v>0</v>
      </c>
    </row>
    <row r="34" spans="2:9" x14ac:dyDescent="0.2">
      <c r="B34" s="18" t="s">
        <v>21</v>
      </c>
      <c r="C34" s="65">
        <f>C17+C32</f>
        <v>12023.170000000071</v>
      </c>
      <c r="D34" s="65">
        <f>D17+D32</f>
        <v>34968.650000000016</v>
      </c>
      <c r="E34" s="65">
        <f t="shared" ref="E34:I34" si="16">E17+E32</f>
        <v>28806.110088284535</v>
      </c>
      <c r="F34" s="65">
        <f t="shared" si="16"/>
        <v>42461.094052970613</v>
      </c>
      <c r="G34" s="65">
        <f t="shared" si="16"/>
        <v>46217.055695347219</v>
      </c>
      <c r="H34" s="65">
        <f t="shared" si="16"/>
        <v>58302.221135347187</v>
      </c>
      <c r="I34" s="65">
        <f t="shared" si="16"/>
        <v>68257.612781858319</v>
      </c>
    </row>
  </sheetData>
  <mergeCells count="2">
    <mergeCell ref="B29:G29"/>
    <mergeCell ref="B2:I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E8E07-8A71-4619-A946-A4727BD5D3C6}">
  <sheetPr>
    <tabColor theme="4" tint="-0.249977111117893"/>
  </sheetPr>
  <dimension ref="B2:L55"/>
  <sheetViews>
    <sheetView showGridLines="0" workbookViewId="0">
      <pane ySplit="4" topLeftCell="A5" activePane="bottomLeft" state="frozen"/>
      <selection pane="bottomLeft" sqref="A1:XFD1"/>
    </sheetView>
  </sheetViews>
  <sheetFormatPr baseColWidth="10" defaultColWidth="8.83203125" defaultRowHeight="15" x14ac:dyDescent="0.2"/>
  <cols>
    <col min="1" max="1" width="1.83203125" customWidth="1"/>
    <col min="2" max="2" width="43.1640625" style="5" customWidth="1"/>
    <col min="3" max="4" width="12.83203125" style="30" bestFit="1" customWidth="1"/>
    <col min="5" max="5" width="12.83203125" style="5" bestFit="1" customWidth="1"/>
    <col min="6" max="6" width="12.33203125" bestFit="1" customWidth="1"/>
    <col min="7" max="7" width="12.5" bestFit="1" customWidth="1"/>
    <col min="8" max="8" width="13.5" bestFit="1" customWidth="1"/>
    <col min="9" max="9" width="13.1640625" customWidth="1"/>
    <col min="10" max="10" width="10.83203125" customWidth="1"/>
  </cols>
  <sheetData>
    <row r="2" spans="2:9" x14ac:dyDescent="0.2">
      <c r="B2" s="108" t="s">
        <v>159</v>
      </c>
      <c r="C2" s="108"/>
      <c r="D2" s="108"/>
      <c r="E2" s="108"/>
      <c r="F2" s="108"/>
      <c r="G2" s="108"/>
      <c r="H2" s="108"/>
      <c r="I2" s="108"/>
    </row>
    <row r="3" spans="2:9" x14ac:dyDescent="0.2">
      <c r="B3" s="8"/>
      <c r="C3" s="29" t="s">
        <v>49</v>
      </c>
      <c r="D3" s="29" t="s">
        <v>49</v>
      </c>
      <c r="E3" s="9" t="s">
        <v>50</v>
      </c>
      <c r="F3" s="9" t="s">
        <v>50</v>
      </c>
      <c r="G3" s="9" t="s">
        <v>50</v>
      </c>
      <c r="H3" s="9" t="s">
        <v>50</v>
      </c>
      <c r="I3" s="9" t="s">
        <v>50</v>
      </c>
    </row>
    <row r="4" spans="2:9" x14ac:dyDescent="0.2">
      <c r="B4" s="8" t="s">
        <v>90</v>
      </c>
      <c r="C4" s="29">
        <v>2022</v>
      </c>
      <c r="D4" s="29">
        <f>C4+1</f>
        <v>2023</v>
      </c>
      <c r="E4" s="9">
        <f t="shared" ref="E4:I4" si="0">D4+1</f>
        <v>2024</v>
      </c>
      <c r="F4" s="9">
        <f t="shared" si="0"/>
        <v>2025</v>
      </c>
      <c r="G4" s="9">
        <f t="shared" si="0"/>
        <v>2026</v>
      </c>
      <c r="H4" s="9">
        <f t="shared" si="0"/>
        <v>2027</v>
      </c>
      <c r="I4" s="9">
        <f t="shared" si="0"/>
        <v>2028</v>
      </c>
    </row>
    <row r="5" spans="2:9" x14ac:dyDescent="0.2">
      <c r="B5" s="26" t="s">
        <v>29</v>
      </c>
    </row>
    <row r="6" spans="2:9" x14ac:dyDescent="0.2">
      <c r="B6" s="27" t="s">
        <v>30</v>
      </c>
      <c r="C6" s="31"/>
      <c r="D6" s="31"/>
    </row>
    <row r="7" spans="2:9" x14ac:dyDescent="0.2">
      <c r="B7" s="24" t="s">
        <v>45</v>
      </c>
      <c r="C7" s="66">
        <f>'Data Sheet'!J69</f>
        <v>37432.14</v>
      </c>
      <c r="D7" s="66">
        <f>'Data Sheet'!K69</f>
        <v>38353.46</v>
      </c>
      <c r="E7" s="28">
        <f>'Cash Flow Statement '!E24</f>
        <v>-3621.253911715452</v>
      </c>
      <c r="F7" s="28">
        <f>'Cash Flow Statement '!F24</f>
        <v>-76022.411758744813</v>
      </c>
      <c r="G7" s="28">
        <f>'Cash Flow Statement '!G24</f>
        <v>-180854.57272839756</v>
      </c>
      <c r="H7" s="28">
        <f>'Cash Flow Statement '!H24</f>
        <v>-301469.77558830037</v>
      </c>
      <c r="I7" s="28">
        <f>'Cash Flow Statement '!I24</f>
        <v>-446722.60338665452</v>
      </c>
    </row>
    <row r="8" spans="2:9" x14ac:dyDescent="0.2">
      <c r="B8" s="24" t="s">
        <v>41</v>
      </c>
      <c r="C8" s="67">
        <f>'Data Sheet'!J67</f>
        <v>0</v>
      </c>
      <c r="D8" s="67">
        <f>'Data Sheet'!K67</f>
        <v>0</v>
      </c>
      <c r="E8" s="28">
        <f>E50/365*'income statement '!E5</f>
        <v>0</v>
      </c>
      <c r="F8" s="28">
        <f>F50/365*'income statement '!F5</f>
        <v>0</v>
      </c>
      <c r="G8" s="28">
        <f>G50/365*'income statement '!G5</f>
        <v>0</v>
      </c>
      <c r="H8" s="28">
        <f>H50/365*'income statement '!H5</f>
        <v>0</v>
      </c>
      <c r="I8" s="28">
        <f>I50/365*'income statement '!I5</f>
        <v>0</v>
      </c>
    </row>
    <row r="9" spans="2:9" x14ac:dyDescent="0.2">
      <c r="B9" s="24" t="s">
        <v>42</v>
      </c>
      <c r="C9" s="67">
        <f>'Data Sheet'!J68</f>
        <v>0</v>
      </c>
      <c r="D9" s="67">
        <f>'Data Sheet'!K68</f>
        <v>0</v>
      </c>
      <c r="E9" s="28">
        <f>E51/365*'income statement '!E8</f>
        <v>0</v>
      </c>
      <c r="F9" s="28">
        <f>F51/365*'income statement '!F8</f>
        <v>0</v>
      </c>
      <c r="G9" s="28">
        <f>G51/365*'income statement '!G8</f>
        <v>0</v>
      </c>
      <c r="H9" s="28">
        <f>H51/365*'income statement '!H8</f>
        <v>0</v>
      </c>
      <c r="I9" s="28">
        <f>I51/365*'income statement '!I8</f>
        <v>0</v>
      </c>
    </row>
    <row r="10" spans="2:9" x14ac:dyDescent="0.2">
      <c r="B10" s="24" t="s">
        <v>43</v>
      </c>
      <c r="C10" s="68">
        <v>0</v>
      </c>
      <c r="D10" s="68">
        <v>0</v>
      </c>
      <c r="E10" s="92">
        <v>0</v>
      </c>
      <c r="F10" s="92">
        <v>0</v>
      </c>
      <c r="G10" s="92">
        <v>0</v>
      </c>
      <c r="H10" s="92">
        <v>0</v>
      </c>
      <c r="I10" s="92">
        <v>0</v>
      </c>
    </row>
    <row r="11" spans="2:9" x14ac:dyDescent="0.2">
      <c r="B11" s="27" t="s">
        <v>44</v>
      </c>
      <c r="C11" s="69">
        <f>SUM(C7:C10)</f>
        <v>37432.14</v>
      </c>
      <c r="D11" s="69">
        <f>SUM(D7:D10)</f>
        <v>38353.46</v>
      </c>
      <c r="E11" s="70">
        <f t="shared" ref="E11:I11" si="1">SUM(E7:E10)</f>
        <v>-3621.253911715452</v>
      </c>
      <c r="F11" s="70">
        <f t="shared" si="1"/>
        <v>-76022.411758744813</v>
      </c>
      <c r="G11" s="70">
        <f t="shared" si="1"/>
        <v>-180854.57272839756</v>
      </c>
      <c r="H11" s="70">
        <f t="shared" si="1"/>
        <v>-301469.77558830037</v>
      </c>
      <c r="I11" s="70">
        <f t="shared" si="1"/>
        <v>-446722.60338665452</v>
      </c>
    </row>
    <row r="12" spans="2:9" x14ac:dyDescent="0.2">
      <c r="C12" s="33"/>
      <c r="D12" s="33"/>
    </row>
    <row r="13" spans="2:9" x14ac:dyDescent="0.2">
      <c r="B13" s="23" t="s">
        <v>85</v>
      </c>
      <c r="C13" s="32"/>
      <c r="D13" s="32"/>
    </row>
    <row r="14" spans="2:9" x14ac:dyDescent="0.2">
      <c r="B14" s="3" t="s">
        <v>86</v>
      </c>
      <c r="C14" s="67">
        <f>'Data Sheet'!J62</f>
        <v>17743.849999999999</v>
      </c>
      <c r="D14" s="67">
        <f>'Data Sheet'!K62</f>
        <v>20445.849999999999</v>
      </c>
      <c r="E14" s="71">
        <f>'PP&amp;E Sch'!D11</f>
        <v>591552.69737642561</v>
      </c>
      <c r="F14" s="71">
        <f>'PP&amp;E Sch'!E11</f>
        <v>1191297.1879022808</v>
      </c>
      <c r="G14" s="71">
        <f>'PP&amp;E Sch'!F11</f>
        <v>1821130.7144538204</v>
      </c>
      <c r="H14" s="71">
        <f>'PP&amp;E Sch'!G11</f>
        <v>2482576.2607946103</v>
      </c>
      <c r="I14" s="71">
        <f>'PP&amp;E Sch'!H11</f>
        <v>3177239.594809005</v>
      </c>
    </row>
    <row r="15" spans="2:9" x14ac:dyDescent="0.2">
      <c r="B15" s="3" t="s">
        <v>77</v>
      </c>
      <c r="C15" s="67">
        <f>'Data Sheet'!J63</f>
        <v>198.49</v>
      </c>
      <c r="D15" s="67">
        <f>'Data Sheet'!K63</f>
        <v>331.06</v>
      </c>
      <c r="E15" s="28">
        <f>AVERAGE(C15:D15)</f>
        <v>264.77499999999998</v>
      </c>
      <c r="F15" s="28">
        <f t="shared" ref="F15:I15" si="2">AVERAGE(D15:E15)</f>
        <v>297.91750000000002</v>
      </c>
      <c r="G15" s="28">
        <f t="shared" si="2"/>
        <v>281.34625</v>
      </c>
      <c r="H15" s="28">
        <f t="shared" si="2"/>
        <v>289.63187500000004</v>
      </c>
      <c r="I15" s="28">
        <f t="shared" si="2"/>
        <v>285.48906250000005</v>
      </c>
    </row>
    <row r="16" spans="2:9" x14ac:dyDescent="0.2">
      <c r="B16" s="3" t="s">
        <v>78</v>
      </c>
      <c r="C16" s="67">
        <f>'Data Sheet'!J64</f>
        <v>3911653.96</v>
      </c>
      <c r="D16" s="67">
        <f>'Data Sheet'!K64</f>
        <v>4227893.54</v>
      </c>
      <c r="E16" s="28">
        <f>D16*(1.15)</f>
        <v>4862077.5709999995</v>
      </c>
      <c r="F16" s="28">
        <f t="shared" ref="F16:I16" si="3">E16*(1.15)</f>
        <v>5591389.2066499991</v>
      </c>
      <c r="G16" s="28">
        <f t="shared" si="3"/>
        <v>6430097.5876474986</v>
      </c>
      <c r="H16" s="28">
        <f t="shared" si="3"/>
        <v>7394612.2257946227</v>
      </c>
      <c r="I16" s="28">
        <f t="shared" si="3"/>
        <v>8503804.0596638154</v>
      </c>
    </row>
    <row r="17" spans="2:9" x14ac:dyDescent="0.2">
      <c r="B17" s="3" t="s">
        <v>79</v>
      </c>
      <c r="C17" s="67">
        <f>'Data Sheet'!J65-C11</f>
        <v>263561.32999999996</v>
      </c>
      <c r="D17" s="67">
        <f>'Data Sheet'!K65-D11</f>
        <v>263488.28999999998</v>
      </c>
      <c r="E17" s="28">
        <f>AVERAGE(C17:D17)</f>
        <v>263524.80999999994</v>
      </c>
      <c r="F17" s="28">
        <f t="shared" ref="F17:I17" si="4">AVERAGE(D17:E17)</f>
        <v>263506.54999999993</v>
      </c>
      <c r="G17" s="28">
        <f t="shared" si="4"/>
        <v>263515.67999999993</v>
      </c>
      <c r="H17" s="28">
        <f t="shared" si="4"/>
        <v>263511.11499999993</v>
      </c>
      <c r="I17" s="28">
        <f t="shared" si="4"/>
        <v>263513.39749999996</v>
      </c>
    </row>
    <row r="18" spans="2:9" x14ac:dyDescent="0.2">
      <c r="B18" s="23" t="s">
        <v>87</v>
      </c>
      <c r="C18" s="69">
        <f>SUM(C14:C17)</f>
        <v>4193157.63</v>
      </c>
      <c r="D18" s="69">
        <f t="shared" ref="D18" si="5">SUM(D14:D17)</f>
        <v>4512158.74</v>
      </c>
      <c r="E18" s="70">
        <f t="shared" ref="E18" si="6">SUM(E14:E17)</f>
        <v>5717419.8533764249</v>
      </c>
      <c r="F18" s="70">
        <f t="shared" ref="F18" si="7">SUM(F14:F17)</f>
        <v>7046490.8620522795</v>
      </c>
      <c r="G18" s="70">
        <f t="shared" ref="G18" si="8">SUM(G14:G17)</f>
        <v>8515025.3283513188</v>
      </c>
      <c r="H18" s="70">
        <f t="shared" ref="H18" si="9">SUM(H14:H17)</f>
        <v>10140989.233464234</v>
      </c>
      <c r="I18" s="70">
        <f t="shared" ref="I18" si="10">SUM(I14:I17)</f>
        <v>11944842.541035321</v>
      </c>
    </row>
    <row r="19" spans="2:9" x14ac:dyDescent="0.2">
      <c r="B19"/>
      <c r="C19" s="33"/>
      <c r="D19" s="33"/>
    </row>
    <row r="20" spans="2:9" ht="16.5" customHeight="1" x14ac:dyDescent="0.2">
      <c r="B20" s="10" t="s">
        <v>88</v>
      </c>
      <c r="C20" s="72">
        <f>C18+C11</f>
        <v>4230589.7699999996</v>
      </c>
      <c r="D20" s="72">
        <f t="shared" ref="D20:I20" si="11">D18+D11</f>
        <v>4550512.2</v>
      </c>
      <c r="E20" s="73">
        <f t="shared" si="11"/>
        <v>5713798.5994647099</v>
      </c>
      <c r="F20" s="73">
        <f t="shared" si="11"/>
        <v>6970468.4502935344</v>
      </c>
      <c r="G20" s="73">
        <f t="shared" si="11"/>
        <v>8334170.7556229215</v>
      </c>
      <c r="H20" s="73">
        <f t="shared" si="11"/>
        <v>9839519.4578759335</v>
      </c>
      <c r="I20" s="73">
        <f t="shared" si="11"/>
        <v>11498119.937648665</v>
      </c>
    </row>
    <row r="21" spans="2:9" ht="16.5" customHeight="1" x14ac:dyDescent="0.2">
      <c r="B21" s="10"/>
      <c r="C21" s="34"/>
      <c r="D21" s="34"/>
    </row>
    <row r="22" spans="2:9" ht="16.5" customHeight="1" x14ac:dyDescent="0.2">
      <c r="B22" s="26" t="s">
        <v>91</v>
      </c>
      <c r="C22" s="33"/>
      <c r="D22" s="33"/>
    </row>
    <row r="23" spans="2:9" x14ac:dyDescent="0.2">
      <c r="B23" s="27" t="s">
        <v>32</v>
      </c>
      <c r="C23" s="33"/>
      <c r="D23" s="33"/>
    </row>
    <row r="24" spans="2:9" x14ac:dyDescent="0.2">
      <c r="B24" s="3" t="s">
        <v>80</v>
      </c>
      <c r="C24" s="67">
        <v>0</v>
      </c>
      <c r="D24" s="67">
        <v>0</v>
      </c>
      <c r="E24" s="40">
        <f>E53*'income statement '!E14</f>
        <v>0</v>
      </c>
      <c r="F24" s="40">
        <f>F53*'income statement '!F14</f>
        <v>0</v>
      </c>
      <c r="G24" s="40">
        <f>G53*'income statement '!G14</f>
        <v>0</v>
      </c>
      <c r="H24" s="40">
        <f>H53*'income statement '!H14</f>
        <v>0</v>
      </c>
      <c r="I24" s="40">
        <f>I53*'income statement '!I14</f>
        <v>0</v>
      </c>
    </row>
    <row r="25" spans="2:9" x14ac:dyDescent="0.2">
      <c r="B25" s="24" t="s">
        <v>33</v>
      </c>
      <c r="C25" s="67">
        <v>6723</v>
      </c>
      <c r="D25" s="67">
        <v>7552</v>
      </c>
      <c r="E25" s="28">
        <f>E52/365*'income statement '!E8</f>
        <v>8907.7826433115661</v>
      </c>
      <c r="F25" s="28">
        <f>F52/365*'income statement '!F8</f>
        <v>10782.445422194383</v>
      </c>
      <c r="G25" s="28">
        <f>G52/365*'income statement '!G8</f>
        <v>12883.171507363191</v>
      </c>
      <c r="H25" s="28">
        <f>H52/365*'income statement '!H8</f>
        <v>15493.29383365654</v>
      </c>
      <c r="I25" s="28">
        <f>I52/365*'income statement '!I8</f>
        <v>18571.868853073021</v>
      </c>
    </row>
    <row r="26" spans="2:9" x14ac:dyDescent="0.2">
      <c r="B26" s="24" t="s">
        <v>96</v>
      </c>
      <c r="C26" s="39">
        <v>0</v>
      </c>
      <c r="D26" s="39">
        <v>0</v>
      </c>
      <c r="E26" s="39">
        <v>0</v>
      </c>
      <c r="F26" s="39">
        <v>0</v>
      </c>
      <c r="G26" s="39">
        <v>0</v>
      </c>
      <c r="H26" s="39">
        <v>0</v>
      </c>
      <c r="I26" s="39">
        <v>0</v>
      </c>
    </row>
    <row r="27" spans="2:9" x14ac:dyDescent="0.2">
      <c r="B27" s="24" t="s">
        <v>35</v>
      </c>
      <c r="C27" s="39">
        <f>'Debt Sch'!B16</f>
        <v>0</v>
      </c>
      <c r="D27" s="39">
        <v>0</v>
      </c>
      <c r="E27" s="39">
        <f>'Debt Sch'!D16</f>
        <v>0</v>
      </c>
      <c r="F27" s="39">
        <f>'Debt Sch'!E16</f>
        <v>0</v>
      </c>
      <c r="G27" s="39">
        <f>'Debt Sch'!F16</f>
        <v>0</v>
      </c>
      <c r="H27" s="39">
        <f>'Debt Sch'!G16</f>
        <v>0</v>
      </c>
      <c r="I27" s="39">
        <f>'Debt Sch'!H16</f>
        <v>0</v>
      </c>
    </row>
    <row r="28" spans="2:9" x14ac:dyDescent="0.2">
      <c r="B28" s="3" t="s">
        <v>81</v>
      </c>
      <c r="C28" s="67">
        <v>4213457</v>
      </c>
      <c r="D28" s="67">
        <v>4497291</v>
      </c>
      <c r="E28" s="28">
        <f>E54*'income statement '!E14</f>
        <v>-17551.958675005859</v>
      </c>
      <c r="F28" s="28">
        <f>F54*'income statement '!F14</f>
        <v>1590079.6898590438</v>
      </c>
      <c r="G28" s="28">
        <f>G54*'income statement '!G14</f>
        <v>450178.80718863639</v>
      </c>
      <c r="H28" s="28">
        <f>H54*'income statement '!H14</f>
        <v>1267595.1820674576</v>
      </c>
      <c r="I28" s="28">
        <f>I54*'income statement '!I14</f>
        <v>1040475.0067330222</v>
      </c>
    </row>
    <row r="29" spans="2:9" x14ac:dyDescent="0.2">
      <c r="B29" s="27" t="s">
        <v>46</v>
      </c>
      <c r="C29" s="69">
        <f t="shared" ref="C29:I29" si="12">SUM(C24:C28)</f>
        <v>4220180</v>
      </c>
      <c r="D29" s="69">
        <f t="shared" si="12"/>
        <v>4504843</v>
      </c>
      <c r="E29" s="70">
        <f t="shared" si="12"/>
        <v>-8644.1760316942928</v>
      </c>
      <c r="F29" s="70">
        <f t="shared" si="12"/>
        <v>1600862.1352812382</v>
      </c>
      <c r="G29" s="70">
        <f t="shared" si="12"/>
        <v>463061.9786959996</v>
      </c>
      <c r="H29" s="70">
        <f t="shared" si="12"/>
        <v>1283088.4759011141</v>
      </c>
      <c r="I29" s="70">
        <f t="shared" si="12"/>
        <v>1059046.8755860953</v>
      </c>
    </row>
    <row r="30" spans="2:9" x14ac:dyDescent="0.2">
      <c r="B30" s="27"/>
      <c r="C30" s="34"/>
      <c r="D30" s="34"/>
    </row>
    <row r="31" spans="2:9" ht="14" customHeight="1" x14ac:dyDescent="0.2">
      <c r="B31" s="27" t="s">
        <v>92</v>
      </c>
      <c r="C31" s="33"/>
      <c r="D31" s="33"/>
    </row>
    <row r="32" spans="2:9" ht="14" customHeight="1" x14ac:dyDescent="0.2">
      <c r="B32" s="3" t="s">
        <v>82</v>
      </c>
      <c r="C32" s="67">
        <v>0</v>
      </c>
      <c r="D32" s="67">
        <v>0</v>
      </c>
      <c r="E32" s="58">
        <f>'Debt Sch'!D15</f>
        <v>0</v>
      </c>
      <c r="F32" s="58">
        <f>'Debt Sch'!E15</f>
        <v>0</v>
      </c>
      <c r="G32" s="58">
        <f>'Debt Sch'!F15</f>
        <v>0</v>
      </c>
      <c r="H32" s="58">
        <f>'Debt Sch'!G15</f>
        <v>0</v>
      </c>
      <c r="I32" s="58">
        <f>'Debt Sch'!H15</f>
        <v>0</v>
      </c>
    </row>
    <row r="33" spans="2:12" x14ac:dyDescent="0.2">
      <c r="B33" s="23" t="s">
        <v>83</v>
      </c>
      <c r="C33" s="69">
        <f t="shared" ref="C33:I33" si="13">SUM(C32:C32)</f>
        <v>0</v>
      </c>
      <c r="D33" s="69">
        <f t="shared" si="13"/>
        <v>0</v>
      </c>
      <c r="E33" s="70">
        <f t="shared" si="13"/>
        <v>0</v>
      </c>
      <c r="F33" s="70">
        <f t="shared" si="13"/>
        <v>0</v>
      </c>
      <c r="G33" s="70">
        <f t="shared" si="13"/>
        <v>0</v>
      </c>
      <c r="H33" s="70">
        <f t="shared" si="13"/>
        <v>0</v>
      </c>
      <c r="I33" s="70">
        <f t="shared" si="13"/>
        <v>0</v>
      </c>
    </row>
    <row r="34" spans="2:12" x14ac:dyDescent="0.2">
      <c r="B34"/>
      <c r="C34" s="33"/>
      <c r="D34" s="33"/>
    </row>
    <row r="35" spans="2:12" ht="11.5" customHeight="1" x14ac:dyDescent="0.2">
      <c r="B35" s="23" t="s">
        <v>84</v>
      </c>
      <c r="C35" s="72">
        <f t="shared" ref="C35:I35" si="14">C29+C33</f>
        <v>4220180</v>
      </c>
      <c r="D35" s="72">
        <f t="shared" si="14"/>
        <v>4504843</v>
      </c>
      <c r="E35" s="104">
        <f t="shared" si="14"/>
        <v>-8644.1760316942928</v>
      </c>
      <c r="F35" s="73">
        <f t="shared" si="14"/>
        <v>1600862.1352812382</v>
      </c>
      <c r="G35" s="73">
        <f t="shared" si="14"/>
        <v>463061.9786959996</v>
      </c>
      <c r="H35" s="73">
        <f t="shared" si="14"/>
        <v>1283088.4759011141</v>
      </c>
      <c r="I35" s="73">
        <f t="shared" si="14"/>
        <v>1059046.8755860953</v>
      </c>
      <c r="K35" s="59"/>
      <c r="L35" s="59"/>
    </row>
    <row r="36" spans="2:12" ht="11.5" customHeight="1" x14ac:dyDescent="0.2">
      <c r="B36"/>
      <c r="C36" s="72"/>
      <c r="D36" s="72"/>
      <c r="E36" s="47"/>
      <c r="F36" s="59"/>
      <c r="G36" s="59"/>
      <c r="H36" s="59"/>
      <c r="I36" s="59"/>
    </row>
    <row r="37" spans="2:12" x14ac:dyDescent="0.2">
      <c r="B37" s="27" t="s">
        <v>37</v>
      </c>
      <c r="C37" s="74"/>
      <c r="D37" s="74"/>
      <c r="E37" s="47"/>
      <c r="F37" s="59"/>
      <c r="G37" s="59"/>
      <c r="H37" s="59"/>
      <c r="I37" s="59"/>
    </row>
    <row r="38" spans="2:12" x14ac:dyDescent="0.2">
      <c r="B38" s="24" t="s">
        <v>38</v>
      </c>
      <c r="C38" s="75">
        <f>6325+0.77</f>
        <v>6325.77</v>
      </c>
      <c r="D38" s="75">
        <f>6325+0.2</f>
        <v>6325.2</v>
      </c>
      <c r="E38" s="48">
        <v>6766</v>
      </c>
      <c r="F38" s="48">
        <v>6766</v>
      </c>
      <c r="G38" s="48">
        <v>6766</v>
      </c>
      <c r="H38" s="48">
        <v>6766</v>
      </c>
      <c r="I38" s="48">
        <v>6766</v>
      </c>
    </row>
    <row r="39" spans="2:12" x14ac:dyDescent="0.2">
      <c r="B39" s="24" t="s">
        <v>48</v>
      </c>
      <c r="C39" s="39">
        <v>0</v>
      </c>
      <c r="D39" s="39">
        <v>0</v>
      </c>
      <c r="E39" s="39">
        <v>0</v>
      </c>
      <c r="F39" s="39">
        <v>0</v>
      </c>
      <c r="G39" s="39">
        <v>0</v>
      </c>
      <c r="H39" s="39">
        <v>0</v>
      </c>
      <c r="I39" s="39">
        <v>0</v>
      </c>
    </row>
    <row r="40" spans="2:12" x14ac:dyDescent="0.2">
      <c r="B40" s="24" t="s">
        <v>47</v>
      </c>
      <c r="C40" s="75">
        <v>4084</v>
      </c>
      <c r="D40" s="75">
        <v>39344</v>
      </c>
      <c r="E40" s="47">
        <f>D40+'income statement '!E27</f>
        <v>69958.198711858931</v>
      </c>
      <c r="F40" s="47">
        <f>E40+'income statement '!F27</f>
        <v>117041.27533897417</v>
      </c>
      <c r="G40" s="47">
        <f>F40+'income statement '!G27</f>
        <v>167308.13306778175</v>
      </c>
      <c r="H40" s="47">
        <f>G40+'income statement '!H27</f>
        <v>230076.73947958928</v>
      </c>
      <c r="I40" s="47">
        <f>H40+'income statement '!I27</f>
        <v>302443.8270999653</v>
      </c>
    </row>
    <row r="41" spans="2:12" x14ac:dyDescent="0.2">
      <c r="B41" s="27" t="s">
        <v>39</v>
      </c>
      <c r="C41" s="76">
        <f>SUM(C38:C40)</f>
        <v>10409.77</v>
      </c>
      <c r="D41" s="76">
        <f>SUM(D38:D40)</f>
        <v>45669.2</v>
      </c>
      <c r="E41" s="46">
        <f t="shared" ref="E41:I41" si="15">SUM(E38:E40)</f>
        <v>76724.198711858931</v>
      </c>
      <c r="F41" s="46">
        <f t="shared" si="15"/>
        <v>123807.27533897417</v>
      </c>
      <c r="G41" s="46">
        <f t="shared" si="15"/>
        <v>174074.13306778175</v>
      </c>
      <c r="H41" s="46">
        <f t="shared" si="15"/>
        <v>236842.73947958928</v>
      </c>
      <c r="I41" s="46">
        <f t="shared" si="15"/>
        <v>309209.8270999653</v>
      </c>
    </row>
    <row r="42" spans="2:12" x14ac:dyDescent="0.2">
      <c r="B42" s="27"/>
      <c r="C42" s="34"/>
      <c r="D42" s="34"/>
    </row>
    <row r="43" spans="2:12" ht="3" customHeight="1" x14ac:dyDescent="0.2">
      <c r="C43" s="33"/>
      <c r="D43" s="33"/>
    </row>
    <row r="44" spans="2:12" x14ac:dyDescent="0.2">
      <c r="B44" s="10" t="s">
        <v>40</v>
      </c>
      <c r="C44" s="72">
        <f>C41+C35</f>
        <v>4230589.7699999996</v>
      </c>
      <c r="D44" s="72">
        <f t="shared" ref="D44:I44" si="16">D41+D35</f>
        <v>4550512.2</v>
      </c>
      <c r="E44" s="73">
        <f t="shared" si="16"/>
        <v>68080.022680164635</v>
      </c>
      <c r="F44" s="73">
        <f t="shared" si="16"/>
        <v>1724669.4106202123</v>
      </c>
      <c r="G44" s="73">
        <f t="shared" si="16"/>
        <v>637136.1117637814</v>
      </c>
      <c r="H44" s="73">
        <f t="shared" si="16"/>
        <v>1519931.2153807033</v>
      </c>
      <c r="I44" s="73">
        <f t="shared" si="16"/>
        <v>1368256.7026860607</v>
      </c>
    </row>
    <row r="45" spans="2:12" x14ac:dyDescent="0.2">
      <c r="C45" s="35"/>
      <c r="D45" s="35"/>
    </row>
    <row r="46" spans="2:12" x14ac:dyDescent="0.2">
      <c r="B46" s="5" t="s">
        <v>89</v>
      </c>
      <c r="C46" s="36" t="b">
        <f t="shared" ref="C46:I46" si="17">C44=C20</f>
        <v>1</v>
      </c>
      <c r="D46" s="36" t="b">
        <f t="shared" si="17"/>
        <v>1</v>
      </c>
      <c r="E46" s="36" t="b">
        <f t="shared" si="17"/>
        <v>0</v>
      </c>
      <c r="F46" s="36" t="b">
        <f t="shared" si="17"/>
        <v>0</v>
      </c>
      <c r="G46" s="36" t="b">
        <f t="shared" si="17"/>
        <v>0</v>
      </c>
      <c r="H46" s="36" t="b">
        <f t="shared" si="17"/>
        <v>0</v>
      </c>
      <c r="I46" s="36" t="b">
        <f t="shared" si="17"/>
        <v>0</v>
      </c>
    </row>
    <row r="47" spans="2:12" x14ac:dyDescent="0.2">
      <c r="C47" s="37"/>
      <c r="D47" s="37"/>
    </row>
    <row r="49" spans="2:9" x14ac:dyDescent="0.2">
      <c r="B49" s="10" t="s">
        <v>51</v>
      </c>
    </row>
    <row r="50" spans="2:9" x14ac:dyDescent="0.2">
      <c r="B50" s="5" t="s">
        <v>94</v>
      </c>
      <c r="C50" s="41">
        <f>C8/('income statement '!C5/365)</f>
        <v>0</v>
      </c>
      <c r="D50" s="41">
        <f>D8/('income statement '!D5/365)</f>
        <v>0</v>
      </c>
      <c r="E50" s="42">
        <f>AVERAGE(C50:D50)</f>
        <v>0</v>
      </c>
      <c r="F50" s="42">
        <f t="shared" ref="F50:I50" si="18">AVERAGE(D50:E50)</f>
        <v>0</v>
      </c>
      <c r="G50" s="42">
        <f t="shared" si="18"/>
        <v>0</v>
      </c>
      <c r="H50" s="42">
        <f t="shared" si="18"/>
        <v>0</v>
      </c>
      <c r="I50" s="42">
        <f t="shared" si="18"/>
        <v>0</v>
      </c>
    </row>
    <row r="51" spans="2:9" x14ac:dyDescent="0.2">
      <c r="B51" s="5" t="s">
        <v>93</v>
      </c>
      <c r="C51" s="41">
        <f>C9/('income statement '!C8/365)</f>
        <v>0</v>
      </c>
      <c r="D51" s="41">
        <f>D9/('income statement '!D8/365)</f>
        <v>0</v>
      </c>
      <c r="E51" s="42">
        <f t="shared" ref="E51:I51" si="19">AVERAGE(C51:D51)</f>
        <v>0</v>
      </c>
      <c r="F51" s="42">
        <f t="shared" si="19"/>
        <v>0</v>
      </c>
      <c r="G51" s="42">
        <f t="shared" si="19"/>
        <v>0</v>
      </c>
      <c r="H51" s="42">
        <f t="shared" si="19"/>
        <v>0</v>
      </c>
      <c r="I51" s="42">
        <f t="shared" si="19"/>
        <v>0</v>
      </c>
    </row>
    <row r="52" spans="2:9" x14ac:dyDescent="0.2">
      <c r="B52" s="5" t="s">
        <v>95</v>
      </c>
      <c r="C52" s="41">
        <f>C25/('income statement '!C8/365)</f>
        <v>3.4943029460170889</v>
      </c>
      <c r="D52" s="41">
        <f>D25/('income statement '!D8/365)</f>
        <v>3.6585126788458617</v>
      </c>
      <c r="E52" s="42">
        <f t="shared" ref="E52:I52" si="20">AVERAGE(C52:D52)</f>
        <v>3.5764078124314755</v>
      </c>
      <c r="F52" s="42">
        <f t="shared" si="20"/>
        <v>3.6174602456386689</v>
      </c>
      <c r="G52" s="42">
        <f t="shared" si="20"/>
        <v>3.5969340290350722</v>
      </c>
      <c r="H52" s="42">
        <f t="shared" si="20"/>
        <v>3.6071971373368705</v>
      </c>
      <c r="I52" s="42">
        <f t="shared" si="20"/>
        <v>3.6020655831859711</v>
      </c>
    </row>
    <row r="53" spans="2:9" x14ac:dyDescent="0.2">
      <c r="B53" t="s">
        <v>97</v>
      </c>
      <c r="C53" s="77">
        <f>C24/'income statement '!C14</f>
        <v>0</v>
      </c>
      <c r="D53" s="77">
        <f>D24/'income statement '!D14</f>
        <v>0</v>
      </c>
      <c r="E53" s="42">
        <f>AVERAGE(C53:D53)</f>
        <v>0</v>
      </c>
      <c r="F53" s="42">
        <f t="shared" ref="F53:I53" si="21">AVERAGE(D53:E53)</f>
        <v>0</v>
      </c>
      <c r="G53" s="42">
        <f t="shared" si="21"/>
        <v>0</v>
      </c>
      <c r="H53" s="42">
        <f t="shared" si="21"/>
        <v>0</v>
      </c>
      <c r="I53" s="42">
        <f t="shared" si="21"/>
        <v>0</v>
      </c>
    </row>
    <row r="54" spans="2:9" x14ac:dyDescent="0.2">
      <c r="B54" t="s">
        <v>98</v>
      </c>
      <c r="C54" s="77">
        <f>C28/'income statement '!C14</f>
        <v>631.78415807735337</v>
      </c>
      <c r="D54" s="77">
        <f>D28/'income statement '!D14</f>
        <v>-702.26828754128314</v>
      </c>
      <c r="E54" s="77">
        <f>AVERAGE(C54:D54)</f>
        <v>-35.242064731964888</v>
      </c>
      <c r="F54" s="77">
        <f t="shared" ref="F54:I54" si="22">AVERAGE(D54:E54)</f>
        <v>-368.75517613662402</v>
      </c>
      <c r="G54" s="77">
        <f t="shared" si="22"/>
        <v>-201.99862043429445</v>
      </c>
      <c r="H54" s="77">
        <f t="shared" si="22"/>
        <v>-285.37689828545922</v>
      </c>
      <c r="I54" s="77">
        <f t="shared" si="22"/>
        <v>-243.68775935987685</v>
      </c>
    </row>
    <row r="55" spans="2:9" x14ac:dyDescent="0.2">
      <c r="B55" t="s">
        <v>99</v>
      </c>
      <c r="C55" s="77" t="e">
        <f>#REF!/'income statement '!C14</f>
        <v>#REF!</v>
      </c>
      <c r="D55" s="77" t="e">
        <f>#REF!/'income statement '!D14</f>
        <v>#REF!</v>
      </c>
      <c r="E55" s="42" t="e">
        <f>AVERAGE(C55:D55)</f>
        <v>#REF!</v>
      </c>
      <c r="F55" s="42" t="e">
        <f t="shared" ref="F55:I55" si="23">AVERAGE(D55:E55)</f>
        <v>#REF!</v>
      </c>
      <c r="G55" s="42" t="e">
        <f t="shared" si="23"/>
        <v>#REF!</v>
      </c>
      <c r="H55" s="42" t="e">
        <f t="shared" si="23"/>
        <v>#REF!</v>
      </c>
      <c r="I55" s="42" t="e">
        <f t="shared" si="23"/>
        <v>#REF!</v>
      </c>
    </row>
  </sheetData>
  <mergeCells count="1">
    <mergeCell ref="B2:I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CAF4B-CC34-450D-95BB-74E73F1439DD}">
  <sheetPr>
    <tabColor rgb="FF7030A0"/>
  </sheetPr>
  <dimension ref="B2:L50"/>
  <sheetViews>
    <sheetView showGridLines="0" workbookViewId="0">
      <selection activeCell="B2" sqref="B2:I2"/>
    </sheetView>
  </sheetViews>
  <sheetFormatPr baseColWidth="10" defaultColWidth="8.83203125" defaultRowHeight="15" x14ac:dyDescent="0.2"/>
  <cols>
    <col min="1" max="1" width="1.83203125" customWidth="1"/>
    <col min="2" max="2" width="43.83203125" style="6" customWidth="1"/>
    <col min="3" max="3" width="11.83203125" style="30" bestFit="1" customWidth="1"/>
    <col min="4" max="4" width="13.1640625" style="30" customWidth="1"/>
    <col min="5" max="5" width="12.33203125" style="5" customWidth="1"/>
    <col min="6" max="6" width="11.5" style="5" bestFit="1" customWidth="1"/>
    <col min="7" max="7" width="12.5" style="5" customWidth="1"/>
    <col min="8" max="8" width="11.5" style="5" customWidth="1"/>
    <col min="9" max="9" width="11.5" style="5" bestFit="1" customWidth="1"/>
    <col min="10" max="10" width="31" customWidth="1"/>
  </cols>
  <sheetData>
    <row r="2" spans="2:12" x14ac:dyDescent="0.2">
      <c r="B2" s="108" t="s">
        <v>159</v>
      </c>
      <c r="C2" s="108"/>
      <c r="D2" s="108"/>
      <c r="E2" s="108"/>
      <c r="F2" s="108"/>
      <c r="G2" s="108"/>
      <c r="H2" s="108"/>
      <c r="I2" s="108"/>
    </row>
    <row r="3" spans="2:12" x14ac:dyDescent="0.2">
      <c r="B3" s="38"/>
      <c r="C3" s="29" t="s">
        <v>49</v>
      </c>
      <c r="D3" s="29" t="s">
        <v>49</v>
      </c>
      <c r="E3" s="9" t="s">
        <v>50</v>
      </c>
      <c r="F3" s="9" t="s">
        <v>50</v>
      </c>
      <c r="G3" s="9" t="s">
        <v>50</v>
      </c>
      <c r="H3" s="9" t="s">
        <v>50</v>
      </c>
      <c r="I3" s="9" t="s">
        <v>50</v>
      </c>
    </row>
    <row r="4" spans="2:12" x14ac:dyDescent="0.2">
      <c r="B4" s="38" t="s">
        <v>100</v>
      </c>
      <c r="C4" s="29">
        <v>2022</v>
      </c>
      <c r="D4" s="29">
        <f>C4+1</f>
        <v>2023</v>
      </c>
      <c r="E4" s="9">
        <f t="shared" ref="E4:I4" si="0">D4+1</f>
        <v>2024</v>
      </c>
      <c r="F4" s="9">
        <f t="shared" si="0"/>
        <v>2025</v>
      </c>
      <c r="G4" s="9">
        <f t="shared" si="0"/>
        <v>2026</v>
      </c>
      <c r="H4" s="9">
        <f t="shared" si="0"/>
        <v>2027</v>
      </c>
      <c r="I4" s="9">
        <f t="shared" si="0"/>
        <v>2028</v>
      </c>
    </row>
    <row r="5" spans="2:12" x14ac:dyDescent="0.2">
      <c r="B5" s="6" t="s">
        <v>52</v>
      </c>
    </row>
    <row r="6" spans="2:12" x14ac:dyDescent="0.2">
      <c r="B6" s="44" t="s">
        <v>19</v>
      </c>
      <c r="C6" s="50">
        <f>'income statement '!C27</f>
        <v>4476.4800000000705</v>
      </c>
      <c r="D6" s="50">
        <f>'income statement '!D27</f>
        <v>36862.320000000014</v>
      </c>
      <c r="E6" s="49">
        <f>'income statement '!E27</f>
        <v>30614.198711858935</v>
      </c>
      <c r="F6" s="49">
        <f>'income statement '!F27</f>
        <v>47083.076627115246</v>
      </c>
      <c r="G6" s="49">
        <f>'income statement '!G27</f>
        <v>50266.857728807568</v>
      </c>
      <c r="H6" s="49">
        <f>'income statement '!H27</f>
        <v>62768.606411807537</v>
      </c>
      <c r="I6" s="49">
        <f>'income statement '!I27</f>
        <v>72367.087620375998</v>
      </c>
    </row>
    <row r="7" spans="2:12" x14ac:dyDescent="0.2">
      <c r="B7" s="6" t="s">
        <v>20</v>
      </c>
      <c r="C7" s="50">
        <f>'income statement '!C32</f>
        <v>433.36</v>
      </c>
      <c r="D7" s="50">
        <f>'income statement '!D32</f>
        <v>464.93</v>
      </c>
      <c r="E7" s="49">
        <f>'PP&amp;E Sch'!D8</f>
        <v>560.99737642560024</v>
      </c>
      <c r="F7" s="49">
        <f>'PP&amp;E Sch'!E8</f>
        <v>671.34802585536011</v>
      </c>
      <c r="G7" s="49">
        <f>'PP&amp;E Sch'!F8</f>
        <v>806.72692653964828</v>
      </c>
      <c r="H7" s="49">
        <f>'PP&amp;E Sch'!G8</f>
        <v>967.40673453964814</v>
      </c>
      <c r="I7" s="49">
        <f>'PP&amp;E Sch'!H8</f>
        <v>1161.2874278323357</v>
      </c>
    </row>
    <row r="8" spans="2:12" x14ac:dyDescent="0.2">
      <c r="B8" s="6" t="s">
        <v>173</v>
      </c>
      <c r="C8" s="39">
        <f>'Data Sheet'!G119</f>
        <v>-7265</v>
      </c>
      <c r="D8" s="39">
        <f>'Data Sheet'!H119</f>
        <v>5955</v>
      </c>
      <c r="E8" s="78">
        <f>D8</f>
        <v>5955</v>
      </c>
      <c r="F8" s="78">
        <f t="shared" ref="F8:I8" si="1">E8</f>
        <v>5955</v>
      </c>
      <c r="G8" s="78">
        <f t="shared" si="1"/>
        <v>5955</v>
      </c>
      <c r="H8" s="78">
        <f t="shared" si="1"/>
        <v>5955</v>
      </c>
      <c r="I8" s="78">
        <f t="shared" si="1"/>
        <v>5955</v>
      </c>
    </row>
    <row r="9" spans="2:12" x14ac:dyDescent="0.2">
      <c r="B9" s="6" t="s">
        <v>174</v>
      </c>
      <c r="C9" s="39">
        <f>'Data Sheet'!G120</f>
        <v>4129</v>
      </c>
      <c r="D9" s="39">
        <f>'Data Sheet'!H120</f>
        <v>53763</v>
      </c>
      <c r="E9" s="49">
        <v>0</v>
      </c>
      <c r="F9" s="49">
        <v>0</v>
      </c>
      <c r="G9" s="49">
        <v>0</v>
      </c>
      <c r="H9" s="49">
        <v>0</v>
      </c>
      <c r="I9" s="49">
        <v>0</v>
      </c>
    </row>
    <row r="10" spans="2:12" x14ac:dyDescent="0.2">
      <c r="B10" s="44" t="s">
        <v>101</v>
      </c>
      <c r="C10" s="79">
        <f t="shared" ref="C10:I10" si="2">SUM(C6:C9)</f>
        <v>1773.8400000000702</v>
      </c>
      <c r="D10" s="79">
        <f t="shared" si="2"/>
        <v>97045.250000000015</v>
      </c>
      <c r="E10" s="80">
        <f t="shared" si="2"/>
        <v>37130.196088284531</v>
      </c>
      <c r="F10" s="80">
        <f t="shared" si="2"/>
        <v>53709.424652970607</v>
      </c>
      <c r="G10" s="80">
        <f t="shared" si="2"/>
        <v>57028.584655347215</v>
      </c>
      <c r="H10" s="80">
        <f t="shared" si="2"/>
        <v>69691.013146347192</v>
      </c>
      <c r="I10" s="80">
        <f t="shared" si="2"/>
        <v>79483.375048208327</v>
      </c>
    </row>
    <row r="11" spans="2:12" x14ac:dyDescent="0.2">
      <c r="C11" s="50"/>
      <c r="D11" s="50"/>
      <c r="E11" s="49"/>
      <c r="F11" s="49"/>
      <c r="G11" s="49"/>
      <c r="H11" s="49"/>
      <c r="I11" s="49"/>
    </row>
    <row r="12" spans="2:12" x14ac:dyDescent="0.2">
      <c r="B12" s="6" t="s">
        <v>53</v>
      </c>
      <c r="C12" s="50"/>
      <c r="D12" s="50"/>
      <c r="E12" s="49"/>
      <c r="F12" s="49"/>
      <c r="G12" s="49"/>
      <c r="H12" s="49"/>
      <c r="I12" s="49"/>
    </row>
    <row r="13" spans="2:12" x14ac:dyDescent="0.2">
      <c r="B13" s="6" t="s">
        <v>104</v>
      </c>
      <c r="C13" s="50">
        <f>'Data Sheet'!I122</f>
        <v>-428114</v>
      </c>
      <c r="D13" s="50">
        <f>'Data Sheet'!J122</f>
        <v>-543377</v>
      </c>
      <c r="E13" s="49">
        <f>-'PP&amp;E Sch'!D6</f>
        <v>-570545.85</v>
      </c>
      <c r="F13" s="49">
        <f>-'PP&amp;E Sch'!E6</f>
        <v>-599073.14249999996</v>
      </c>
      <c r="G13" s="49">
        <f>-'PP&amp;E Sch'!F6</f>
        <v>-629026.79962499999</v>
      </c>
      <c r="H13" s="49">
        <f>-'PP&amp;E Sch'!G6</f>
        <v>-660478.13960624998</v>
      </c>
      <c r="I13" s="49">
        <f>-'PP&amp;E Sch'!H6</f>
        <v>-693502.04658656253</v>
      </c>
      <c r="J13" s="25"/>
      <c r="K13" s="25"/>
      <c r="L13" s="25"/>
    </row>
    <row r="14" spans="2:12" x14ac:dyDescent="0.2">
      <c r="B14" s="6" t="s">
        <v>106</v>
      </c>
      <c r="C14" s="50">
        <f>C15-C13</f>
        <v>438491</v>
      </c>
      <c r="D14" s="50">
        <f t="shared" ref="D14" si="3">D15-D13</f>
        <v>485478</v>
      </c>
      <c r="E14" s="49">
        <f>AVERAGE(C14:D14)</f>
        <v>461984.5</v>
      </c>
      <c r="F14" s="49">
        <f t="shared" ref="F14:I14" si="4">AVERAGE(D14:E14)</f>
        <v>473731.25</v>
      </c>
      <c r="G14" s="49">
        <f t="shared" si="4"/>
        <v>467857.875</v>
      </c>
      <c r="H14" s="49">
        <f t="shared" si="4"/>
        <v>470794.5625</v>
      </c>
      <c r="I14" s="49">
        <f t="shared" si="4"/>
        <v>469326.21875</v>
      </c>
    </row>
    <row r="15" spans="2:12" x14ac:dyDescent="0.2">
      <c r="B15" s="44" t="s">
        <v>105</v>
      </c>
      <c r="C15" s="79">
        <f>'Data Sheet'!G121</f>
        <v>10377</v>
      </c>
      <c r="D15" s="79">
        <f>'Data Sheet'!H121</f>
        <v>-57899</v>
      </c>
      <c r="E15" s="80">
        <f>SUM(E13:E14)</f>
        <v>-108561.34999999998</v>
      </c>
      <c r="F15" s="80">
        <f t="shared" ref="F15:I15" si="5">SUM(F13:F14)</f>
        <v>-125341.89249999996</v>
      </c>
      <c r="G15" s="80">
        <f t="shared" si="5"/>
        <v>-161168.92462499999</v>
      </c>
      <c r="H15" s="80">
        <f t="shared" si="5"/>
        <v>-189683.57710624998</v>
      </c>
      <c r="I15" s="80">
        <f t="shared" si="5"/>
        <v>-224175.82783656253</v>
      </c>
    </row>
    <row r="16" spans="2:12" x14ac:dyDescent="0.2">
      <c r="C16" s="50"/>
      <c r="D16" s="50"/>
      <c r="E16" s="49"/>
      <c r="F16" s="49"/>
      <c r="G16" s="49"/>
      <c r="H16" s="49"/>
      <c r="I16" s="49"/>
      <c r="J16" s="25"/>
    </row>
    <row r="17" spans="2:9" x14ac:dyDescent="0.2">
      <c r="B17" s="6" t="s">
        <v>54</v>
      </c>
      <c r="C17" s="50"/>
      <c r="D17" s="50"/>
      <c r="E17" s="49"/>
      <c r="F17" s="49"/>
      <c r="G17" s="49"/>
      <c r="H17" s="49"/>
      <c r="I17" s="49"/>
    </row>
    <row r="18" spans="2:9" x14ac:dyDescent="0.2">
      <c r="B18" s="45" t="s">
        <v>102</v>
      </c>
      <c r="C18" s="50">
        <f>'Data Sheet'!G131</f>
        <v>0</v>
      </c>
      <c r="D18" s="50">
        <f>'Data Sheet'!H131</f>
        <v>-949</v>
      </c>
      <c r="E18" s="49">
        <f t="shared" ref="E18:I18" si="6">D18*(1-0.1)</f>
        <v>-854.1</v>
      </c>
      <c r="F18" s="49">
        <f t="shared" si="6"/>
        <v>-768.69</v>
      </c>
      <c r="G18" s="49">
        <f t="shared" si="6"/>
        <v>-691.82100000000003</v>
      </c>
      <c r="H18" s="49">
        <f t="shared" si="6"/>
        <v>-622.63890000000004</v>
      </c>
      <c r="I18" s="49">
        <f t="shared" si="6"/>
        <v>-560.37501000000009</v>
      </c>
    </row>
    <row r="19" spans="2:9" x14ac:dyDescent="0.2">
      <c r="B19" s="45" t="s">
        <v>103</v>
      </c>
      <c r="C19" s="50">
        <f>'Data Sheet'!G132</f>
        <v>0</v>
      </c>
      <c r="D19" s="50">
        <f>'Data Sheet'!H132</f>
        <v>0</v>
      </c>
      <c r="E19" s="49">
        <f>D19*(1.05)</f>
        <v>0</v>
      </c>
      <c r="F19" s="49">
        <f t="shared" ref="F19:I19" si="7">E19*(1.05)</f>
        <v>0</v>
      </c>
      <c r="G19" s="49">
        <f t="shared" si="7"/>
        <v>0</v>
      </c>
      <c r="H19" s="49">
        <f t="shared" si="7"/>
        <v>0</v>
      </c>
      <c r="I19" s="49">
        <f t="shared" si="7"/>
        <v>0</v>
      </c>
    </row>
    <row r="20" spans="2:9" x14ac:dyDescent="0.2">
      <c r="B20" s="44" t="s">
        <v>107</v>
      </c>
      <c r="C20" s="79">
        <f t="shared" ref="C20:I20" si="8">SUM(C18:C19)</f>
        <v>0</v>
      </c>
      <c r="D20" s="79">
        <f t="shared" si="8"/>
        <v>-949</v>
      </c>
      <c r="E20" s="81">
        <f t="shared" si="8"/>
        <v>-854.1</v>
      </c>
      <c r="F20" s="81">
        <f t="shared" si="8"/>
        <v>-768.69</v>
      </c>
      <c r="G20" s="81">
        <f t="shared" si="8"/>
        <v>-691.82100000000003</v>
      </c>
      <c r="H20" s="81">
        <f t="shared" si="8"/>
        <v>-622.63890000000004</v>
      </c>
      <c r="I20" s="81">
        <f t="shared" si="8"/>
        <v>-560.37501000000009</v>
      </c>
    </row>
    <row r="21" spans="2:9" x14ac:dyDescent="0.2">
      <c r="C21" s="50"/>
      <c r="D21" s="50"/>
      <c r="E21" s="49"/>
      <c r="F21" s="49"/>
      <c r="G21" s="49"/>
      <c r="H21" s="49"/>
      <c r="I21" s="49"/>
    </row>
    <row r="22" spans="2:9" x14ac:dyDescent="0.2">
      <c r="B22" s="45" t="s">
        <v>55</v>
      </c>
      <c r="C22" s="50">
        <f t="shared" ref="C22:I22" si="9">C10+C15+C20</f>
        <v>12150.840000000069</v>
      </c>
      <c r="D22" s="50">
        <f t="shared" si="9"/>
        <v>38197.250000000015</v>
      </c>
      <c r="E22" s="49">
        <f t="shared" si="9"/>
        <v>-72285.253911715452</v>
      </c>
      <c r="F22" s="49">
        <f t="shared" si="9"/>
        <v>-72401.157847029361</v>
      </c>
      <c r="G22" s="49">
        <f t="shared" si="9"/>
        <v>-104832.16096965276</v>
      </c>
      <c r="H22" s="49">
        <f t="shared" si="9"/>
        <v>-120615.2028599028</v>
      </c>
      <c r="I22" s="49">
        <f t="shared" si="9"/>
        <v>-145252.82779835418</v>
      </c>
    </row>
    <row r="23" spans="2:9" x14ac:dyDescent="0.2">
      <c r="B23" s="45" t="s">
        <v>108</v>
      </c>
      <c r="C23" s="50"/>
      <c r="D23" s="49">
        <f t="shared" ref="D23" si="10">C24</f>
        <v>36178</v>
      </c>
      <c r="E23" s="49">
        <f>D24</f>
        <v>68664</v>
      </c>
      <c r="F23" s="49">
        <f t="shared" ref="F23:I23" si="11">E24</f>
        <v>-3621.253911715452</v>
      </c>
      <c r="G23" s="49">
        <f t="shared" si="11"/>
        <v>-76022.411758744813</v>
      </c>
      <c r="H23" s="49">
        <f t="shared" si="11"/>
        <v>-180854.57272839756</v>
      </c>
      <c r="I23" s="49">
        <f t="shared" si="11"/>
        <v>-301469.77558830037</v>
      </c>
    </row>
    <row r="24" spans="2:9" x14ac:dyDescent="0.2">
      <c r="B24" s="45" t="s">
        <v>109</v>
      </c>
      <c r="C24" s="79">
        <v>36178</v>
      </c>
      <c r="D24" s="79">
        <v>68664</v>
      </c>
      <c r="E24" s="80">
        <f>SUM(E22:E23)</f>
        <v>-3621.253911715452</v>
      </c>
      <c r="F24" s="80">
        <f t="shared" ref="F24:I24" si="12">SUM(F22:F23)</f>
        <v>-76022.411758744813</v>
      </c>
      <c r="G24" s="80">
        <f t="shared" si="12"/>
        <v>-180854.57272839756</v>
      </c>
      <c r="H24" s="80">
        <f t="shared" si="12"/>
        <v>-301469.77558830037</v>
      </c>
      <c r="I24" s="80">
        <f t="shared" si="12"/>
        <v>-446722.60338665452</v>
      </c>
    </row>
    <row r="25" spans="2:9" x14ac:dyDescent="0.2">
      <c r="B25"/>
      <c r="C25"/>
      <c r="D25"/>
      <c r="E25"/>
      <c r="F25"/>
      <c r="G25"/>
      <c r="H25"/>
      <c r="I25"/>
    </row>
    <row r="26" spans="2:9" x14ac:dyDescent="0.2">
      <c r="B26"/>
      <c r="C26"/>
      <c r="D26"/>
      <c r="E26"/>
      <c r="F26"/>
      <c r="G26"/>
      <c r="H26"/>
      <c r="I26"/>
    </row>
    <row r="27" spans="2:9" x14ac:dyDescent="0.2">
      <c r="B27"/>
      <c r="C27"/>
      <c r="D27"/>
      <c r="E27"/>
      <c r="F27"/>
      <c r="G27"/>
      <c r="H27"/>
      <c r="I27"/>
    </row>
    <row r="28" spans="2:9" x14ac:dyDescent="0.2">
      <c r="B28"/>
      <c r="C28"/>
      <c r="D28"/>
      <c r="E28"/>
      <c r="F28"/>
      <c r="G28"/>
      <c r="H28"/>
      <c r="I28"/>
    </row>
    <row r="29" spans="2:9" x14ac:dyDescent="0.2">
      <c r="B29"/>
      <c r="C29"/>
      <c r="D29"/>
      <c r="E29"/>
      <c r="F29"/>
      <c r="G29"/>
      <c r="H29"/>
      <c r="I29"/>
    </row>
    <row r="30" spans="2:9" x14ac:dyDescent="0.2">
      <c r="B30"/>
      <c r="C30"/>
      <c r="D30"/>
      <c r="E30"/>
      <c r="F30"/>
      <c r="G30"/>
      <c r="H30"/>
      <c r="I30"/>
    </row>
    <row r="31" spans="2:9" x14ac:dyDescent="0.2">
      <c r="B31"/>
      <c r="C31"/>
      <c r="D31"/>
      <c r="E31"/>
      <c r="F31"/>
      <c r="G31"/>
      <c r="H31"/>
      <c r="I31"/>
    </row>
    <row r="32" spans="2:9" x14ac:dyDescent="0.2">
      <c r="B32"/>
      <c r="C32"/>
      <c r="D32"/>
      <c r="E32"/>
      <c r="F32"/>
      <c r="G32"/>
      <c r="H32"/>
      <c r="I32"/>
    </row>
    <row r="33" customFormat="1" x14ac:dyDescent="0.2"/>
    <row r="34" customFormat="1" x14ac:dyDescent="0.2"/>
    <row r="35" customFormat="1" x14ac:dyDescent="0.2"/>
    <row r="36" customFormat="1" x14ac:dyDescent="0.2"/>
    <row r="37" customFormat="1" x14ac:dyDescent="0.2"/>
    <row r="38" customFormat="1" x14ac:dyDescent="0.2"/>
    <row r="39" customFormat="1" x14ac:dyDescent="0.2"/>
    <row r="40" customFormat="1" x14ac:dyDescent="0.2"/>
    <row r="41" customFormat="1" x14ac:dyDescent="0.2"/>
    <row r="42" customFormat="1" x14ac:dyDescent="0.2"/>
    <row r="43" customFormat="1" x14ac:dyDescent="0.2"/>
    <row r="44" customFormat="1" x14ac:dyDescent="0.2"/>
    <row r="45" customFormat="1" x14ac:dyDescent="0.2"/>
    <row r="46" customFormat="1" x14ac:dyDescent="0.2"/>
    <row r="47" customFormat="1" x14ac:dyDescent="0.2"/>
    <row r="48" customFormat="1" x14ac:dyDescent="0.2"/>
    <row r="49" customFormat="1" x14ac:dyDescent="0.2"/>
    <row r="50" customFormat="1" x14ac:dyDescent="0.2"/>
  </sheetData>
  <mergeCells count="1">
    <mergeCell ref="B2:I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33BE7-591B-4504-9E27-0A191B3586A2}">
  <sheetPr>
    <tabColor rgb="FFFFC000"/>
  </sheetPr>
  <dimension ref="A1:I23"/>
  <sheetViews>
    <sheetView showGridLines="0" topLeftCell="B1" workbookViewId="0">
      <selection activeCell="G14" sqref="G14"/>
    </sheetView>
  </sheetViews>
  <sheetFormatPr baseColWidth="10" defaultColWidth="8.83203125" defaultRowHeight="15" x14ac:dyDescent="0.2"/>
  <cols>
    <col min="1" max="1" width="45.6640625" style="6" customWidth="1"/>
    <col min="2" max="3" width="13.6640625" style="5" bestFit="1" customWidth="1"/>
    <col min="4" max="4" width="11.33203125" style="5" customWidth="1"/>
    <col min="5" max="5" width="11.1640625" style="5" customWidth="1"/>
    <col min="6" max="6" width="11.6640625" style="5" bestFit="1" customWidth="1"/>
    <col min="7" max="7" width="12" style="5" customWidth="1"/>
    <col min="8" max="8" width="11.6640625" style="5" bestFit="1" customWidth="1"/>
    <col min="9" max="9" width="101.6640625" style="5" bestFit="1" customWidth="1"/>
  </cols>
  <sheetData>
    <row r="1" spans="1:8" x14ac:dyDescent="0.2">
      <c r="A1" s="4"/>
      <c r="B1"/>
      <c r="C1"/>
      <c r="D1"/>
      <c r="E1"/>
      <c r="F1"/>
      <c r="G1"/>
      <c r="H1"/>
    </row>
    <row r="2" spans="1:8" x14ac:dyDescent="0.2">
      <c r="A2" s="4"/>
      <c r="B2"/>
      <c r="C2"/>
      <c r="D2"/>
      <c r="E2"/>
      <c r="F2"/>
      <c r="G2"/>
      <c r="H2"/>
    </row>
    <row r="3" spans="1:8" x14ac:dyDescent="0.2">
      <c r="A3" s="108" t="s">
        <v>159</v>
      </c>
      <c r="B3" s="108"/>
      <c r="C3" s="108"/>
      <c r="D3" s="108"/>
      <c r="E3" s="108"/>
      <c r="F3" s="108"/>
      <c r="G3" s="108"/>
      <c r="H3" s="108"/>
    </row>
    <row r="4" spans="1:8" x14ac:dyDescent="0.2">
      <c r="A4" s="38"/>
      <c r="B4" s="9" t="s">
        <v>49</v>
      </c>
      <c r="C4" s="9" t="s">
        <v>49</v>
      </c>
      <c r="D4" s="9" t="s">
        <v>50</v>
      </c>
      <c r="E4" s="9" t="s">
        <v>50</v>
      </c>
      <c r="F4" s="9" t="s">
        <v>50</v>
      </c>
      <c r="G4" s="9" t="s">
        <v>50</v>
      </c>
      <c r="H4" s="9" t="s">
        <v>50</v>
      </c>
    </row>
    <row r="5" spans="1:8" x14ac:dyDescent="0.2">
      <c r="A5" s="38" t="s">
        <v>110</v>
      </c>
      <c r="B5" s="9">
        <v>2022</v>
      </c>
      <c r="C5" s="9">
        <f>B5+1</f>
        <v>2023</v>
      </c>
      <c r="D5" s="9">
        <f t="shared" ref="D5:H5" si="0">C5+1</f>
        <v>2024</v>
      </c>
      <c r="E5" s="9">
        <f t="shared" si="0"/>
        <v>2025</v>
      </c>
      <c r="F5" s="9">
        <f t="shared" si="0"/>
        <v>2026</v>
      </c>
      <c r="G5" s="9">
        <f t="shared" si="0"/>
        <v>2027</v>
      </c>
      <c r="H5" s="9">
        <f t="shared" si="0"/>
        <v>2028</v>
      </c>
    </row>
    <row r="6" spans="1:8" x14ac:dyDescent="0.2">
      <c r="A6" s="6" t="s">
        <v>56</v>
      </c>
      <c r="B6"/>
      <c r="C6" s="52"/>
      <c r="D6" s="52">
        <f>'Cash Flow Statement '!E23</f>
        <v>68664</v>
      </c>
      <c r="E6" s="52">
        <f>D10</f>
        <v>-1621.2539117154461</v>
      </c>
      <c r="F6" s="52">
        <f t="shared" ref="F6:H6" si="1">E10</f>
        <v>-72022.411758744813</v>
      </c>
      <c r="G6" s="52">
        <f t="shared" si="1"/>
        <v>-174854.57272839756</v>
      </c>
      <c r="H6" s="52">
        <f t="shared" si="1"/>
        <v>-293469.77558830037</v>
      </c>
    </row>
    <row r="7" spans="1:8" x14ac:dyDescent="0.2">
      <c r="A7" s="6" t="s">
        <v>57</v>
      </c>
      <c r="B7"/>
      <c r="C7"/>
      <c r="D7" s="52">
        <f>'Cash Flow Statement '!E10+'Cash Flow Statement '!E15</f>
        <v>-71431.153911715446</v>
      </c>
      <c r="E7" s="52">
        <f>'Cash Flow Statement '!F10+'Cash Flow Statement '!F15</f>
        <v>-71632.467847029358</v>
      </c>
      <c r="F7" s="52">
        <f>'Cash Flow Statement '!G10+'Cash Flow Statement '!G15</f>
        <v>-104140.33996965276</v>
      </c>
      <c r="G7" s="52">
        <f>'Cash Flow Statement '!H10+'Cash Flow Statement '!H15</f>
        <v>-119992.56395990279</v>
      </c>
      <c r="H7" s="52">
        <f>'Cash Flow Statement '!I10+'Cash Flow Statement '!I15</f>
        <v>-144692.45278835419</v>
      </c>
    </row>
    <row r="8" spans="1:8" x14ac:dyDescent="0.2">
      <c r="A8" s="6" t="s">
        <v>58</v>
      </c>
      <c r="B8"/>
      <c r="C8"/>
      <c r="D8" s="52">
        <f>'Cash Flow Statement '!E20</f>
        <v>-854.1</v>
      </c>
      <c r="E8" s="52">
        <f>'Cash Flow Statement '!F20</f>
        <v>-768.69</v>
      </c>
      <c r="F8" s="52">
        <f>'Cash Flow Statement '!G20</f>
        <v>-691.82100000000003</v>
      </c>
      <c r="G8" s="52">
        <f>'Cash Flow Statement '!H20</f>
        <v>-622.63890000000004</v>
      </c>
      <c r="H8" s="52">
        <f>'Cash Flow Statement '!I20</f>
        <v>-560.37501000000009</v>
      </c>
    </row>
    <row r="9" spans="1:8" x14ac:dyDescent="0.2">
      <c r="A9" s="6" t="s">
        <v>59</v>
      </c>
      <c r="B9"/>
      <c r="C9"/>
      <c r="D9" s="21">
        <v>2000</v>
      </c>
      <c r="E9" s="21">
        <v>2000</v>
      </c>
      <c r="F9" s="21">
        <v>2000</v>
      </c>
      <c r="G9" s="21">
        <v>2000</v>
      </c>
      <c r="H9" s="21">
        <v>2000</v>
      </c>
    </row>
    <row r="10" spans="1:8" x14ac:dyDescent="0.2">
      <c r="A10" s="6" t="s">
        <v>60</v>
      </c>
      <c r="B10"/>
      <c r="C10"/>
      <c r="D10" s="52">
        <f>SUM(D6:D9)</f>
        <v>-1621.2539117154461</v>
      </c>
      <c r="E10" s="52">
        <f t="shared" ref="E10:H10" si="2">SUM(E6:E9)</f>
        <v>-72022.411758744813</v>
      </c>
      <c r="F10" s="52">
        <f t="shared" si="2"/>
        <v>-174854.57272839756</v>
      </c>
      <c r="G10" s="52">
        <f t="shared" si="2"/>
        <v>-293469.77558830037</v>
      </c>
      <c r="H10" s="52">
        <f t="shared" si="2"/>
        <v>-436722.60338665458</v>
      </c>
    </row>
    <row r="11" spans="1:8" x14ac:dyDescent="0.2">
      <c r="A11" s="6" t="s">
        <v>34</v>
      </c>
      <c r="B11"/>
      <c r="C11"/>
      <c r="D11" s="53">
        <v>0</v>
      </c>
      <c r="E11" s="53">
        <v>0</v>
      </c>
      <c r="F11" s="53">
        <v>0</v>
      </c>
      <c r="G11" s="53">
        <v>0</v>
      </c>
      <c r="H11" s="53">
        <v>0</v>
      </c>
    </row>
    <row r="12" spans="1:8" x14ac:dyDescent="0.2">
      <c r="A12" s="6" t="s">
        <v>34</v>
      </c>
      <c r="B12"/>
      <c r="C12"/>
      <c r="D12" s="53">
        <v>0</v>
      </c>
      <c r="E12" s="53">
        <v>0</v>
      </c>
      <c r="F12" s="53">
        <v>0</v>
      </c>
      <c r="G12" s="53">
        <v>0</v>
      </c>
      <c r="H12" s="53">
        <v>0</v>
      </c>
    </row>
    <row r="13" spans="1:8" x14ac:dyDescent="0.2">
      <c r="B13" s="51"/>
      <c r="C13"/>
      <c r="D13"/>
      <c r="E13"/>
      <c r="F13"/>
      <c r="G13"/>
      <c r="H13"/>
    </row>
    <row r="14" spans="1:8" x14ac:dyDescent="0.2">
      <c r="A14" s="6" t="s">
        <v>61</v>
      </c>
      <c r="B14"/>
      <c r="C14"/>
      <c r="D14"/>
      <c r="E14"/>
      <c r="F14"/>
      <c r="G14"/>
      <c r="H14"/>
    </row>
    <row r="15" spans="1:8" x14ac:dyDescent="0.2">
      <c r="A15" s="6" t="s">
        <v>36</v>
      </c>
      <c r="B15" s="43">
        <f>'balances sheet'!C32</f>
        <v>0</v>
      </c>
      <c r="C15" s="43">
        <f>'balances sheet'!D32</f>
        <v>0</v>
      </c>
      <c r="D15" s="43">
        <f>C15-C16</f>
        <v>0</v>
      </c>
      <c r="E15" s="43">
        <f t="shared" ref="E15:H15" si="3">D15-D16</f>
        <v>0</v>
      </c>
      <c r="F15" s="43">
        <f t="shared" si="3"/>
        <v>0</v>
      </c>
      <c r="G15" s="43">
        <f t="shared" si="3"/>
        <v>0</v>
      </c>
      <c r="H15" s="43">
        <f t="shared" si="3"/>
        <v>0</v>
      </c>
    </row>
    <row r="16" spans="1:8" x14ac:dyDescent="0.2">
      <c r="A16" s="6" t="s">
        <v>62</v>
      </c>
      <c r="B16" s="43"/>
      <c r="C16" s="43">
        <f>B15*10%</f>
        <v>0</v>
      </c>
      <c r="D16" s="43">
        <f t="shared" ref="D16:H16" si="4">C15*10%</f>
        <v>0</v>
      </c>
      <c r="E16" s="43">
        <f t="shared" si="4"/>
        <v>0</v>
      </c>
      <c r="F16" s="43">
        <f t="shared" si="4"/>
        <v>0</v>
      </c>
      <c r="G16" s="43">
        <f t="shared" si="4"/>
        <v>0</v>
      </c>
      <c r="H16" s="43">
        <f t="shared" si="4"/>
        <v>0</v>
      </c>
    </row>
    <row r="17" spans="1:8" x14ac:dyDescent="0.2">
      <c r="A17" s="6" t="s">
        <v>16</v>
      </c>
      <c r="B17"/>
      <c r="C17"/>
      <c r="D17"/>
      <c r="E17"/>
      <c r="F17"/>
      <c r="G17"/>
      <c r="H17"/>
    </row>
    <row r="18" spans="1:8" x14ac:dyDescent="0.2">
      <c r="A18" s="6" t="s">
        <v>63</v>
      </c>
      <c r="B18"/>
      <c r="C18"/>
      <c r="D18" s="54">
        <v>0.08</v>
      </c>
      <c r="E18" s="54">
        <v>0.08</v>
      </c>
      <c r="F18" s="54">
        <v>0.08</v>
      </c>
      <c r="G18" s="54">
        <v>0.08</v>
      </c>
      <c r="H18" s="54">
        <v>0.08</v>
      </c>
    </row>
    <row r="19" spans="1:8" x14ac:dyDescent="0.2">
      <c r="A19" s="6" t="s">
        <v>64</v>
      </c>
      <c r="B19"/>
      <c r="C19"/>
      <c r="D19" s="54">
        <v>0.05</v>
      </c>
      <c r="E19" s="54">
        <v>0.05</v>
      </c>
      <c r="F19" s="54">
        <v>0.05</v>
      </c>
      <c r="G19" s="54">
        <v>0.05</v>
      </c>
      <c r="H19" s="54">
        <v>0.05</v>
      </c>
    </row>
    <row r="20" spans="1:8" x14ac:dyDescent="0.2">
      <c r="B20"/>
      <c r="C20"/>
      <c r="D20"/>
      <c r="E20"/>
      <c r="F20"/>
      <c r="G20"/>
      <c r="H20"/>
    </row>
    <row r="21" spans="1:8" x14ac:dyDescent="0.2">
      <c r="A21" s="6" t="s">
        <v>66</v>
      </c>
      <c r="B21"/>
      <c r="C21"/>
      <c r="D21" s="53">
        <v>0</v>
      </c>
      <c r="E21" s="53">
        <v>0</v>
      </c>
      <c r="F21" s="53">
        <v>0</v>
      </c>
      <c r="G21" s="53">
        <v>0</v>
      </c>
      <c r="H21" s="53">
        <v>0</v>
      </c>
    </row>
    <row r="22" spans="1:8" x14ac:dyDescent="0.2">
      <c r="A22" s="6" t="s">
        <v>65</v>
      </c>
      <c r="B22"/>
      <c r="C22"/>
      <c r="D22" s="43">
        <f>AVERAGE(C15:C16,D15:D16)*D18</f>
        <v>0</v>
      </c>
      <c r="E22" s="43">
        <f t="shared" ref="E22:H22" si="5">AVERAGE(D15:D16,E15:E16)*E18</f>
        <v>0</v>
      </c>
      <c r="F22" s="43">
        <f t="shared" si="5"/>
        <v>0</v>
      </c>
      <c r="G22" s="43">
        <f t="shared" si="5"/>
        <v>0</v>
      </c>
      <c r="H22" s="43">
        <f t="shared" si="5"/>
        <v>0</v>
      </c>
    </row>
    <row r="23" spans="1:8" ht="16" thickBot="1" x14ac:dyDescent="0.25">
      <c r="A23" s="44" t="s">
        <v>67</v>
      </c>
      <c r="B23" s="1"/>
      <c r="C23" s="1"/>
      <c r="D23" s="55">
        <f>D22</f>
        <v>0</v>
      </c>
      <c r="E23" s="55">
        <f t="shared" ref="E23:H23" si="6">E22</f>
        <v>0</v>
      </c>
      <c r="F23" s="55">
        <f t="shared" si="6"/>
        <v>0</v>
      </c>
      <c r="G23" s="55">
        <f t="shared" si="6"/>
        <v>0</v>
      </c>
      <c r="H23" s="55">
        <f t="shared" si="6"/>
        <v>0</v>
      </c>
    </row>
  </sheetData>
  <mergeCells count="1">
    <mergeCell ref="A3:H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891C1-5623-4BA8-9044-3EF5666600D6}">
  <sheetPr>
    <tabColor rgb="FFFFC000"/>
  </sheetPr>
  <dimension ref="A1:H11"/>
  <sheetViews>
    <sheetView showGridLines="0" topLeftCell="B1" workbookViewId="0">
      <selection activeCell="I1" sqref="I1:I1048576"/>
    </sheetView>
  </sheetViews>
  <sheetFormatPr baseColWidth="10" defaultColWidth="8.83203125" defaultRowHeight="15" x14ac:dyDescent="0.2"/>
  <cols>
    <col min="1" max="1" width="33.33203125" style="5" bestFit="1" customWidth="1"/>
    <col min="2" max="2" width="13.1640625" style="5" customWidth="1"/>
    <col min="3" max="3" width="12.6640625" style="5" customWidth="1"/>
    <col min="4" max="8" width="12.33203125" style="5" bestFit="1" customWidth="1"/>
    <col min="9" max="9" width="93.1640625" bestFit="1" customWidth="1"/>
  </cols>
  <sheetData>
    <row r="1" spans="1:8" x14ac:dyDescent="0.2">
      <c r="A1" s="108" t="s">
        <v>159</v>
      </c>
      <c r="B1" s="108"/>
      <c r="C1" s="108"/>
      <c r="D1" s="108"/>
      <c r="E1" s="108"/>
      <c r="F1" s="108"/>
      <c r="G1" s="108"/>
      <c r="H1" s="108"/>
    </row>
    <row r="2" spans="1:8" x14ac:dyDescent="0.2">
      <c r="A2" s="38"/>
      <c r="B2" s="9" t="s">
        <v>49</v>
      </c>
      <c r="C2" s="9" t="s">
        <v>49</v>
      </c>
      <c r="D2" s="9" t="s">
        <v>50</v>
      </c>
      <c r="E2" s="9" t="s">
        <v>50</v>
      </c>
      <c r="F2" s="9" t="s">
        <v>50</v>
      </c>
      <c r="G2" s="9" t="s">
        <v>50</v>
      </c>
      <c r="H2" s="9" t="s">
        <v>50</v>
      </c>
    </row>
    <row r="3" spans="1:8" x14ac:dyDescent="0.2">
      <c r="A3" s="38" t="s">
        <v>110</v>
      </c>
      <c r="B3" s="9">
        <v>2022</v>
      </c>
      <c r="C3" s="9">
        <f>B3+1</f>
        <v>2023</v>
      </c>
      <c r="D3" s="9">
        <f t="shared" ref="D3:H3" si="0">C3+1</f>
        <v>2024</v>
      </c>
      <c r="E3" s="9">
        <f t="shared" si="0"/>
        <v>2025</v>
      </c>
      <c r="F3" s="9">
        <f t="shared" si="0"/>
        <v>2026</v>
      </c>
      <c r="G3" s="9">
        <f t="shared" si="0"/>
        <v>2027</v>
      </c>
      <c r="H3" s="9">
        <f t="shared" si="0"/>
        <v>2028</v>
      </c>
    </row>
    <row r="4" spans="1:8" x14ac:dyDescent="0.2">
      <c r="A4" s="56" t="s">
        <v>68</v>
      </c>
      <c r="B4" s="52"/>
      <c r="C4" s="52"/>
    </row>
    <row r="5" spans="1:8" x14ac:dyDescent="0.2">
      <c r="A5" s="6" t="s">
        <v>69</v>
      </c>
      <c r="B5" s="52"/>
      <c r="C5" s="52"/>
      <c r="D5" s="52">
        <f>'balances sheet'!D14</f>
        <v>20445.849999999999</v>
      </c>
      <c r="E5" s="52">
        <f>D11</f>
        <v>591552.69737642561</v>
      </c>
      <c r="F5" s="52">
        <f>E11</f>
        <v>1191297.1879022808</v>
      </c>
      <c r="G5" s="52">
        <f>F11</f>
        <v>1821130.7144538204</v>
      </c>
      <c r="H5" s="52">
        <f>G11</f>
        <v>2482576.2607946103</v>
      </c>
    </row>
    <row r="6" spans="1:8" x14ac:dyDescent="0.2">
      <c r="A6" s="5" t="s">
        <v>70</v>
      </c>
      <c r="B6" s="52">
        <f>-'Cash Flow Statement '!C13</f>
        <v>428114</v>
      </c>
      <c r="C6" s="52">
        <f>-'Cash Flow Statement '!D13</f>
        <v>543377</v>
      </c>
      <c r="D6" s="52">
        <f>C6*1.05</f>
        <v>570545.85</v>
      </c>
      <c r="E6" s="52">
        <f t="shared" ref="E6:H6" si="1">D6*1.05</f>
        <v>599073.14249999996</v>
      </c>
      <c r="F6" s="52">
        <f t="shared" si="1"/>
        <v>629026.79962499999</v>
      </c>
      <c r="G6" s="52">
        <f t="shared" si="1"/>
        <v>660478.13960624998</v>
      </c>
      <c r="H6" s="52">
        <f t="shared" si="1"/>
        <v>693502.04658656253</v>
      </c>
    </row>
    <row r="7" spans="1:8" x14ac:dyDescent="0.2">
      <c r="B7" s="52"/>
      <c r="C7" s="52"/>
      <c r="D7" s="52"/>
      <c r="E7" s="52"/>
      <c r="F7" s="52"/>
      <c r="G7" s="52"/>
      <c r="H7" s="52"/>
    </row>
    <row r="8" spans="1:8" x14ac:dyDescent="0.2">
      <c r="A8" s="5" t="s">
        <v>71</v>
      </c>
      <c r="B8" s="52">
        <f>'income statement '!C32</f>
        <v>433.36</v>
      </c>
      <c r="C8" s="52">
        <f>'income statement '!D32</f>
        <v>464.93</v>
      </c>
      <c r="D8" s="52">
        <f>'income statement '!E5*'PP&amp;E Sch'!D9</f>
        <v>560.99737642560024</v>
      </c>
      <c r="E8" s="52">
        <f>'income statement '!F5*'PP&amp;E Sch'!E9</f>
        <v>671.34802585536011</v>
      </c>
      <c r="F8" s="52">
        <f>'income statement '!G5*'PP&amp;E Sch'!F9</f>
        <v>806.72692653964828</v>
      </c>
      <c r="G8" s="52">
        <f>'income statement '!H5*'PP&amp;E Sch'!G9</f>
        <v>967.40673453964814</v>
      </c>
      <c r="H8" s="52">
        <f>'income statement '!I5*'PP&amp;E Sch'!H9</f>
        <v>1161.2874278323357</v>
      </c>
    </row>
    <row r="9" spans="1:8" x14ac:dyDescent="0.2">
      <c r="A9" s="24" t="s">
        <v>72</v>
      </c>
      <c r="B9" s="52">
        <f>'income statement '!C32/'income statement '!C5</f>
        <v>6.0145877068550242E-4</v>
      </c>
      <c r="C9" s="52">
        <f>'income statement '!D32/'income statement '!D5</f>
        <v>5.9488762838456292E-4</v>
      </c>
      <c r="D9" s="52">
        <f>AVERAGE(B9:C9)</f>
        <v>5.9817319953503261E-4</v>
      </c>
      <c r="E9" s="52">
        <f t="shared" ref="E9:H9" si="2">AVERAGE(C9:D9)</f>
        <v>5.9653041395979771E-4</v>
      </c>
      <c r="F9" s="52">
        <f t="shared" si="2"/>
        <v>5.9735180674741516E-4</v>
      </c>
      <c r="G9" s="52">
        <f t="shared" si="2"/>
        <v>5.9694111035360638E-4</v>
      </c>
      <c r="H9" s="52">
        <f t="shared" si="2"/>
        <v>5.9714645855051072E-4</v>
      </c>
    </row>
    <row r="10" spans="1:8" x14ac:dyDescent="0.2">
      <c r="B10" s="52"/>
      <c r="C10" s="52"/>
      <c r="D10" s="52"/>
      <c r="E10" s="52"/>
      <c r="F10" s="52"/>
      <c r="G10" s="52"/>
      <c r="H10" s="52"/>
    </row>
    <row r="11" spans="1:8" ht="16" thickBot="1" x14ac:dyDescent="0.25">
      <c r="A11" s="10" t="s">
        <v>73</v>
      </c>
      <c r="B11" s="52"/>
      <c r="C11" s="52"/>
      <c r="D11" s="57">
        <f>SUM(D5:D8)</f>
        <v>591552.69737642561</v>
      </c>
      <c r="E11" s="57">
        <f>SUM(E5:E8)</f>
        <v>1191297.1879022808</v>
      </c>
      <c r="F11" s="57">
        <f>SUM(F5:F8)</f>
        <v>1821130.7144538204</v>
      </c>
      <c r="G11" s="57">
        <f>SUM(G5:G8)</f>
        <v>2482576.2607946103</v>
      </c>
      <c r="H11" s="57">
        <f>SUM(H5:H8)</f>
        <v>3177239.594809005</v>
      </c>
    </row>
  </sheetData>
  <mergeCells count="1">
    <mergeCell ref="A1:H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0C587-052B-4A24-BD66-5F90663EAA30}">
  <sheetPr>
    <tabColor rgb="FFFF0000"/>
  </sheetPr>
  <dimension ref="A1:L133"/>
  <sheetViews>
    <sheetView workbookViewId="0">
      <pane xSplit="1" ySplit="1" topLeftCell="C2" activePane="bottomRight" state="frozen"/>
      <selection activeCell="C4" sqref="C4"/>
      <selection pane="topRight" activeCell="C4" sqref="C4"/>
      <selection pane="bottomLeft" activeCell="C4" sqref="C4"/>
      <selection pane="bottomRight" activeCell="E142" sqref="E142"/>
    </sheetView>
  </sheetViews>
  <sheetFormatPr baseColWidth="10" defaultColWidth="10.5" defaultRowHeight="13" x14ac:dyDescent="0.15"/>
  <cols>
    <col min="1" max="1" width="26.6640625" style="25" bestFit="1" customWidth="1"/>
    <col min="2" max="8" width="11.5" style="25" bestFit="1" customWidth="1"/>
    <col min="9" max="10" width="11.83203125" style="25" bestFit="1" customWidth="1"/>
    <col min="11" max="11" width="11.5" style="25" bestFit="1" customWidth="1"/>
    <col min="12" max="16384" width="10.5" style="25"/>
  </cols>
  <sheetData>
    <row r="1" spans="1:11" s="83" customFormat="1" x14ac:dyDescent="0.15">
      <c r="A1" s="83" t="s">
        <v>160</v>
      </c>
      <c r="B1" s="83" t="s">
        <v>159</v>
      </c>
      <c r="E1" s="109" t="str">
        <f>IF(B2&lt;&gt;B3, "A NEW VERSION OF THE WORKSHEET IS AVAILABLE", "")</f>
        <v/>
      </c>
      <c r="F1" s="109"/>
      <c r="G1" s="109"/>
      <c r="H1" s="109"/>
      <c r="I1" s="109"/>
      <c r="J1" s="109"/>
      <c r="K1" s="109"/>
    </row>
    <row r="2" spans="1:11" x14ac:dyDescent="0.15">
      <c r="A2" s="83" t="s">
        <v>158</v>
      </c>
      <c r="B2" s="25">
        <v>2.1</v>
      </c>
      <c r="E2" s="110" t="s">
        <v>157</v>
      </c>
      <c r="F2" s="110"/>
      <c r="G2" s="110"/>
      <c r="H2" s="110"/>
      <c r="I2" s="110"/>
      <c r="J2" s="110"/>
      <c r="K2" s="110"/>
    </row>
    <row r="3" spans="1:11" x14ac:dyDescent="0.15">
      <c r="A3" s="83" t="s">
        <v>156</v>
      </c>
      <c r="B3" s="25">
        <v>2.1</v>
      </c>
    </row>
    <row r="4" spans="1:11" x14ac:dyDescent="0.15">
      <c r="A4" s="83"/>
    </row>
    <row r="5" spans="1:11" x14ac:dyDescent="0.15">
      <c r="A5" s="83" t="s">
        <v>155</v>
      </c>
    </row>
    <row r="6" spans="1:11" x14ac:dyDescent="0.15">
      <c r="A6" s="25" t="s">
        <v>154</v>
      </c>
      <c r="B6" s="25">
        <f>IF(B9&gt;0, B9/B8, 0)</f>
        <v>632.4997738180615</v>
      </c>
    </row>
    <row r="7" spans="1:11" x14ac:dyDescent="0.15">
      <c r="A7" s="25" t="s">
        <v>153</v>
      </c>
      <c r="B7" s="84">
        <v>10</v>
      </c>
    </row>
    <row r="8" spans="1:11" x14ac:dyDescent="0.15">
      <c r="A8" s="25" t="s">
        <v>152</v>
      </c>
      <c r="B8" s="84">
        <v>906.35</v>
      </c>
    </row>
    <row r="9" spans="1:11" x14ac:dyDescent="0.15">
      <c r="A9" s="25" t="s">
        <v>151</v>
      </c>
      <c r="B9" s="84">
        <v>573266.17000000004</v>
      </c>
    </row>
    <row r="15" spans="1:11" x14ac:dyDescent="0.15">
      <c r="A15" s="83" t="s">
        <v>150</v>
      </c>
      <c r="B15" s="25">
        <f>B26+B34</f>
        <v>0</v>
      </c>
      <c r="K15" s="25">
        <f>K17-K18-K20-K21-K22-K23-K19</f>
        <v>20737.240000000042</v>
      </c>
    </row>
    <row r="16" spans="1:11" s="85" customFormat="1" x14ac:dyDescent="0.15">
      <c r="A16" s="87" t="s">
        <v>117</v>
      </c>
      <c r="B16" s="86">
        <v>41364</v>
      </c>
      <c r="C16" s="86">
        <v>41729</v>
      </c>
      <c r="D16" s="86">
        <v>42094</v>
      </c>
      <c r="E16" s="86">
        <v>42825</v>
      </c>
      <c r="F16" s="86">
        <v>43190</v>
      </c>
      <c r="G16" s="86">
        <v>43555</v>
      </c>
      <c r="H16" s="86">
        <v>43921</v>
      </c>
      <c r="I16" s="86">
        <v>44286</v>
      </c>
      <c r="J16" s="86">
        <v>44651</v>
      </c>
      <c r="K16" s="86">
        <v>45016</v>
      </c>
    </row>
    <row r="17" spans="1:11" x14ac:dyDescent="0.15">
      <c r="A17" s="25" t="s">
        <v>139</v>
      </c>
      <c r="B17" s="84"/>
      <c r="C17" s="84"/>
      <c r="D17" s="84"/>
      <c r="E17" s="84">
        <v>492067.82</v>
      </c>
      <c r="F17" s="84">
        <v>522847.98</v>
      </c>
      <c r="G17" s="84">
        <v>559986.43999999994</v>
      </c>
      <c r="H17" s="84">
        <v>615920.26</v>
      </c>
      <c r="I17" s="84">
        <v>681605.49</v>
      </c>
      <c r="J17" s="84">
        <v>720514.89</v>
      </c>
      <c r="K17" s="84">
        <v>781542.56</v>
      </c>
    </row>
    <row r="18" spans="1:11" ht="15" x14ac:dyDescent="0.2">
      <c r="A18" s="25" t="s">
        <v>149</v>
      </c>
      <c r="B18" s="90"/>
      <c r="C18" s="90"/>
      <c r="D18" s="90"/>
      <c r="E18" s="90"/>
      <c r="F18" s="90"/>
      <c r="G18" s="90"/>
      <c r="H18" s="90"/>
      <c r="I18" s="90"/>
      <c r="J18" s="90"/>
      <c r="K18" s="90"/>
    </row>
    <row r="19" spans="1:11" ht="15" x14ac:dyDescent="0.2">
      <c r="A19" s="25" t="s">
        <v>148</v>
      </c>
      <c r="B19" s="90"/>
      <c r="C19" s="90"/>
      <c r="D19" s="90"/>
      <c r="E19" s="90"/>
      <c r="F19" s="90"/>
      <c r="G19" s="90"/>
      <c r="H19" s="90"/>
      <c r="I19" s="90"/>
      <c r="J19" s="90"/>
      <c r="K19" s="90"/>
    </row>
    <row r="20" spans="1:11" x14ac:dyDescent="0.15">
      <c r="A20" s="25" t="s">
        <v>147</v>
      </c>
      <c r="B20" s="84"/>
      <c r="C20" s="84"/>
      <c r="D20" s="84"/>
      <c r="E20" s="84">
        <v>258.08999999999997</v>
      </c>
      <c r="F20" s="84">
        <v>252.85</v>
      </c>
      <c r="G20" s="84">
        <v>251.51</v>
      </c>
      <c r="H20" s="84">
        <v>249.84</v>
      </c>
      <c r="I20" s="84"/>
      <c r="J20" s="84"/>
      <c r="K20" s="84"/>
    </row>
    <row r="21" spans="1:11" x14ac:dyDescent="0.15">
      <c r="A21" s="25" t="s">
        <v>146</v>
      </c>
      <c r="B21" s="84"/>
      <c r="C21" s="84"/>
      <c r="D21" s="84"/>
      <c r="E21" s="84">
        <v>433914.22</v>
      </c>
      <c r="F21" s="84">
        <v>458899.15</v>
      </c>
      <c r="G21" s="84">
        <v>494892.14</v>
      </c>
      <c r="H21" s="84">
        <v>540730.06000000006</v>
      </c>
      <c r="I21" s="84">
        <v>631246.26</v>
      </c>
      <c r="J21" s="84">
        <v>671945.36</v>
      </c>
      <c r="K21" s="84">
        <v>713348.89</v>
      </c>
    </row>
    <row r="22" spans="1:11" x14ac:dyDescent="0.15">
      <c r="A22" s="25" t="s">
        <v>145</v>
      </c>
      <c r="B22" s="84"/>
      <c r="C22" s="84"/>
      <c r="D22" s="84"/>
      <c r="E22" s="84">
        <v>20629.37</v>
      </c>
      <c r="F22" s="84">
        <v>21081.98</v>
      </c>
      <c r="G22" s="84">
        <v>19871.88</v>
      </c>
      <c r="H22" s="84">
        <v>25089.77</v>
      </c>
      <c r="I22" s="84">
        <v>26755.18</v>
      </c>
      <c r="J22" s="84">
        <v>30310.58</v>
      </c>
      <c r="K22" s="84">
        <v>40093.9</v>
      </c>
    </row>
    <row r="23" spans="1:11" x14ac:dyDescent="0.15">
      <c r="A23" s="25" t="s">
        <v>144</v>
      </c>
      <c r="B23" s="84"/>
      <c r="C23" s="84"/>
      <c r="D23" s="84"/>
      <c r="E23" s="84">
        <v>23841.439999999999</v>
      </c>
      <c r="F23" s="84">
        <v>26219.3</v>
      </c>
      <c r="G23" s="84">
        <v>27421.97</v>
      </c>
      <c r="H23" s="84">
        <v>32106.31</v>
      </c>
      <c r="I23" s="84">
        <v>7537.44</v>
      </c>
      <c r="J23" s="84">
        <v>7401.23</v>
      </c>
      <c r="K23" s="84">
        <v>7362.53</v>
      </c>
    </row>
    <row r="24" spans="1:11" x14ac:dyDescent="0.15">
      <c r="A24" s="25" t="s">
        <v>143</v>
      </c>
      <c r="B24" s="84"/>
      <c r="C24" s="84"/>
      <c r="D24" s="84"/>
      <c r="E24" s="84">
        <v>5085.34</v>
      </c>
      <c r="F24" s="84">
        <v>6965.83</v>
      </c>
      <c r="G24" s="84">
        <v>7592.15</v>
      </c>
      <c r="H24" s="84">
        <v>10464.6</v>
      </c>
      <c r="I24" s="84">
        <v>5382.58</v>
      </c>
      <c r="J24" s="84">
        <v>-732.09</v>
      </c>
      <c r="K24" s="84">
        <v>-13766.48</v>
      </c>
    </row>
    <row r="25" spans="1:11" x14ac:dyDescent="0.15">
      <c r="A25" s="25" t="s">
        <v>137</v>
      </c>
      <c r="B25" s="84"/>
      <c r="C25" s="84"/>
      <c r="D25" s="84"/>
      <c r="E25" s="84">
        <v>607</v>
      </c>
      <c r="F25" s="84">
        <v>801.13</v>
      </c>
      <c r="G25" s="84">
        <v>841.26</v>
      </c>
      <c r="H25" s="84">
        <v>2697.74</v>
      </c>
      <c r="I25" s="84">
        <v>623.4</v>
      </c>
      <c r="J25" s="84">
        <v>788.9</v>
      </c>
      <c r="K25" s="84">
        <v>7660.84</v>
      </c>
    </row>
    <row r="26" spans="1:11" x14ac:dyDescent="0.15">
      <c r="A26" s="25" t="s">
        <v>136</v>
      </c>
      <c r="B26" s="84"/>
      <c r="C26" s="84"/>
      <c r="D26" s="84"/>
      <c r="E26" s="84">
        <v>326.01</v>
      </c>
      <c r="F26" s="84">
        <v>301.83999999999997</v>
      </c>
      <c r="G26" s="84">
        <v>333.49</v>
      </c>
      <c r="H26" s="84">
        <v>375.21</v>
      </c>
      <c r="I26" s="84">
        <v>412.9</v>
      </c>
      <c r="J26" s="84">
        <v>433.36</v>
      </c>
      <c r="K26" s="84">
        <v>464.93</v>
      </c>
    </row>
    <row r="27" spans="1:11" ht="15" x14ac:dyDescent="0.2">
      <c r="A27" s="25" t="s">
        <v>135</v>
      </c>
      <c r="B27" s="84"/>
      <c r="C27" s="84"/>
      <c r="D27" s="84"/>
      <c r="E27" s="84">
        <v>47.02</v>
      </c>
      <c r="F27" s="84">
        <v>46.02</v>
      </c>
      <c r="G27" s="84">
        <v>39.229999999999997</v>
      </c>
      <c r="H27" s="84">
        <v>57.53</v>
      </c>
      <c r="I27" s="84"/>
      <c r="J27" s="90"/>
      <c r="K27" s="90"/>
    </row>
    <row r="28" spans="1:11" x14ac:dyDescent="0.15">
      <c r="A28" s="25" t="s">
        <v>134</v>
      </c>
      <c r="B28" s="84"/>
      <c r="C28" s="84"/>
      <c r="D28" s="84"/>
      <c r="E28" s="84">
        <v>8573.33</v>
      </c>
      <c r="F28" s="84">
        <v>9882.14</v>
      </c>
      <c r="G28" s="84">
        <v>10425.33</v>
      </c>
      <c r="H28" s="84">
        <v>9544.68</v>
      </c>
      <c r="I28" s="84">
        <v>10894.53</v>
      </c>
      <c r="J28" s="84">
        <v>11945.35</v>
      </c>
      <c r="K28" s="84">
        <v>41699.629999999997</v>
      </c>
    </row>
    <row r="29" spans="1:11" x14ac:dyDescent="0.15">
      <c r="A29" s="25" t="s">
        <v>133</v>
      </c>
      <c r="B29" s="84"/>
      <c r="C29" s="84"/>
      <c r="D29" s="84"/>
      <c r="E29" s="84">
        <v>6341.59</v>
      </c>
      <c r="F29" s="84">
        <v>7435.74</v>
      </c>
      <c r="G29" s="84">
        <v>7736.82</v>
      </c>
      <c r="H29" s="84">
        <v>6831.97</v>
      </c>
      <c r="I29" s="84">
        <v>7993.97</v>
      </c>
      <c r="J29" s="84">
        <v>7902.23</v>
      </c>
      <c r="K29" s="84">
        <v>5302.24</v>
      </c>
    </row>
    <row r="30" spans="1:11" x14ac:dyDescent="0.15">
      <c r="A30" s="25" t="s">
        <v>132</v>
      </c>
      <c r="B30" s="84"/>
      <c r="C30" s="84"/>
      <c r="D30" s="84"/>
      <c r="E30" s="84">
        <v>2231.7399999999998</v>
      </c>
      <c r="F30" s="84">
        <v>2446.41</v>
      </c>
      <c r="G30" s="84">
        <v>2688.5</v>
      </c>
      <c r="H30" s="84">
        <v>2712.71</v>
      </c>
      <c r="I30" s="84">
        <v>2900.57</v>
      </c>
      <c r="J30" s="84">
        <v>4043.12</v>
      </c>
      <c r="K30" s="84">
        <v>36397.39</v>
      </c>
    </row>
    <row r="31" spans="1:11" x14ac:dyDescent="0.15">
      <c r="A31" s="25" t="s">
        <v>142</v>
      </c>
      <c r="B31" s="84"/>
      <c r="C31" s="84"/>
      <c r="D31" s="84"/>
      <c r="E31" s="84"/>
      <c r="F31" s="84"/>
      <c r="G31" s="84">
        <v>42</v>
      </c>
      <c r="H31" s="84">
        <v>42.7</v>
      </c>
      <c r="I31" s="84"/>
      <c r="J31" s="84">
        <v>948.75</v>
      </c>
      <c r="K31" s="84">
        <v>1897.5</v>
      </c>
    </row>
    <row r="32" spans="1:11" x14ac:dyDescent="0.15">
      <c r="A32" s="25" t="s">
        <v>141</v>
      </c>
      <c r="B32" s="91" t="e">
        <f t="shared" ref="B32:K32" si="0">B29/B28</f>
        <v>#DIV/0!</v>
      </c>
      <c r="C32" s="91" t="e">
        <f t="shared" si="0"/>
        <v>#DIV/0!</v>
      </c>
      <c r="D32" s="91" t="e">
        <f t="shared" si="0"/>
        <v>#DIV/0!</v>
      </c>
      <c r="E32" s="91">
        <f t="shared" si="0"/>
        <v>0.73968807919443202</v>
      </c>
      <c r="F32" s="91">
        <f t="shared" si="0"/>
        <v>0.75244228476827901</v>
      </c>
      <c r="G32" s="91">
        <f t="shared" si="0"/>
        <v>0.74211751570453888</v>
      </c>
      <c r="H32" s="91">
        <f t="shared" si="0"/>
        <v>0.71578827158165592</v>
      </c>
      <c r="I32" s="91">
        <f t="shared" si="0"/>
        <v>0.73375996945256017</v>
      </c>
      <c r="J32" s="91">
        <f t="shared" si="0"/>
        <v>0.66153189316344851</v>
      </c>
      <c r="K32" s="91">
        <f t="shared" si="0"/>
        <v>0.1271531665868498</v>
      </c>
    </row>
    <row r="34" spans="1:11" x14ac:dyDescent="0.15">
      <c r="A34" s="25" t="s">
        <v>21</v>
      </c>
      <c r="B34" s="25">
        <f t="shared" ref="B34:K34" si="1">+B30+B29+B27+B26</f>
        <v>0</v>
      </c>
      <c r="C34" s="25">
        <f t="shared" si="1"/>
        <v>0</v>
      </c>
      <c r="D34" s="25">
        <f t="shared" si="1"/>
        <v>0</v>
      </c>
      <c r="E34" s="25">
        <f t="shared" si="1"/>
        <v>8946.36</v>
      </c>
      <c r="F34" s="25">
        <f t="shared" si="1"/>
        <v>10230.01</v>
      </c>
      <c r="G34" s="25">
        <f t="shared" si="1"/>
        <v>10798.039999999999</v>
      </c>
      <c r="H34" s="25">
        <f t="shared" si="1"/>
        <v>9977.42</v>
      </c>
      <c r="I34" s="25">
        <f t="shared" si="1"/>
        <v>11307.44</v>
      </c>
      <c r="J34" s="25">
        <f t="shared" si="1"/>
        <v>12378.71</v>
      </c>
      <c r="K34" s="25">
        <f t="shared" si="1"/>
        <v>42164.56</v>
      </c>
    </row>
    <row r="40" spans="1:11" x14ac:dyDescent="0.15">
      <c r="A40" s="83" t="s">
        <v>140</v>
      </c>
    </row>
    <row r="41" spans="1:11" s="85" customFormat="1" x14ac:dyDescent="0.15">
      <c r="A41" s="87" t="s">
        <v>117</v>
      </c>
      <c r="B41" s="86">
        <v>44469</v>
      </c>
      <c r="C41" s="86">
        <v>44561</v>
      </c>
      <c r="D41" s="86">
        <v>44651</v>
      </c>
      <c r="E41" s="86">
        <v>44742</v>
      </c>
      <c r="F41" s="86">
        <v>44834</v>
      </c>
      <c r="G41" s="86">
        <v>44926</v>
      </c>
      <c r="H41" s="86">
        <v>45016</v>
      </c>
      <c r="I41" s="86">
        <v>45107</v>
      </c>
      <c r="J41" s="86">
        <v>45199</v>
      </c>
      <c r="K41" s="86">
        <v>45291</v>
      </c>
    </row>
    <row r="42" spans="1:11" x14ac:dyDescent="0.15">
      <c r="A42" s="25" t="s">
        <v>139</v>
      </c>
      <c r="B42" s="84">
        <v>180905.14</v>
      </c>
      <c r="C42" s="84">
        <v>174269.67</v>
      </c>
      <c r="D42" s="84">
        <v>211325.72</v>
      </c>
      <c r="E42" s="84">
        <v>168070.58</v>
      </c>
      <c r="F42" s="84">
        <v>216355.18</v>
      </c>
      <c r="G42" s="84">
        <v>196957.97</v>
      </c>
      <c r="H42" s="84">
        <v>200178.83</v>
      </c>
      <c r="I42" s="84">
        <v>189300.06</v>
      </c>
      <c r="J42" s="84">
        <v>202220.67</v>
      </c>
      <c r="K42" s="84">
        <v>213344.78</v>
      </c>
    </row>
    <row r="43" spans="1:11" x14ac:dyDescent="0.15">
      <c r="A43" s="25" t="s">
        <v>138</v>
      </c>
      <c r="B43" s="84">
        <v>181695.78</v>
      </c>
      <c r="C43" s="84">
        <v>171232.75</v>
      </c>
      <c r="D43" s="84">
        <v>209220.14</v>
      </c>
      <c r="E43" s="84">
        <v>166921.60999999999</v>
      </c>
      <c r="F43" s="84">
        <v>285093.78999999998</v>
      </c>
      <c r="G43" s="84">
        <v>193351.4</v>
      </c>
      <c r="H43" s="84">
        <v>186381.36</v>
      </c>
      <c r="I43" s="84">
        <v>178434.51</v>
      </c>
      <c r="J43" s="84">
        <v>193379.11</v>
      </c>
      <c r="K43" s="84">
        <v>202680.8</v>
      </c>
    </row>
    <row r="44" spans="1:11" x14ac:dyDescent="0.15">
      <c r="A44" s="25" t="s">
        <v>137</v>
      </c>
      <c r="B44" s="84">
        <v>5411.45</v>
      </c>
      <c r="C44" s="84">
        <v>391.91</v>
      </c>
      <c r="D44" s="84">
        <v>207.66</v>
      </c>
      <c r="E44" s="84">
        <v>959.33</v>
      </c>
      <c r="F44" s="84">
        <v>90114.2</v>
      </c>
      <c r="G44" s="84">
        <v>234.06</v>
      </c>
      <c r="H44" s="84">
        <v>577.64</v>
      </c>
      <c r="I44" s="84">
        <v>77.02</v>
      </c>
      <c r="J44" s="84">
        <v>248.39</v>
      </c>
      <c r="K44" s="84">
        <v>163.21</v>
      </c>
    </row>
    <row r="45" spans="1:11" x14ac:dyDescent="0.15">
      <c r="A45" s="25" t="s">
        <v>136</v>
      </c>
      <c r="B45" s="84"/>
      <c r="C45" s="84"/>
      <c r="D45" s="84"/>
      <c r="E45" s="84"/>
      <c r="F45" s="84"/>
      <c r="G45" s="84"/>
      <c r="H45" s="84"/>
      <c r="I45" s="84"/>
      <c r="J45" s="84"/>
      <c r="K45" s="84"/>
    </row>
    <row r="46" spans="1:11" ht="15" x14ac:dyDescent="0.2">
      <c r="A46" s="25" t="s">
        <v>135</v>
      </c>
      <c r="B46" s="90"/>
      <c r="C46" s="90"/>
      <c r="D46" s="90"/>
      <c r="E46" s="90"/>
      <c r="F46" s="90"/>
      <c r="G46" s="90"/>
      <c r="H46" s="90"/>
      <c r="I46" s="90"/>
      <c r="J46" s="90"/>
      <c r="K46" s="90"/>
    </row>
    <row r="47" spans="1:11" x14ac:dyDescent="0.15">
      <c r="A47" s="25" t="s">
        <v>134</v>
      </c>
      <c r="B47" s="84">
        <v>4620.8100000000004</v>
      </c>
      <c r="C47" s="84">
        <v>3428.83</v>
      </c>
      <c r="D47" s="84">
        <v>2313.2399999999998</v>
      </c>
      <c r="E47" s="84">
        <v>2108.3000000000002</v>
      </c>
      <c r="F47" s="84">
        <v>21375.59</v>
      </c>
      <c r="G47" s="84">
        <v>3840.63</v>
      </c>
      <c r="H47" s="84">
        <v>14375.11</v>
      </c>
      <c r="I47" s="84">
        <v>10942.57</v>
      </c>
      <c r="J47" s="84">
        <v>9089.9500000000007</v>
      </c>
      <c r="K47" s="84">
        <v>10827.19</v>
      </c>
    </row>
    <row r="48" spans="1:11" x14ac:dyDescent="0.15">
      <c r="A48" s="25" t="s">
        <v>133</v>
      </c>
      <c r="B48" s="84">
        <v>3187.1</v>
      </c>
      <c r="C48" s="84">
        <v>3193.92</v>
      </c>
      <c r="D48" s="84">
        <v>-58.32</v>
      </c>
      <c r="E48" s="84">
        <v>1425.41</v>
      </c>
      <c r="F48" s="84">
        <v>5423.1</v>
      </c>
      <c r="G48" s="84">
        <v>-2493.5700000000002</v>
      </c>
      <c r="H48" s="84">
        <v>947.3</v>
      </c>
      <c r="I48" s="84">
        <v>1398.86</v>
      </c>
      <c r="J48" s="84">
        <v>1164.93</v>
      </c>
      <c r="K48" s="84">
        <v>1382.78</v>
      </c>
    </row>
    <row r="49" spans="1:11" x14ac:dyDescent="0.15">
      <c r="A49" s="25" t="s">
        <v>132</v>
      </c>
      <c r="B49" s="84">
        <v>1433.71</v>
      </c>
      <c r="C49" s="84">
        <v>234.91</v>
      </c>
      <c r="D49" s="84">
        <v>2371.5500000000002</v>
      </c>
      <c r="E49" s="84">
        <v>682.89</v>
      </c>
      <c r="F49" s="84">
        <v>15952.49</v>
      </c>
      <c r="G49" s="84">
        <v>6334.2</v>
      </c>
      <c r="H49" s="84">
        <v>13427.81</v>
      </c>
      <c r="I49" s="84">
        <v>9543.7099999999991</v>
      </c>
      <c r="J49" s="84">
        <v>7925.02</v>
      </c>
      <c r="K49" s="84">
        <v>9444.42</v>
      </c>
    </row>
    <row r="50" spans="1:11" x14ac:dyDescent="0.15">
      <c r="A50" s="25" t="s">
        <v>131</v>
      </c>
      <c r="B50" s="84">
        <v>-790.64</v>
      </c>
      <c r="C50" s="84">
        <v>3036.92</v>
      </c>
      <c r="D50" s="84">
        <v>2105.58</v>
      </c>
      <c r="E50" s="84">
        <v>1148.97</v>
      </c>
      <c r="F50" s="84">
        <v>-68738.61</v>
      </c>
      <c r="G50" s="84">
        <v>3606.57</v>
      </c>
      <c r="H50" s="84">
        <v>13797.47</v>
      </c>
      <c r="I50" s="84">
        <v>10865.55</v>
      </c>
      <c r="J50" s="84">
        <v>8841.56</v>
      </c>
      <c r="K50" s="84">
        <v>10663.98</v>
      </c>
    </row>
    <row r="51" spans="1:11" x14ac:dyDescent="0.15">
      <c r="A51" s="25" t="s">
        <v>21</v>
      </c>
      <c r="B51" s="25">
        <f t="shared" ref="B51:K51" si="2">B49+B48+B46+B45</f>
        <v>4620.8099999999995</v>
      </c>
      <c r="C51" s="25">
        <f t="shared" si="2"/>
        <v>3428.83</v>
      </c>
      <c r="D51" s="25">
        <f t="shared" si="2"/>
        <v>2313.23</v>
      </c>
      <c r="E51" s="25">
        <f t="shared" si="2"/>
        <v>2108.3000000000002</v>
      </c>
      <c r="F51" s="25">
        <f t="shared" si="2"/>
        <v>21375.59</v>
      </c>
      <c r="G51" s="25">
        <f t="shared" si="2"/>
        <v>3840.6299999999997</v>
      </c>
      <c r="H51" s="25">
        <f t="shared" si="2"/>
        <v>14375.109999999999</v>
      </c>
      <c r="I51" s="25">
        <f t="shared" si="2"/>
        <v>10942.57</v>
      </c>
      <c r="J51" s="25">
        <f t="shared" si="2"/>
        <v>9089.9500000000007</v>
      </c>
      <c r="K51" s="25">
        <f t="shared" si="2"/>
        <v>10827.2</v>
      </c>
    </row>
    <row r="55" spans="1:11" x14ac:dyDescent="0.15">
      <c r="A55" s="83" t="s">
        <v>130</v>
      </c>
    </row>
    <row r="56" spans="1:11" s="85" customFormat="1" x14ac:dyDescent="0.15">
      <c r="A56" s="87" t="s">
        <v>117</v>
      </c>
      <c r="B56" s="86">
        <v>41364</v>
      </c>
      <c r="C56" s="86">
        <v>41729</v>
      </c>
      <c r="D56" s="86">
        <v>42094</v>
      </c>
      <c r="E56" s="86">
        <v>42825</v>
      </c>
      <c r="F56" s="86">
        <v>43190</v>
      </c>
      <c r="G56" s="86">
        <v>43555</v>
      </c>
      <c r="H56" s="86">
        <v>43921</v>
      </c>
      <c r="I56" s="86">
        <v>44286</v>
      </c>
      <c r="J56" s="86">
        <v>44651</v>
      </c>
      <c r="K56" s="86">
        <v>45016</v>
      </c>
    </row>
    <row r="57" spans="1:11" x14ac:dyDescent="0.15">
      <c r="A57" s="25" t="s">
        <v>129</v>
      </c>
      <c r="B57" s="84"/>
      <c r="C57" s="84"/>
      <c r="D57" s="84"/>
      <c r="E57" s="84">
        <v>100</v>
      </c>
      <c r="F57" s="84">
        <v>100</v>
      </c>
      <c r="G57" s="84">
        <v>100</v>
      </c>
      <c r="H57" s="84">
        <v>100</v>
      </c>
      <c r="I57" s="84">
        <v>100</v>
      </c>
      <c r="J57" s="84">
        <v>6325</v>
      </c>
      <c r="K57" s="84">
        <v>6325</v>
      </c>
    </row>
    <row r="58" spans="1:11" x14ac:dyDescent="0.15">
      <c r="A58" s="25" t="s">
        <v>128</v>
      </c>
      <c r="B58" s="84"/>
      <c r="C58" s="84"/>
      <c r="D58" s="84"/>
      <c r="E58" s="84">
        <v>506.45</v>
      </c>
      <c r="F58" s="84">
        <v>550.37</v>
      </c>
      <c r="G58" s="84">
        <v>578.67999999999995</v>
      </c>
      <c r="H58" s="84">
        <v>639.53</v>
      </c>
      <c r="I58" s="84">
        <v>6260.69</v>
      </c>
      <c r="J58" s="84">
        <v>4084.14</v>
      </c>
      <c r="K58" s="84">
        <v>39344.400000000001</v>
      </c>
    </row>
    <row r="59" spans="1:11" ht="15" x14ac:dyDescent="0.2">
      <c r="A59" s="25" t="s">
        <v>127</v>
      </c>
      <c r="B59" s="90"/>
      <c r="C59" s="90"/>
      <c r="D59" s="90"/>
      <c r="E59" s="90"/>
      <c r="F59" s="90"/>
      <c r="G59" s="90"/>
      <c r="H59" s="90"/>
      <c r="I59" s="90"/>
      <c r="J59" s="90"/>
      <c r="K59" s="90"/>
    </row>
    <row r="60" spans="1:11" x14ac:dyDescent="0.15">
      <c r="A60" s="25" t="s">
        <v>126</v>
      </c>
      <c r="B60" s="84"/>
      <c r="C60" s="84"/>
      <c r="D60" s="84"/>
      <c r="E60" s="84">
        <v>2571339.4700000002</v>
      </c>
      <c r="F60" s="84">
        <v>2844339.12</v>
      </c>
      <c r="G60" s="84">
        <v>3111131.93</v>
      </c>
      <c r="H60" s="84">
        <v>3202760.48</v>
      </c>
      <c r="I60" s="84">
        <v>3805394.98</v>
      </c>
      <c r="J60" s="84">
        <v>4220180.63</v>
      </c>
      <c r="K60" s="84">
        <v>4504842.8</v>
      </c>
    </row>
    <row r="61" spans="1:11" s="83" customFormat="1" x14ac:dyDescent="0.15">
      <c r="A61" s="83" t="s">
        <v>124</v>
      </c>
      <c r="B61" s="84"/>
      <c r="C61" s="84"/>
      <c r="D61" s="84"/>
      <c r="E61" s="84">
        <v>2571945.92</v>
      </c>
      <c r="F61" s="84">
        <v>2844989.49</v>
      </c>
      <c r="G61" s="84">
        <v>3111810.61</v>
      </c>
      <c r="H61" s="84">
        <v>3203500.01</v>
      </c>
      <c r="I61" s="84">
        <v>3811755.67</v>
      </c>
      <c r="J61" s="84">
        <v>4230589.7699999996</v>
      </c>
      <c r="K61" s="84">
        <v>4550512.2</v>
      </c>
    </row>
    <row r="62" spans="1:11" x14ac:dyDescent="0.15">
      <c r="A62" s="25" t="s">
        <v>125</v>
      </c>
      <c r="B62" s="84"/>
      <c r="C62" s="84"/>
      <c r="D62" s="84"/>
      <c r="E62" s="84">
        <v>2403.36</v>
      </c>
      <c r="F62" s="84">
        <v>2574.1</v>
      </c>
      <c r="G62" s="84">
        <v>2642.51</v>
      </c>
      <c r="H62" s="84">
        <v>17138.060000000001</v>
      </c>
      <c r="I62" s="84">
        <v>17693.34</v>
      </c>
      <c r="J62" s="84">
        <v>17743.849999999999</v>
      </c>
      <c r="K62" s="84">
        <v>20445.849999999999</v>
      </c>
    </row>
    <row r="63" spans="1:11" x14ac:dyDescent="0.15">
      <c r="A63" s="25" t="s">
        <v>77</v>
      </c>
      <c r="B63" s="84"/>
      <c r="C63" s="84"/>
      <c r="D63" s="84"/>
      <c r="E63" s="84">
        <v>182.43</v>
      </c>
      <c r="F63" s="84">
        <v>174.76</v>
      </c>
      <c r="G63" s="84">
        <v>241.49</v>
      </c>
      <c r="H63" s="84">
        <v>246.35</v>
      </c>
      <c r="I63" s="84">
        <v>148.06</v>
      </c>
      <c r="J63" s="84">
        <v>198.49</v>
      </c>
      <c r="K63" s="84">
        <v>331.06</v>
      </c>
    </row>
    <row r="64" spans="1:11" ht="15" x14ac:dyDescent="0.2">
      <c r="A64" s="25" t="s">
        <v>78</v>
      </c>
      <c r="B64" s="84"/>
      <c r="C64" s="90"/>
      <c r="D64" s="84"/>
      <c r="E64" s="84">
        <v>2335630.73</v>
      </c>
      <c r="F64" s="84">
        <v>2604268.9500000002</v>
      </c>
      <c r="G64" s="84">
        <v>2829867.45</v>
      </c>
      <c r="H64" s="84">
        <v>2906127.72</v>
      </c>
      <c r="I64" s="84">
        <v>3506929.92</v>
      </c>
      <c r="J64" s="84">
        <v>3911653.96</v>
      </c>
      <c r="K64" s="84">
        <v>4227893.54</v>
      </c>
    </row>
    <row r="65" spans="1:11" x14ac:dyDescent="0.15">
      <c r="A65" s="25" t="s">
        <v>79</v>
      </c>
      <c r="B65" s="84"/>
      <c r="C65" s="84"/>
      <c r="D65" s="84"/>
      <c r="E65" s="84">
        <v>233729.4</v>
      </c>
      <c r="F65" s="84">
        <v>237971.68</v>
      </c>
      <c r="G65" s="84">
        <v>279059.15999999997</v>
      </c>
      <c r="H65" s="84">
        <v>279987.88</v>
      </c>
      <c r="I65" s="84">
        <v>286984.34999999998</v>
      </c>
      <c r="J65" s="84">
        <v>300993.46999999997</v>
      </c>
      <c r="K65" s="84">
        <v>301841.75</v>
      </c>
    </row>
    <row r="66" spans="1:11" s="83" customFormat="1" x14ac:dyDescent="0.15">
      <c r="A66" s="83" t="s">
        <v>124</v>
      </c>
      <c r="B66" s="84"/>
      <c r="C66" s="84"/>
      <c r="D66" s="84"/>
      <c r="E66" s="84">
        <v>2571945.92</v>
      </c>
      <c r="F66" s="84">
        <v>2844989.49</v>
      </c>
      <c r="G66" s="84">
        <v>3111810.61</v>
      </c>
      <c r="H66" s="84">
        <v>3203500.01</v>
      </c>
      <c r="I66" s="84">
        <v>3811755.67</v>
      </c>
      <c r="J66" s="84">
        <v>4230589.7699999996</v>
      </c>
      <c r="K66" s="84">
        <v>4550512.2</v>
      </c>
    </row>
    <row r="67" spans="1:11" x14ac:dyDescent="0.15">
      <c r="A67" s="25" t="s">
        <v>123</v>
      </c>
      <c r="B67" s="84"/>
      <c r="C67" s="84"/>
      <c r="D67" s="84"/>
      <c r="E67" s="84"/>
      <c r="F67" s="84"/>
      <c r="G67" s="84"/>
      <c r="H67" s="84"/>
      <c r="I67" s="84"/>
      <c r="J67" s="84"/>
      <c r="K67" s="84"/>
    </row>
    <row r="68" spans="1:11" ht="15" x14ac:dyDescent="0.2">
      <c r="A68" s="25" t="s">
        <v>31</v>
      </c>
      <c r="B68" s="90"/>
      <c r="C68" s="90"/>
      <c r="D68" s="90"/>
      <c r="E68" s="90"/>
      <c r="F68" s="90"/>
      <c r="G68" s="90"/>
      <c r="H68" s="90"/>
      <c r="I68" s="90"/>
      <c r="J68" s="90"/>
      <c r="K68" s="90"/>
    </row>
    <row r="69" spans="1:11" x14ac:dyDescent="0.15">
      <c r="A69" s="25" t="s">
        <v>122</v>
      </c>
      <c r="B69" s="84"/>
      <c r="C69" s="84"/>
      <c r="D69" s="84"/>
      <c r="E69" s="84">
        <v>32729.17</v>
      </c>
      <c r="F69" s="84">
        <v>22680.53</v>
      </c>
      <c r="G69" s="84">
        <v>42178.13</v>
      </c>
      <c r="H69" s="84">
        <v>28581.23</v>
      </c>
      <c r="I69" s="84">
        <v>30293.25</v>
      </c>
      <c r="J69" s="84">
        <v>37432.14</v>
      </c>
      <c r="K69" s="84">
        <v>38353.46</v>
      </c>
    </row>
    <row r="70" spans="1:11" x14ac:dyDescent="0.15">
      <c r="A70" s="25" t="s">
        <v>121</v>
      </c>
      <c r="B70" s="84"/>
      <c r="C70" s="84"/>
      <c r="D70" s="84"/>
      <c r="E70" s="84">
        <v>1000000000</v>
      </c>
      <c r="F70" s="84">
        <v>1000000000</v>
      </c>
      <c r="G70" s="84">
        <v>1000000000</v>
      </c>
      <c r="H70" s="84">
        <v>100000000</v>
      </c>
      <c r="I70" s="84">
        <v>100000000</v>
      </c>
      <c r="J70" s="84">
        <v>6324997701</v>
      </c>
      <c r="K70" s="84">
        <v>6324997701</v>
      </c>
    </row>
    <row r="71" spans="1:11" ht="15" x14ac:dyDescent="0.2">
      <c r="A71" s="25" t="s">
        <v>120</v>
      </c>
      <c r="B71" s="89"/>
      <c r="C71" s="89"/>
      <c r="G71" s="89"/>
      <c r="H71" s="89"/>
      <c r="J71" s="88">
        <v>6224997701</v>
      </c>
    </row>
    <row r="72" spans="1:11" x14ac:dyDescent="0.15">
      <c r="A72" s="25" t="s">
        <v>119</v>
      </c>
      <c r="B72" s="84"/>
      <c r="C72" s="84"/>
      <c r="D72" s="84"/>
      <c r="E72" s="84">
        <v>1</v>
      </c>
      <c r="F72" s="84">
        <v>1</v>
      </c>
      <c r="G72" s="84">
        <v>10</v>
      </c>
      <c r="H72" s="84">
        <v>10</v>
      </c>
      <c r="I72" s="84">
        <v>10</v>
      </c>
      <c r="J72" s="84">
        <v>10</v>
      </c>
      <c r="K72" s="84">
        <v>10</v>
      </c>
    </row>
    <row r="73" spans="1:11" x14ac:dyDescent="0.15">
      <c r="H73" s="25">
        <f>H62-G62+H45</f>
        <v>14495.550000000001</v>
      </c>
      <c r="I73" s="25">
        <f>I62-H62+I45</f>
        <v>555.27999999999884</v>
      </c>
      <c r="J73" s="25">
        <f>J62-I62+J45</f>
        <v>50.509999999998399</v>
      </c>
      <c r="K73" s="25">
        <f>K62-J62+K45</f>
        <v>2702</v>
      </c>
    </row>
    <row r="80" spans="1:11" x14ac:dyDescent="0.15">
      <c r="A80" s="83" t="s">
        <v>118</v>
      </c>
    </row>
    <row r="81" spans="1:12" s="85" customFormat="1" x14ac:dyDescent="0.15">
      <c r="A81" s="87" t="s">
        <v>117</v>
      </c>
      <c r="B81" s="86">
        <v>41364</v>
      </c>
      <c r="C81" s="86">
        <v>41729</v>
      </c>
      <c r="D81" s="86">
        <v>42094</v>
      </c>
      <c r="E81" s="86">
        <v>42825</v>
      </c>
      <c r="F81" s="86">
        <v>43190</v>
      </c>
      <c r="G81" s="86">
        <v>43555</v>
      </c>
      <c r="H81" s="86">
        <v>43921</v>
      </c>
      <c r="I81" s="86">
        <v>44286</v>
      </c>
      <c r="J81" s="86">
        <v>44651</v>
      </c>
      <c r="K81" s="86">
        <v>45016</v>
      </c>
      <c r="L81" s="86"/>
    </row>
    <row r="82" spans="1:12" s="83" customFormat="1" x14ac:dyDescent="0.15">
      <c r="A82" s="25" t="s">
        <v>116</v>
      </c>
      <c r="B82" s="84"/>
      <c r="C82" s="84"/>
      <c r="D82" s="84"/>
      <c r="E82" s="84">
        <v>70555.14</v>
      </c>
      <c r="F82" s="84">
        <v>67931.009999999995</v>
      </c>
      <c r="G82" s="84">
        <v>19848.96</v>
      </c>
      <c r="H82" s="84">
        <v>74768.69</v>
      </c>
      <c r="I82" s="84">
        <v>55723.07</v>
      </c>
      <c r="J82" s="84">
        <v>-3135.49</v>
      </c>
      <c r="K82" s="84">
        <v>59718.01</v>
      </c>
    </row>
    <row r="83" spans="1:12" x14ac:dyDescent="0.15">
      <c r="A83" s="25" t="s">
        <v>115</v>
      </c>
      <c r="B83" s="84"/>
      <c r="C83" s="84"/>
      <c r="D83" s="84"/>
      <c r="E83" s="84">
        <v>-78248.89</v>
      </c>
      <c r="F83" s="84">
        <v>-75609.88</v>
      </c>
      <c r="G83" s="84">
        <v>1895.2</v>
      </c>
      <c r="H83" s="84">
        <v>-85722.03</v>
      </c>
      <c r="I83" s="84">
        <v>-54012.82</v>
      </c>
      <c r="J83" s="84">
        <v>10376.52</v>
      </c>
      <c r="K83" s="84">
        <v>-57899.3</v>
      </c>
    </row>
    <row r="84" spans="1:12" x14ac:dyDescent="0.15">
      <c r="A84" s="25" t="s">
        <v>114</v>
      </c>
      <c r="B84" s="84"/>
      <c r="C84" s="84"/>
      <c r="D84" s="84"/>
      <c r="E84" s="84">
        <v>-2497.0300000000002</v>
      </c>
      <c r="F84" s="84">
        <v>-2369.73</v>
      </c>
      <c r="G84" s="84">
        <v>-2252.42</v>
      </c>
      <c r="H84" s="84">
        <v>-2608.25</v>
      </c>
      <c r="I84" s="84"/>
      <c r="J84" s="84"/>
      <c r="K84" s="84">
        <v>-948.59</v>
      </c>
    </row>
    <row r="85" spans="1:12" s="83" customFormat="1" x14ac:dyDescent="0.15">
      <c r="A85" s="25" t="s">
        <v>55</v>
      </c>
      <c r="B85" s="84"/>
      <c r="C85" s="84"/>
      <c r="D85" s="84"/>
      <c r="E85" s="84">
        <v>-10190.790000000001</v>
      </c>
      <c r="F85" s="84">
        <v>-10048.6</v>
      </c>
      <c r="G85" s="84">
        <v>19491.740000000002</v>
      </c>
      <c r="H85" s="84">
        <v>-13561.59</v>
      </c>
      <c r="I85" s="84">
        <v>1710.25</v>
      </c>
      <c r="J85" s="84">
        <v>7241.03</v>
      </c>
      <c r="K85" s="84">
        <v>870.11</v>
      </c>
    </row>
    <row r="90" spans="1:12" s="83" customFormat="1" x14ac:dyDescent="0.15">
      <c r="A90" s="83" t="s">
        <v>113</v>
      </c>
      <c r="B90" s="84"/>
      <c r="C90" s="84"/>
      <c r="D90" s="84"/>
      <c r="E90" s="84"/>
      <c r="F90" s="84"/>
      <c r="G90" s="84"/>
      <c r="H90" s="84"/>
      <c r="I90" s="84"/>
      <c r="J90" s="84"/>
      <c r="K90" s="84">
        <v>534.35</v>
      </c>
    </row>
    <row r="92" spans="1:12" s="83" customFormat="1" x14ac:dyDescent="0.15">
      <c r="A92" s="83" t="s">
        <v>112</v>
      </c>
    </row>
    <row r="93" spans="1:12" x14ac:dyDescent="0.15">
      <c r="A93" s="25" t="s">
        <v>111</v>
      </c>
      <c r="B93" s="82"/>
      <c r="C93" s="82"/>
      <c r="D93" s="82"/>
      <c r="E93" s="82"/>
      <c r="F93" s="82"/>
      <c r="G93" s="82"/>
      <c r="H93" s="82"/>
      <c r="I93" s="82"/>
      <c r="J93" s="82">
        <v>632.5</v>
      </c>
      <c r="K93" s="82">
        <v>632.5</v>
      </c>
    </row>
    <row r="99" spans="1:9" ht="15" x14ac:dyDescent="0.2">
      <c r="A99" s="5"/>
      <c r="B99" s="30"/>
      <c r="C99" s="30"/>
      <c r="D99" s="5"/>
      <c r="E99"/>
      <c r="F99"/>
      <c r="G99"/>
      <c r="H99"/>
      <c r="I99"/>
    </row>
    <row r="100" spans="1:9" ht="24" x14ac:dyDescent="0.2">
      <c r="A100" s="93" t="s">
        <v>161</v>
      </c>
      <c r="B100"/>
      <c r="C100"/>
      <c r="D100"/>
      <c r="E100"/>
      <c r="F100"/>
      <c r="G100"/>
      <c r="H100"/>
      <c r="I100"/>
    </row>
    <row r="101" spans="1:9" ht="32" x14ac:dyDescent="0.2">
      <c r="A101" s="95" t="s">
        <v>162</v>
      </c>
      <c r="B101"/>
      <c r="C101"/>
      <c r="D101"/>
      <c r="E101"/>
      <c r="F101"/>
      <c r="G101"/>
      <c r="H101"/>
      <c r="I101"/>
    </row>
    <row r="102" spans="1:9" ht="15" x14ac:dyDescent="0.2">
      <c r="A102" s="94" t="s">
        <v>163</v>
      </c>
      <c r="B102"/>
      <c r="C102"/>
      <c r="D102"/>
      <c r="E102"/>
      <c r="F102"/>
      <c r="G102"/>
      <c r="H102"/>
      <c r="I102"/>
    </row>
    <row r="103" spans="1:9" ht="14" x14ac:dyDescent="0.15">
      <c r="A103" s="96"/>
      <c r="B103" s="97">
        <v>42795</v>
      </c>
      <c r="C103" s="97">
        <v>43160</v>
      </c>
      <c r="D103" s="97">
        <v>43525</v>
      </c>
      <c r="E103" s="97">
        <v>43891</v>
      </c>
      <c r="F103" s="97">
        <v>44256</v>
      </c>
      <c r="G103" s="97">
        <v>44621</v>
      </c>
      <c r="H103" s="97">
        <v>44986</v>
      </c>
      <c r="I103" s="97">
        <v>45170</v>
      </c>
    </row>
    <row r="104" spans="1:9" ht="14" x14ac:dyDescent="0.15">
      <c r="A104" s="98" t="s">
        <v>164</v>
      </c>
      <c r="B104" s="99">
        <v>100</v>
      </c>
      <c r="C104" s="99">
        <v>100</v>
      </c>
      <c r="D104" s="99">
        <v>100</v>
      </c>
      <c r="E104" s="99">
        <v>100</v>
      </c>
      <c r="F104" s="99">
        <v>100</v>
      </c>
      <c r="G104" s="100">
        <v>6325</v>
      </c>
      <c r="H104" s="100">
        <v>6325</v>
      </c>
      <c r="I104" s="100">
        <v>6325</v>
      </c>
    </row>
    <row r="105" spans="1:9" ht="14" x14ac:dyDescent="0.15">
      <c r="A105" s="98" t="s">
        <v>128</v>
      </c>
      <c r="B105" s="99">
        <v>506</v>
      </c>
      <c r="C105" s="99">
        <v>550</v>
      </c>
      <c r="D105" s="99">
        <v>579</v>
      </c>
      <c r="E105" s="99">
        <v>640</v>
      </c>
      <c r="F105" s="100">
        <v>6261</v>
      </c>
      <c r="G105" s="100">
        <v>4084</v>
      </c>
      <c r="H105" s="100">
        <v>39344</v>
      </c>
      <c r="I105" s="100">
        <v>54852</v>
      </c>
    </row>
    <row r="106" spans="1:9" ht="14" x14ac:dyDescent="0.15">
      <c r="A106" s="101" t="s">
        <v>165</v>
      </c>
      <c r="B106" s="102">
        <v>0</v>
      </c>
      <c r="C106" s="102">
        <v>0</v>
      </c>
      <c r="D106" s="102">
        <v>0</v>
      </c>
      <c r="E106" s="102">
        <v>0</v>
      </c>
      <c r="F106" s="102">
        <v>0</v>
      </c>
      <c r="G106" s="102">
        <v>0</v>
      </c>
      <c r="H106" s="102">
        <v>0</v>
      </c>
      <c r="I106" s="102">
        <v>0</v>
      </c>
    </row>
    <row r="107" spans="1:9" ht="14" x14ac:dyDescent="0.15">
      <c r="A107" s="101" t="s">
        <v>166</v>
      </c>
      <c r="B107" s="103">
        <v>2571339</v>
      </c>
      <c r="C107" s="103">
        <v>2844339</v>
      </c>
      <c r="D107" s="103">
        <v>3111132</v>
      </c>
      <c r="E107" s="103">
        <v>3202760</v>
      </c>
      <c r="F107" s="103">
        <v>3805395</v>
      </c>
      <c r="G107" s="103">
        <v>4220181</v>
      </c>
      <c r="H107" s="103">
        <v>4504843</v>
      </c>
      <c r="I107" s="103">
        <v>4834257</v>
      </c>
    </row>
    <row r="108" spans="1:9" ht="14" x14ac:dyDescent="0.15">
      <c r="A108" s="98" t="s">
        <v>167</v>
      </c>
      <c r="B108" s="100">
        <v>7892</v>
      </c>
      <c r="C108" s="100">
        <v>10546</v>
      </c>
      <c r="D108" s="100">
        <v>10340</v>
      </c>
      <c r="E108" s="100">
        <v>15346</v>
      </c>
      <c r="F108" s="100">
        <v>16187</v>
      </c>
      <c r="G108" s="100">
        <v>6723</v>
      </c>
      <c r="H108" s="100">
        <v>7552</v>
      </c>
      <c r="I108" s="99">
        <v>0</v>
      </c>
    </row>
    <row r="109" spans="1:9" ht="14" x14ac:dyDescent="0.15">
      <c r="A109" s="98" t="s">
        <v>168</v>
      </c>
      <c r="B109" s="100">
        <v>2563447</v>
      </c>
      <c r="C109" s="100">
        <v>2833794</v>
      </c>
      <c r="D109" s="100">
        <v>3100792</v>
      </c>
      <c r="E109" s="100">
        <v>3187414</v>
      </c>
      <c r="F109" s="100">
        <v>3789208</v>
      </c>
      <c r="G109" s="100">
        <v>4213457</v>
      </c>
      <c r="H109" s="100">
        <v>4497291</v>
      </c>
      <c r="I109" s="100">
        <v>4834257</v>
      </c>
    </row>
    <row r="110" spans="1:9" ht="14" x14ac:dyDescent="0.15">
      <c r="A110" s="101" t="s">
        <v>169</v>
      </c>
      <c r="B110" s="103">
        <v>2571946</v>
      </c>
      <c r="C110" s="103">
        <v>2844989</v>
      </c>
      <c r="D110" s="103">
        <v>3111811</v>
      </c>
      <c r="E110" s="103">
        <v>3203500</v>
      </c>
      <c r="F110" s="103">
        <v>3811756</v>
      </c>
      <c r="G110" s="103">
        <v>4230590</v>
      </c>
      <c r="H110" s="103">
        <v>4550512</v>
      </c>
      <c r="I110" s="103">
        <v>4895434</v>
      </c>
    </row>
    <row r="114" spans="1:10" ht="24" x14ac:dyDescent="0.2">
      <c r="A114" s="93" t="s">
        <v>170</v>
      </c>
      <c r="B114"/>
      <c r="C114"/>
      <c r="D114"/>
      <c r="E114"/>
      <c r="F114"/>
      <c r="G114"/>
      <c r="H114"/>
    </row>
    <row r="115" spans="1:10" ht="32" x14ac:dyDescent="0.2">
      <c r="A115" s="95" t="s">
        <v>162</v>
      </c>
      <c r="B115"/>
      <c r="C115"/>
      <c r="D115"/>
      <c r="E115"/>
      <c r="F115"/>
      <c r="G115"/>
      <c r="H115"/>
    </row>
    <row r="116" spans="1:10" ht="14" x14ac:dyDescent="0.15">
      <c r="A116" s="96"/>
      <c r="B116" s="97">
        <v>42795</v>
      </c>
      <c r="C116" s="97">
        <v>43160</v>
      </c>
      <c r="D116" s="97">
        <v>43525</v>
      </c>
      <c r="E116" s="97">
        <v>43891</v>
      </c>
      <c r="F116" s="97">
        <v>44256</v>
      </c>
      <c r="G116" s="97">
        <v>44621</v>
      </c>
      <c r="H116" s="97">
        <v>44986</v>
      </c>
    </row>
    <row r="117" spans="1:10" ht="14" x14ac:dyDescent="0.15">
      <c r="A117" s="101" t="s">
        <v>171</v>
      </c>
      <c r="B117" s="103">
        <v>70555</v>
      </c>
      <c r="C117" s="103">
        <v>67931</v>
      </c>
      <c r="D117" s="103">
        <v>19849</v>
      </c>
      <c r="E117" s="103">
        <v>74769</v>
      </c>
      <c r="F117" s="103">
        <v>55723</v>
      </c>
      <c r="G117" s="103">
        <v>-3135</v>
      </c>
      <c r="H117" s="103">
        <v>59718</v>
      </c>
    </row>
    <row r="118" spans="1:10" ht="14" x14ac:dyDescent="0.15">
      <c r="A118" s="101" t="s">
        <v>172</v>
      </c>
      <c r="B118" s="103">
        <v>70555</v>
      </c>
      <c r="C118" s="103">
        <v>67931</v>
      </c>
      <c r="D118" s="103">
        <v>19849</v>
      </c>
      <c r="E118" s="102">
        <v>0</v>
      </c>
      <c r="F118" s="102">
        <v>0</v>
      </c>
      <c r="G118" s="102">
        <v>0</v>
      </c>
      <c r="H118" s="102">
        <v>0</v>
      </c>
    </row>
    <row r="119" spans="1:10" ht="14" x14ac:dyDescent="0.15">
      <c r="A119" s="98" t="s">
        <v>173</v>
      </c>
      <c r="B119" s="99">
        <v>0</v>
      </c>
      <c r="C119" s="99">
        <v>0</v>
      </c>
      <c r="D119" s="99">
        <v>0</v>
      </c>
      <c r="E119" s="100">
        <v>-7705</v>
      </c>
      <c r="F119" s="100">
        <v>-9430</v>
      </c>
      <c r="G119" s="100">
        <v>-7265</v>
      </c>
      <c r="H119" s="100">
        <v>5955</v>
      </c>
    </row>
    <row r="120" spans="1:10" ht="14" x14ac:dyDescent="0.15">
      <c r="A120" s="98" t="s">
        <v>174</v>
      </c>
      <c r="B120" s="99">
        <v>0</v>
      </c>
      <c r="C120" s="99">
        <v>0</v>
      </c>
      <c r="D120" s="99">
        <v>0</v>
      </c>
      <c r="E120" s="100">
        <v>82474</v>
      </c>
      <c r="F120" s="100">
        <v>65153</v>
      </c>
      <c r="G120" s="100">
        <v>4129</v>
      </c>
      <c r="H120" s="100">
        <v>53763</v>
      </c>
    </row>
    <row r="121" spans="1:10" ht="14" x14ac:dyDescent="0.15">
      <c r="A121" s="101" t="s">
        <v>175</v>
      </c>
      <c r="B121" s="103">
        <v>-78249</v>
      </c>
      <c r="C121" s="103">
        <v>-75610</v>
      </c>
      <c r="D121" s="103">
        <v>1895</v>
      </c>
      <c r="E121" s="103">
        <v>-85722</v>
      </c>
      <c r="F121" s="103">
        <v>-54013</v>
      </c>
      <c r="G121" s="103">
        <v>10377</v>
      </c>
      <c r="H121" s="103">
        <v>-57899</v>
      </c>
    </row>
    <row r="122" spans="1:10" ht="14" x14ac:dyDescent="0.15">
      <c r="A122" s="98" t="s">
        <v>176</v>
      </c>
      <c r="B122" s="99">
        <v>0</v>
      </c>
      <c r="C122" s="99">
        <v>-571</v>
      </c>
      <c r="D122" s="99">
        <v>-509</v>
      </c>
      <c r="E122" s="99">
        <v>-558</v>
      </c>
      <c r="F122" s="100">
        <v>-1074</v>
      </c>
      <c r="G122" s="99">
        <v>-715</v>
      </c>
      <c r="H122" s="99">
        <v>-886</v>
      </c>
      <c r="I122" s="25">
        <f>G122+G124</f>
        <v>-428114</v>
      </c>
      <c r="J122" s="25">
        <f t="shared" ref="J122" si="3">H122+H124</f>
        <v>-543377</v>
      </c>
    </row>
    <row r="123" spans="1:10" ht="14" x14ac:dyDescent="0.15">
      <c r="A123" s="98" t="s">
        <v>177</v>
      </c>
      <c r="B123" s="99">
        <v>333</v>
      </c>
      <c r="C123" s="99">
        <v>267</v>
      </c>
      <c r="D123" s="99">
        <v>134</v>
      </c>
      <c r="E123" s="99">
        <v>103</v>
      </c>
      <c r="F123" s="99">
        <v>285</v>
      </c>
      <c r="G123" s="99">
        <v>258</v>
      </c>
      <c r="H123" s="99">
        <v>342</v>
      </c>
    </row>
    <row r="124" spans="1:10" ht="14" x14ac:dyDescent="0.15">
      <c r="A124" s="98" t="s">
        <v>178</v>
      </c>
      <c r="B124" s="100">
        <v>-238137</v>
      </c>
      <c r="C124" s="100">
        <v>-405017</v>
      </c>
      <c r="D124" s="100">
        <v>-335510</v>
      </c>
      <c r="E124" s="100">
        <v>-442337</v>
      </c>
      <c r="F124" s="100">
        <v>-507988</v>
      </c>
      <c r="G124" s="100">
        <v>-427399</v>
      </c>
      <c r="H124" s="100">
        <v>-542491</v>
      </c>
    </row>
    <row r="125" spans="1:10" ht="14" x14ac:dyDescent="0.15">
      <c r="A125" s="98" t="s">
        <v>179</v>
      </c>
      <c r="B125" s="99">
        <v>0</v>
      </c>
      <c r="C125" s="100">
        <v>156000</v>
      </c>
      <c r="D125" s="100">
        <v>151366</v>
      </c>
      <c r="E125" s="100">
        <v>136845</v>
      </c>
      <c r="F125" s="100">
        <v>231372</v>
      </c>
      <c r="G125" s="100">
        <v>189609</v>
      </c>
      <c r="H125" s="100">
        <v>220844</v>
      </c>
    </row>
    <row r="126" spans="1:10" ht="14" x14ac:dyDescent="0.15">
      <c r="A126" s="98" t="s">
        <v>180</v>
      </c>
      <c r="B126" s="100">
        <v>159554</v>
      </c>
      <c r="C126" s="100">
        <v>176917</v>
      </c>
      <c r="D126" s="100">
        <v>191458</v>
      </c>
      <c r="E126" s="99">
        <v>0</v>
      </c>
      <c r="F126" s="99">
        <v>0</v>
      </c>
      <c r="G126" s="99">
        <v>0</v>
      </c>
      <c r="H126" s="99">
        <v>0</v>
      </c>
    </row>
    <row r="127" spans="1:10" ht="14" x14ac:dyDescent="0.15">
      <c r="A127" s="98" t="s">
        <v>181</v>
      </c>
      <c r="B127" s="99">
        <v>0</v>
      </c>
      <c r="C127" s="99">
        <v>0</v>
      </c>
      <c r="D127" s="99">
        <v>0</v>
      </c>
      <c r="E127" s="100">
        <v>209926</v>
      </c>
      <c r="F127" s="100">
        <v>232139</v>
      </c>
      <c r="G127" s="100">
        <v>249526</v>
      </c>
      <c r="H127" s="100">
        <v>267739</v>
      </c>
    </row>
    <row r="128" spans="1:10" ht="14" x14ac:dyDescent="0.15">
      <c r="A128" s="98" t="s">
        <v>182</v>
      </c>
      <c r="B128" s="99">
        <v>0</v>
      </c>
      <c r="C128" s="100">
        <v>-3205</v>
      </c>
      <c r="D128" s="100">
        <v>-5044</v>
      </c>
      <c r="E128" s="100">
        <v>10301</v>
      </c>
      <c r="F128" s="100">
        <v>-8746</v>
      </c>
      <c r="G128" s="99">
        <v>-903</v>
      </c>
      <c r="H128" s="100">
        <v>-3448</v>
      </c>
    </row>
    <row r="129" spans="1:8" ht="14" x14ac:dyDescent="0.15">
      <c r="A129" s="101" t="s">
        <v>183</v>
      </c>
      <c r="B129" s="103">
        <v>-2497</v>
      </c>
      <c r="C129" s="103">
        <v>-2370</v>
      </c>
      <c r="D129" s="103">
        <v>-2252</v>
      </c>
      <c r="E129" s="103">
        <v>-2608</v>
      </c>
      <c r="F129" s="102">
        <v>0</v>
      </c>
      <c r="G129" s="102">
        <v>0</v>
      </c>
      <c r="H129" s="102">
        <v>-949</v>
      </c>
    </row>
    <row r="130" spans="1:8" ht="14" x14ac:dyDescent="0.15">
      <c r="A130" s="98" t="s">
        <v>184</v>
      </c>
      <c r="B130" s="99">
        <v>0</v>
      </c>
      <c r="C130" s="99">
        <v>0</v>
      </c>
      <c r="D130" s="99">
        <v>0</v>
      </c>
      <c r="E130" s="99">
        <v>52</v>
      </c>
      <c r="F130" s="99">
        <v>0</v>
      </c>
      <c r="G130" s="99">
        <v>0</v>
      </c>
      <c r="H130" s="99">
        <v>0</v>
      </c>
    </row>
    <row r="131" spans="1:8" ht="14" x14ac:dyDescent="0.15">
      <c r="A131" s="98" t="s">
        <v>102</v>
      </c>
      <c r="B131" s="99">
        <v>0</v>
      </c>
      <c r="C131" s="99">
        <v>0</v>
      </c>
      <c r="D131" s="99">
        <v>0</v>
      </c>
      <c r="E131" s="99">
        <v>0</v>
      </c>
      <c r="F131" s="99">
        <v>0</v>
      </c>
      <c r="G131" s="99">
        <v>0</v>
      </c>
      <c r="H131" s="99">
        <v>-949</v>
      </c>
    </row>
    <row r="132" spans="1:8" ht="14" x14ac:dyDescent="0.15">
      <c r="A132" s="98" t="s">
        <v>103</v>
      </c>
      <c r="B132" s="100">
        <v>-2497</v>
      </c>
      <c r="C132" s="100">
        <v>-2370</v>
      </c>
      <c r="D132" s="100">
        <v>-2252</v>
      </c>
      <c r="E132" s="100">
        <v>-2661</v>
      </c>
      <c r="F132" s="99">
        <v>0</v>
      </c>
      <c r="G132" s="99">
        <v>0</v>
      </c>
      <c r="H132" s="99">
        <v>0</v>
      </c>
    </row>
    <row r="133" spans="1:8" ht="14" x14ac:dyDescent="0.15">
      <c r="A133" s="101" t="s">
        <v>55</v>
      </c>
      <c r="B133" s="103">
        <v>-10191</v>
      </c>
      <c r="C133" s="103">
        <v>-10049</v>
      </c>
      <c r="D133" s="103">
        <v>19492</v>
      </c>
      <c r="E133" s="103">
        <v>-13562</v>
      </c>
      <c r="F133" s="103">
        <v>1710</v>
      </c>
      <c r="G133" s="103">
        <v>7241</v>
      </c>
      <c r="H133" s="102">
        <v>870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5E2C2C48-735F-4106-893A-80A44562E811}"/>
    <hyperlink ref="A101" r:id="rId2" location="balance-sheet" display="https://www.screener.in/company/LICI/consolidated/ - balance-sheet" xr:uid="{C4597E18-149B-4AF4-8E01-A77F40D09CCA}"/>
    <hyperlink ref="A115" r:id="rId3" location="cash-flow" display="https://www.screener.in/company/LICI/consolidated/ - cash-flow" xr:uid="{9F724026-877F-45E4-ABE9-764072E371CF}"/>
  </hyperlinks>
  <pageMargins left="0.7" right="0.7" top="0.75" bottom="0.75" header="0.3" footer="0.3"/>
  <pageSetup paperSize="9"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About Company &amp; Analysis</vt:lpstr>
      <vt:lpstr>income statement </vt:lpstr>
      <vt:lpstr>balances sheet</vt:lpstr>
      <vt:lpstr>Cash Flow Statement </vt:lpstr>
      <vt:lpstr>Debt Sch</vt:lpstr>
      <vt:lpstr>PP&amp;E Sch</vt:lpstr>
      <vt:lpstr>Data Sheet</vt:lpstr>
      <vt:lpstr>UPDATE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Deekshitha R</cp:lastModifiedBy>
  <dcterms:created xsi:type="dcterms:W3CDTF">2022-07-24T06:36:42Z</dcterms:created>
  <dcterms:modified xsi:type="dcterms:W3CDTF">2024-03-31T05:48:50Z</dcterms:modified>
</cp:coreProperties>
</file>