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kshithar/Downloads/internship/Archive/"/>
    </mc:Choice>
  </mc:AlternateContent>
  <xr:revisionPtr revIDLastSave="0" documentId="13_ncr:1_{42F839DB-0119-BB4A-AFB0-63D2788360C0}" xr6:coauthVersionLast="47" xr6:coauthVersionMax="47" xr10:uidLastSave="{00000000-0000-0000-0000-000000000000}"/>
  <bookViews>
    <workbookView xWindow="0" yWindow="500" windowWidth="28800" windowHeight="15800" tabRatio="772" xr2:uid="{00C35B03-1FB5-47AD-AE0B-C640CDAE8AFD}"/>
  </bookViews>
  <sheets>
    <sheet name="About Company &amp; Analysis" sheetId="1" r:id="rId1"/>
    <sheet name="income statement " sheetId="2" r:id="rId2"/>
    <sheet name="balances sheet" sheetId="3" r:id="rId3"/>
    <sheet name="Cash Flow Statement " sheetId="6" r:id="rId4"/>
    <sheet name="Debt Sch" sheetId="7" r:id="rId5"/>
    <sheet name="PP&amp;E Sch" sheetId="8" r:id="rId6"/>
    <sheet name="Data Sheet" sheetId="9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22" i="6"/>
  <c r="E22" i="6" s="1"/>
  <c r="F22" i="6" s="1"/>
  <c r="G22" i="6" s="1"/>
  <c r="H22" i="6" s="1"/>
  <c r="I22" i="6" s="1"/>
  <c r="C22" i="6"/>
  <c r="D27" i="6"/>
  <c r="C27" i="6"/>
  <c r="D21" i="6"/>
  <c r="E21" i="6" s="1"/>
  <c r="F21" i="6" s="1"/>
  <c r="G21" i="6" s="1"/>
  <c r="H21" i="6" s="1"/>
  <c r="I21" i="6" s="1"/>
  <c r="C21" i="6"/>
  <c r="D23" i="6"/>
  <c r="E23" i="6" s="1"/>
  <c r="F23" i="6" s="1"/>
  <c r="G23" i="6" s="1"/>
  <c r="H23" i="6" s="1"/>
  <c r="I23" i="6" s="1"/>
  <c r="C23" i="6"/>
  <c r="D24" i="6"/>
  <c r="E24" i="6" s="1"/>
  <c r="F24" i="6" s="1"/>
  <c r="G24" i="6" s="1"/>
  <c r="H24" i="6" s="1"/>
  <c r="I24" i="6" s="1"/>
  <c r="C24" i="6"/>
  <c r="D20" i="6"/>
  <c r="C20" i="6"/>
  <c r="D16" i="6"/>
  <c r="C16" i="6"/>
  <c r="D15" i="6"/>
  <c r="C6" i="8" s="1"/>
  <c r="D6" i="8" s="1"/>
  <c r="E6" i="8" s="1"/>
  <c r="F6" i="8" s="1"/>
  <c r="G6" i="8" s="1"/>
  <c r="H6" i="8" s="1"/>
  <c r="I15" i="6" s="1"/>
  <c r="C15" i="6"/>
  <c r="B6" i="8" s="1"/>
  <c r="D11" i="6"/>
  <c r="C11" i="6"/>
  <c r="D10" i="6"/>
  <c r="C10" i="6"/>
  <c r="D15" i="3"/>
  <c r="C41" i="3"/>
  <c r="D41" i="3"/>
  <c r="D39" i="3"/>
  <c r="C39" i="3"/>
  <c r="C15" i="3"/>
  <c r="D14" i="3"/>
  <c r="C14" i="3"/>
  <c r="D13" i="3"/>
  <c r="D5" i="8" s="1"/>
  <c r="C13" i="3"/>
  <c r="D6" i="3"/>
  <c r="C6" i="3"/>
  <c r="D32" i="2"/>
  <c r="C8" i="8" s="1"/>
  <c r="C32" i="2"/>
  <c r="B8" i="8" s="1"/>
  <c r="D24" i="2"/>
  <c r="C24" i="2"/>
  <c r="D19" i="2"/>
  <c r="C19" i="2"/>
  <c r="D20" i="2"/>
  <c r="C20" i="2"/>
  <c r="D14" i="2"/>
  <c r="C14" i="2"/>
  <c r="D8" i="2"/>
  <c r="C8" i="2"/>
  <c r="D5" i="2"/>
  <c r="C5" i="2"/>
  <c r="E1" i="9"/>
  <c r="B6" i="9"/>
  <c r="K15" i="9"/>
  <c r="B32" i="9"/>
  <c r="C32" i="9"/>
  <c r="D32" i="9"/>
  <c r="E32" i="9"/>
  <c r="F32" i="9"/>
  <c r="G32" i="9"/>
  <c r="H32" i="9"/>
  <c r="I32" i="9"/>
  <c r="J32" i="9"/>
  <c r="K32" i="9"/>
  <c r="B34" i="9"/>
  <c r="B15" i="9" s="1"/>
  <c r="C34" i="9"/>
  <c r="D34" i="9"/>
  <c r="E34" i="9"/>
  <c r="F34" i="9"/>
  <c r="G34" i="9"/>
  <c r="H34" i="9"/>
  <c r="I34" i="9"/>
  <c r="J34" i="9"/>
  <c r="K34" i="9"/>
  <c r="B51" i="9"/>
  <c r="C51" i="9"/>
  <c r="D51" i="9"/>
  <c r="E51" i="9"/>
  <c r="F51" i="9"/>
  <c r="G51" i="9"/>
  <c r="H51" i="9"/>
  <c r="I51" i="9"/>
  <c r="J51" i="9"/>
  <c r="K51" i="9"/>
  <c r="H73" i="9"/>
  <c r="I73" i="9"/>
  <c r="J73" i="9"/>
  <c r="K73" i="9"/>
  <c r="E32" i="3"/>
  <c r="F32" i="3" s="1"/>
  <c r="C26" i="3"/>
  <c r="I20" i="6"/>
  <c r="H20" i="6"/>
  <c r="G20" i="6"/>
  <c r="F20" i="6"/>
  <c r="E20" i="6"/>
  <c r="C3" i="8"/>
  <c r="D3" i="8" s="1"/>
  <c r="E3" i="8" s="1"/>
  <c r="F3" i="8" s="1"/>
  <c r="G3" i="8" s="1"/>
  <c r="H3" i="8" s="1"/>
  <c r="E27" i="6" l="1"/>
  <c r="F27" i="6" s="1"/>
  <c r="E20" i="2"/>
  <c r="F20" i="2" s="1"/>
  <c r="G20" i="2" s="1"/>
  <c r="D17" i="6"/>
  <c r="E14" i="3"/>
  <c r="F14" i="3" s="1"/>
  <c r="C17" i="6"/>
  <c r="G15" i="6"/>
  <c r="E15" i="6"/>
  <c r="F15" i="6"/>
  <c r="H15" i="6"/>
  <c r="C9" i="8"/>
  <c r="B9" i="8"/>
  <c r="G32" i="3"/>
  <c r="G14" i="3"/>
  <c r="H20" i="2"/>
  <c r="I20" i="2" s="1"/>
  <c r="D31" i="6"/>
  <c r="C5" i="7"/>
  <c r="D5" i="7" s="1"/>
  <c r="E5" i="7" s="1"/>
  <c r="F5" i="7" s="1"/>
  <c r="G5" i="7" s="1"/>
  <c r="H5" i="7" s="1"/>
  <c r="E31" i="6"/>
  <c r="D6" i="7" s="1"/>
  <c r="E28" i="6"/>
  <c r="D8" i="7" s="1"/>
  <c r="D28" i="6"/>
  <c r="C28" i="6"/>
  <c r="I9" i="6"/>
  <c r="H9" i="6"/>
  <c r="G9" i="6"/>
  <c r="F9" i="6"/>
  <c r="E9" i="6"/>
  <c r="D9" i="6"/>
  <c r="C9" i="6"/>
  <c r="D8" i="6"/>
  <c r="C8" i="6"/>
  <c r="D4" i="6"/>
  <c r="E4" i="6" s="1"/>
  <c r="F4" i="6" s="1"/>
  <c r="G4" i="6" s="1"/>
  <c r="H4" i="6" s="1"/>
  <c r="I4" i="6" s="1"/>
  <c r="D56" i="3"/>
  <c r="C56" i="3"/>
  <c r="D55" i="3"/>
  <c r="C55" i="3"/>
  <c r="D54" i="3"/>
  <c r="C54" i="3"/>
  <c r="E15" i="3"/>
  <c r="F15" i="3" s="1"/>
  <c r="G15" i="3" s="1"/>
  <c r="H15" i="3" s="1"/>
  <c r="I15" i="3" s="1"/>
  <c r="D51" i="3"/>
  <c r="C52" i="3"/>
  <c r="D52" i="3"/>
  <c r="C53" i="3"/>
  <c r="D53" i="3"/>
  <c r="C51" i="3"/>
  <c r="D3" i="3"/>
  <c r="E3" i="3" s="1"/>
  <c r="F3" i="3" s="1"/>
  <c r="G3" i="3" s="1"/>
  <c r="H3" i="3" s="1"/>
  <c r="I3" i="3" s="1"/>
  <c r="C28" i="3"/>
  <c r="G27" i="6" l="1"/>
  <c r="G28" i="6" s="1"/>
  <c r="F8" i="7" s="1"/>
  <c r="F28" i="6"/>
  <c r="E8" i="7" s="1"/>
  <c r="H27" i="6"/>
  <c r="I27" i="6" s="1"/>
  <c r="I28" i="6" s="1"/>
  <c r="H8" i="7" s="1"/>
  <c r="D9" i="8"/>
  <c r="E9" i="8" s="1"/>
  <c r="E54" i="3"/>
  <c r="F54" i="3" s="1"/>
  <c r="G54" i="3" s="1"/>
  <c r="H32" i="3"/>
  <c r="I32" i="3" s="1"/>
  <c r="H14" i="3"/>
  <c r="I14" i="3" s="1"/>
  <c r="E53" i="3"/>
  <c r="E51" i="3"/>
  <c r="E55" i="3"/>
  <c r="F55" i="3" s="1"/>
  <c r="E56" i="3"/>
  <c r="F56" i="3" s="1"/>
  <c r="E52" i="3"/>
  <c r="E16" i="6"/>
  <c r="E17" i="6" s="1"/>
  <c r="H28" i="6" l="1"/>
  <c r="G8" i="7" s="1"/>
  <c r="F9" i="8"/>
  <c r="G9" i="8" s="1"/>
  <c r="H9" i="8" s="1"/>
  <c r="F51" i="3"/>
  <c r="G51" i="3" s="1"/>
  <c r="F53" i="3"/>
  <c r="G53" i="3" s="1"/>
  <c r="G55" i="3"/>
  <c r="H55" i="3" s="1"/>
  <c r="F52" i="3"/>
  <c r="G56" i="3"/>
  <c r="F16" i="6"/>
  <c r="F17" i="6" s="1"/>
  <c r="H54" i="3"/>
  <c r="H51" i="3" l="1"/>
  <c r="I51" i="3" s="1"/>
  <c r="H53" i="3"/>
  <c r="I53" i="3" s="1"/>
  <c r="I55" i="3"/>
  <c r="G52" i="3"/>
  <c r="H52" i="3" s="1"/>
  <c r="H56" i="3"/>
  <c r="I54" i="3"/>
  <c r="G16" i="6"/>
  <c r="G17" i="6" s="1"/>
  <c r="H16" i="6" l="1"/>
  <c r="H17" i="6" s="1"/>
  <c r="I52" i="3"/>
  <c r="I56" i="3"/>
  <c r="I16" i="6" l="1"/>
  <c r="I17" i="6" s="1"/>
  <c r="E5" i="2"/>
  <c r="D4" i="2"/>
  <c r="E4" i="2" s="1"/>
  <c r="F4" i="2" s="1"/>
  <c r="G4" i="2" s="1"/>
  <c r="H4" i="2" s="1"/>
  <c r="I4" i="2" s="1"/>
  <c r="D15" i="2"/>
  <c r="C15" i="2"/>
  <c r="E15" i="2" s="1"/>
  <c r="F15" i="2" s="1"/>
  <c r="C11" i="2"/>
  <c r="C12" i="2" s="1"/>
  <c r="D11" i="2"/>
  <c r="D17" i="2" s="1"/>
  <c r="D22" i="2" s="1"/>
  <c r="D27" i="2" s="1"/>
  <c r="D6" i="6" s="1"/>
  <c r="D9" i="2"/>
  <c r="C9" i="2"/>
  <c r="D6" i="2"/>
  <c r="D12" i="6" l="1"/>
  <c r="D30" i="6" s="1"/>
  <c r="E9" i="2"/>
  <c r="F9" i="2" s="1"/>
  <c r="F5" i="2"/>
  <c r="D8" i="8"/>
  <c r="G15" i="2"/>
  <c r="H15" i="2" s="1"/>
  <c r="E24" i="2"/>
  <c r="F24" i="2" s="1"/>
  <c r="G5" i="2"/>
  <c r="F14" i="2"/>
  <c r="E14" i="2"/>
  <c r="D12" i="2"/>
  <c r="C17" i="2"/>
  <c r="C22" i="2" s="1"/>
  <c r="C27" i="2" l="1"/>
  <c r="C6" i="6" s="1"/>
  <c r="F8" i="2"/>
  <c r="G9" i="2"/>
  <c r="G8" i="2" s="1"/>
  <c r="E8" i="2"/>
  <c r="E11" i="2" s="1"/>
  <c r="F8" i="8"/>
  <c r="D11" i="8"/>
  <c r="E32" i="2"/>
  <c r="E8" i="6"/>
  <c r="E8" i="8"/>
  <c r="E23" i="3"/>
  <c r="E33" i="3"/>
  <c r="E27" i="3"/>
  <c r="E24" i="3"/>
  <c r="F11" i="2"/>
  <c r="F12" i="2" s="1"/>
  <c r="F24" i="3"/>
  <c r="F23" i="3"/>
  <c r="F33" i="3"/>
  <c r="F27" i="3"/>
  <c r="G24" i="2"/>
  <c r="H24" i="2" s="1"/>
  <c r="I24" i="2" s="1"/>
  <c r="E12" i="2"/>
  <c r="E17" i="2"/>
  <c r="H5" i="2"/>
  <c r="G14" i="2"/>
  <c r="I15" i="2"/>
  <c r="C12" i="6" l="1"/>
  <c r="C30" i="6" s="1"/>
  <c r="H9" i="2"/>
  <c r="I9" i="2" s="1"/>
  <c r="F17" i="2"/>
  <c r="F31" i="2" s="1"/>
  <c r="G8" i="8"/>
  <c r="G32" i="2"/>
  <c r="G8" i="6"/>
  <c r="F32" i="2"/>
  <c r="F8" i="6"/>
  <c r="E5" i="8"/>
  <c r="E11" i="8" s="1"/>
  <c r="E13" i="3"/>
  <c r="G11" i="2"/>
  <c r="G12" i="2" s="1"/>
  <c r="G24" i="3"/>
  <c r="G23" i="3"/>
  <c r="G33" i="3"/>
  <c r="G27" i="3"/>
  <c r="E31" i="2"/>
  <c r="E34" i="2"/>
  <c r="I5" i="2"/>
  <c r="H14" i="2"/>
  <c r="C42" i="3"/>
  <c r="D42" i="3"/>
  <c r="D10" i="3"/>
  <c r="C34" i="2"/>
  <c r="D34" i="2"/>
  <c r="G17" i="2" l="1"/>
  <c r="D16" i="3"/>
  <c r="D17" i="3" s="1"/>
  <c r="D19" i="3" s="1"/>
  <c r="C16" i="3"/>
  <c r="F34" i="2"/>
  <c r="H8" i="2"/>
  <c r="H24" i="3" s="1"/>
  <c r="H8" i="6"/>
  <c r="H32" i="2"/>
  <c r="H8" i="8"/>
  <c r="F5" i="8"/>
  <c r="F11" i="8" s="1"/>
  <c r="F13" i="3"/>
  <c r="H27" i="3"/>
  <c r="H23" i="3"/>
  <c r="H33" i="3"/>
  <c r="G34" i="2"/>
  <c r="G31" i="2"/>
  <c r="I14" i="2"/>
  <c r="I8" i="2"/>
  <c r="I11" i="2"/>
  <c r="D31" i="2"/>
  <c r="C31" i="2"/>
  <c r="E16" i="3" l="1"/>
  <c r="C17" i="3"/>
  <c r="C19" i="3" s="1"/>
  <c r="H11" i="2"/>
  <c r="H12" i="2" s="1"/>
  <c r="G13" i="3"/>
  <c r="G5" i="8"/>
  <c r="G11" i="8" s="1"/>
  <c r="I8" i="6"/>
  <c r="I32" i="2"/>
  <c r="I24" i="3"/>
  <c r="I27" i="3"/>
  <c r="I23" i="3"/>
  <c r="I33" i="3"/>
  <c r="I12" i="2"/>
  <c r="I17" i="2"/>
  <c r="H17" i="2" l="1"/>
  <c r="F16" i="3"/>
  <c r="E17" i="3"/>
  <c r="H5" i="8"/>
  <c r="H11" i="8" s="1"/>
  <c r="I13" i="3" s="1"/>
  <c r="H13" i="3"/>
  <c r="I31" i="2"/>
  <c r="I34" i="2"/>
  <c r="D28" i="3"/>
  <c r="B15" i="7"/>
  <c r="C16" i="7" s="1"/>
  <c r="C34" i="3"/>
  <c r="C36" i="3" s="1"/>
  <c r="C45" i="3" s="1"/>
  <c r="D34" i="3"/>
  <c r="C15" i="7"/>
  <c r="H34" i="2" l="1"/>
  <c r="H31" i="2"/>
  <c r="C47" i="3"/>
  <c r="G16" i="3"/>
  <c r="H16" i="3" s="1"/>
  <c r="H17" i="3" s="1"/>
  <c r="F17" i="3"/>
  <c r="D36" i="3"/>
  <c r="D45" i="3" s="1"/>
  <c r="D47" i="3" s="1"/>
  <c r="D15" i="7"/>
  <c r="E31" i="3" s="1"/>
  <c r="D16" i="7"/>
  <c r="E26" i="3" s="1"/>
  <c r="E28" i="3" s="1"/>
  <c r="I16" i="3" l="1"/>
  <c r="I17" i="3" s="1"/>
  <c r="G17" i="3"/>
  <c r="E15" i="7"/>
  <c r="E34" i="3"/>
  <c r="E36" i="3" s="1"/>
  <c r="E16" i="7"/>
  <c r="F26" i="3" s="1"/>
  <c r="F28" i="3" s="1"/>
  <c r="D22" i="7"/>
  <c r="D23" i="7" s="1"/>
  <c r="E19" i="2" s="1"/>
  <c r="E22" i="2" s="1"/>
  <c r="E27" i="2" s="1"/>
  <c r="E22" i="7" l="1"/>
  <c r="E23" i="7" s="1"/>
  <c r="F19" i="2" s="1"/>
  <c r="F22" i="2" s="1"/>
  <c r="F27" i="2" s="1"/>
  <c r="F6" i="6" s="1"/>
  <c r="F31" i="3"/>
  <c r="F34" i="3" s="1"/>
  <c r="F36" i="3" s="1"/>
  <c r="E6" i="6"/>
  <c r="E12" i="6" s="1"/>
  <c r="E41" i="3"/>
  <c r="F15" i="7"/>
  <c r="G31" i="3" s="1"/>
  <c r="G34" i="3" s="1"/>
  <c r="F22" i="7"/>
  <c r="F23" i="7" s="1"/>
  <c r="G19" i="2" s="1"/>
  <c r="G22" i="2" s="1"/>
  <c r="G27" i="2" s="1"/>
  <c r="G6" i="6" s="1"/>
  <c r="G12" i="6" s="1"/>
  <c r="F16" i="7"/>
  <c r="G26" i="3" s="1"/>
  <c r="G28" i="3" s="1"/>
  <c r="F12" i="6" l="1"/>
  <c r="F30" i="6" s="1"/>
  <c r="E7" i="7"/>
  <c r="G36" i="3"/>
  <c r="G15" i="7"/>
  <c r="H31" i="3" s="1"/>
  <c r="H34" i="3" s="1"/>
  <c r="G16" i="7"/>
  <c r="H26" i="3" s="1"/>
  <c r="H28" i="3" s="1"/>
  <c r="F7" i="7"/>
  <c r="G30" i="6"/>
  <c r="E42" i="3"/>
  <c r="E45" i="3" s="1"/>
  <c r="F41" i="3"/>
  <c r="E30" i="6"/>
  <c r="E32" i="6" s="1"/>
  <c r="D7" i="7"/>
  <c r="D10" i="7" s="1"/>
  <c r="E6" i="7" s="1"/>
  <c r="G22" i="7" l="1"/>
  <c r="G23" i="7" s="1"/>
  <c r="H19" i="2" s="1"/>
  <c r="H22" i="2" s="1"/>
  <c r="H27" i="2" s="1"/>
  <c r="H6" i="6" s="1"/>
  <c r="E10" i="7"/>
  <c r="F6" i="7" s="1"/>
  <c r="F10" i="7" s="1"/>
  <c r="G6" i="7" s="1"/>
  <c r="H36" i="3"/>
  <c r="F42" i="3"/>
  <c r="F45" i="3" s="1"/>
  <c r="G41" i="3"/>
  <c r="F31" i="6"/>
  <c r="F32" i="6" s="1"/>
  <c r="E6" i="3"/>
  <c r="E10" i="3" s="1"/>
  <c r="E19" i="3" s="1"/>
  <c r="E47" i="3" s="1"/>
  <c r="H15" i="7"/>
  <c r="H16" i="7"/>
  <c r="I26" i="3" s="1"/>
  <c r="I28" i="3" s="1"/>
  <c r="H12" i="6" l="1"/>
  <c r="H30" i="6" s="1"/>
  <c r="H22" i="7"/>
  <c r="H23" i="7" s="1"/>
  <c r="I19" i="2" s="1"/>
  <c r="I22" i="2" s="1"/>
  <c r="I27" i="2" s="1"/>
  <c r="I6" i="6" s="1"/>
  <c r="I31" i="3"/>
  <c r="I34" i="3" s="1"/>
  <c r="I36" i="3" s="1"/>
  <c r="F6" i="3"/>
  <c r="F10" i="3" s="1"/>
  <c r="F19" i="3" s="1"/>
  <c r="F47" i="3" s="1"/>
  <c r="G31" i="6"/>
  <c r="G32" i="6" s="1"/>
  <c r="H41" i="3"/>
  <c r="G42" i="3"/>
  <c r="G45" i="3" s="1"/>
  <c r="I12" i="6" l="1"/>
  <c r="I30" i="6" s="1"/>
  <c r="G7" i="7"/>
  <c r="G10" i="7" s="1"/>
  <c r="H6" i="7" s="1"/>
  <c r="H7" i="7"/>
  <c r="H42" i="3"/>
  <c r="H45" i="3" s="1"/>
  <c r="I41" i="3"/>
  <c r="I42" i="3" s="1"/>
  <c r="I45" i="3" s="1"/>
  <c r="G6" i="3"/>
  <c r="G10" i="3" s="1"/>
  <c r="G19" i="3" s="1"/>
  <c r="G47" i="3" s="1"/>
  <c r="H31" i="6"/>
  <c r="H32" i="6" s="1"/>
  <c r="H10" i="7" l="1"/>
  <c r="I31" i="6"/>
  <c r="I32" i="6" s="1"/>
  <c r="I6" i="3" s="1"/>
  <c r="I10" i="3" s="1"/>
  <c r="I19" i="3" s="1"/>
  <c r="I47" i="3" s="1"/>
  <c r="H6" i="3"/>
  <c r="H10" i="3" s="1"/>
  <c r="H19" i="3" s="1"/>
  <c r="H47" i="3" s="1"/>
</calcChain>
</file>

<file path=xl/sharedStrings.xml><?xml version="1.0" encoding="utf-8"?>
<sst xmlns="http://schemas.openxmlformats.org/spreadsheetml/2006/main" count="259" uniqueCount="190">
  <si>
    <t xml:space="preserve">Company Name </t>
  </si>
  <si>
    <t xml:space="preserve">History </t>
  </si>
  <si>
    <t>Charts</t>
  </si>
  <si>
    <t>Sales Growth (Revenue)</t>
  </si>
  <si>
    <t>Profit Growth(GP)</t>
  </si>
  <si>
    <t>Cash flow Growth (Current Assets)</t>
  </si>
  <si>
    <t>Assets Division (Total Assets)</t>
  </si>
  <si>
    <t xml:space="preserve">COGS </t>
  </si>
  <si>
    <t>Operating Expenses</t>
  </si>
  <si>
    <t>Operating Income</t>
  </si>
  <si>
    <t>INCOME STATEMENT</t>
  </si>
  <si>
    <t>Revenue</t>
  </si>
  <si>
    <t>Growth (%)</t>
  </si>
  <si>
    <t>NA</t>
  </si>
  <si>
    <t>% of Sales</t>
  </si>
  <si>
    <t>Operating Income (EBIT)</t>
  </si>
  <si>
    <t>Interest Expense</t>
  </si>
  <si>
    <t>Income Tax Expense</t>
  </si>
  <si>
    <t>Tax Rate</t>
  </si>
  <si>
    <t>Net Income</t>
  </si>
  <si>
    <t xml:space="preserve">Depreciation </t>
  </si>
  <si>
    <t>Amortization</t>
  </si>
  <si>
    <t>EBITDA</t>
  </si>
  <si>
    <t>Gross Profit (Revenue-COGS)</t>
  </si>
  <si>
    <t>Less :Cost of Goods Sold (COGS)</t>
  </si>
  <si>
    <t>Less :Operating Expenses (SG&amp;A)</t>
  </si>
  <si>
    <t>Pretax Income(EBT)</t>
  </si>
  <si>
    <t>Less: Interest Expense</t>
  </si>
  <si>
    <t>Net Income (EAT)</t>
  </si>
  <si>
    <t>Caliculation of EBITDA- Earnings Before Interest, Tax, Depreciation, Amortization</t>
  </si>
  <si>
    <t>ASSETS</t>
  </si>
  <si>
    <t>Current Assets</t>
  </si>
  <si>
    <t>Inventory</t>
  </si>
  <si>
    <t>Current Liabilities</t>
  </si>
  <si>
    <t>Accounts Payable</t>
  </si>
  <si>
    <t>Line of Credit</t>
  </si>
  <si>
    <t>Current Maturities of Long Term Debt</t>
  </si>
  <si>
    <t>Long Term Debt, Net of Current Maturities</t>
  </si>
  <si>
    <t>EQUITY</t>
  </si>
  <si>
    <t>Common Stock</t>
  </si>
  <si>
    <t>TOTAL EQUITY</t>
  </si>
  <si>
    <t>TOTAL LIABILITIES &amp; EQUITY</t>
  </si>
  <si>
    <t>Add:Accounts Receivable</t>
  </si>
  <si>
    <t>Add:Inventory</t>
  </si>
  <si>
    <t>Add:Prepaid Expenses</t>
  </si>
  <si>
    <t>Total Current Assets (TCA)</t>
  </si>
  <si>
    <t xml:space="preserve"> Cash</t>
  </si>
  <si>
    <t>Total Current Liabilities (TCL)</t>
  </si>
  <si>
    <t>Add: Retained Earnings</t>
  </si>
  <si>
    <t>Add:Additional Paid In Capital</t>
  </si>
  <si>
    <t>Historical</t>
  </si>
  <si>
    <t>Projected</t>
  </si>
  <si>
    <t>BALANCE SHEET ASSUMPTIONS</t>
  </si>
  <si>
    <t>CASH FLOW FROM OPERATING ACTIVITIES</t>
  </si>
  <si>
    <t>Add Back Non-Cash Items</t>
  </si>
  <si>
    <t>Changes in Working Capital</t>
  </si>
  <si>
    <t>CASH FLOW FROM INVESTING ACTIVITIES</t>
  </si>
  <si>
    <t>CASH FLOW FROM FINANCING ACTIVITIES</t>
  </si>
  <si>
    <t>Net Cash Flow</t>
  </si>
  <si>
    <t>Cash Balance @ Beg of Year (End of Last Year)</t>
  </si>
  <si>
    <t>Plus: Free Cash Flow from Operations and Investing</t>
  </si>
  <si>
    <t>Plus: Free Cash Flow from Financing (BEFORE L.O.C.)</t>
  </si>
  <si>
    <t>Less: Minimum Cash Balance</t>
  </si>
  <si>
    <t>Total Cash Available or (Required) from L.O.C.</t>
  </si>
  <si>
    <t>Debt</t>
  </si>
  <si>
    <t>Current Portion of Long Term Debt</t>
  </si>
  <si>
    <t>Interest Rate on Long Term Debt</t>
  </si>
  <si>
    <t>Interest Rate on Line of Credit</t>
  </si>
  <si>
    <t>Interest Expense on Long Term Debt</t>
  </si>
  <si>
    <t>Interest Expense on Line of Credit</t>
  </si>
  <si>
    <t>Total Interest Expense</t>
  </si>
  <si>
    <t>PP&amp;E SCHEDULE</t>
  </si>
  <si>
    <t>Beg: PP&amp;E, Net of Accum. Depreciation</t>
  </si>
  <si>
    <t>Plus: Capital Expenditures</t>
  </si>
  <si>
    <t>Less: Depreciation</t>
  </si>
  <si>
    <t>Depreciation as % of Revenues</t>
  </si>
  <si>
    <t>End: PP&amp;E, Net of Accum. Depreciation</t>
  </si>
  <si>
    <t xml:space="preserve">add: Interest Income </t>
  </si>
  <si>
    <t xml:space="preserve">add: Depreciation </t>
  </si>
  <si>
    <t>add: Amortization</t>
  </si>
  <si>
    <t>Capital Work in Progress</t>
  </si>
  <si>
    <t>Investments</t>
  </si>
  <si>
    <t>Other Assets</t>
  </si>
  <si>
    <t xml:space="preserve">short term borrowing </t>
  </si>
  <si>
    <t>Other Current Liabilities:</t>
  </si>
  <si>
    <t>Long-Term Debt:</t>
  </si>
  <si>
    <t xml:space="preserve">non controling interest </t>
  </si>
  <si>
    <t>Other Long-Term Liabilities:</t>
  </si>
  <si>
    <t>Total Non-Current Liabilities:</t>
  </si>
  <si>
    <t>Total Liabilities:</t>
  </si>
  <si>
    <t>Non-Current Assets:</t>
  </si>
  <si>
    <t xml:space="preserve">Fixed Aseets Net Block </t>
  </si>
  <si>
    <t>Total Non-Current Assets:</t>
  </si>
  <si>
    <t>Total asset</t>
  </si>
  <si>
    <t>Check (Total Assets=Total Liabilities&amp; Equity)</t>
  </si>
  <si>
    <t xml:space="preserve">BALANCESHEET </t>
  </si>
  <si>
    <t xml:space="preserve"> LIABILITIES &amp; EQUITY</t>
  </si>
  <si>
    <t xml:space="preserve"> Non-Current Liabilities:</t>
  </si>
  <si>
    <t xml:space="preserve">Inventory Days </t>
  </si>
  <si>
    <t xml:space="preserve">Account Receivable Days </t>
  </si>
  <si>
    <t xml:space="preserve">Accounts Payable Days </t>
  </si>
  <si>
    <t xml:space="preserve"> Line of Credit</t>
  </si>
  <si>
    <t>Accrued Expenses % SG&amp;A:</t>
  </si>
  <si>
    <t>Other Current Liabilities % SG&amp;A:</t>
  </si>
  <si>
    <t>Other Long-Term Liabilities % SG&amp;A:</t>
  </si>
  <si>
    <t xml:space="preserve">CASH FLOW STATEMENT </t>
  </si>
  <si>
    <t>Net Cash Provided by Operating ActivitiY)</t>
  </si>
  <si>
    <t>Proceeds from shares</t>
  </si>
  <si>
    <t>Proceeds from borrowings</t>
  </si>
  <si>
    <t>Repayment of borrowings</t>
  </si>
  <si>
    <t>Dividends paid</t>
  </si>
  <si>
    <t>Financial liabilities</t>
  </si>
  <si>
    <t>Share application money</t>
  </si>
  <si>
    <t>Other financing items</t>
  </si>
  <si>
    <t xml:space="preserve">Capital expenditure </t>
  </si>
  <si>
    <t xml:space="preserve">Net Cash flow by Investment Activities </t>
  </si>
  <si>
    <t xml:space="preserve">other investment items </t>
  </si>
  <si>
    <t xml:space="preserve">Net Cash flow byFinancing Activities </t>
  </si>
  <si>
    <t>Beginning Cah Flow</t>
  </si>
  <si>
    <t xml:space="preserve">Ending Cash Flow </t>
  </si>
  <si>
    <t xml:space="preserve">DEBT SECHEDULE </t>
  </si>
  <si>
    <t>Adjusted Equity Shares in Cr</t>
  </si>
  <si>
    <t>DERIVED:</t>
  </si>
  <si>
    <t>PRICE: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</si>
  <si>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</si>
  <si>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</si>
  <si>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</si>
  <si>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</si>
  <si>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</si>
  <si>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</si>
  <si>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</si>
  <si>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</si>
  <si>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</si>
  <si>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Receivables</t>
  </si>
  <si>
    <t>Total</t>
  </si>
  <si>
    <t>Net Block</t>
  </si>
  <si>
    <t>Other Liabilities</t>
  </si>
  <si>
    <t>Borrowings</t>
  </si>
  <si>
    <t>Reserves</t>
  </si>
  <si>
    <t>Equity Share Capital</t>
  </si>
  <si>
    <t>BALANCE SHEET</t>
  </si>
  <si>
    <t>Operating Profit</t>
  </si>
  <si>
    <t>Net profit</t>
  </si>
  <si>
    <t>Tax</t>
  </si>
  <si>
    <t>Profit before tax</t>
  </si>
  <si>
    <t>Interest</t>
  </si>
  <si>
    <t>Depreciation</t>
  </si>
  <si>
    <t>Other Income</t>
  </si>
  <si>
    <t>Expenses</t>
  </si>
  <si>
    <t>Sales</t>
  </si>
  <si>
    <t>Quarters</t>
  </si>
  <si>
    <t>Effective Tax Rate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</si>
  <si>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</si>
  <si>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</si>
  <si>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</si>
  <si>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</si>
  <si>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</si>
  <si>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</si>
  <si>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</si>
  <si>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</si>
  <si>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</si>
  <si>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</si>
  <si>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</si>
  <si>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</si>
  <si>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</si>
  <si>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</si>
  <si>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</si>
  <si>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</si>
  <si>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</si>
  <si>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HDFC BANK LTD</t>
  </si>
  <si>
    <t>COMPANY NAME</t>
  </si>
  <si>
    <t>Cash from Operating Activity -</t>
  </si>
  <si>
    <t>Profit from operations</t>
  </si>
  <si>
    <t>Loans Advances</t>
  </si>
  <si>
    <t>Operating investments</t>
  </si>
  <si>
    <t>Deposits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</si>
  <si>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</si>
  <si>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</si>
  <si>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</si>
  <si>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</si>
  <si>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</si>
  <si>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</si>
  <si>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 in subsidiaries</t>
  </si>
  <si>
    <t>Acquisition of companies</t>
  </si>
  <si>
    <t>Other investing items</t>
  </si>
  <si>
    <t>Cash from Financing Activity -</t>
  </si>
  <si>
    <t>Proceeds from debentures</t>
  </si>
  <si>
    <t>Redemption of debentures</t>
  </si>
  <si>
    <t xml:space="preserve">Repayment of debenture </t>
  </si>
  <si>
    <t>The Housing Development Finance Corporation Limited (HDFC) was amongst the first to receive an 'in principle' approval from the Reserve Bank of India (RBI) to set up a bank in the private sector. HDFC Bank is a publicly held banking company, the bank was incorporated in August 1994 in the name of 'HDFC Bank Limited', with its registered office in Mumbai, India. It is engaged in providing a range of banking and financial services including retail banking, wholesale banking and treasury operations. It is promoted by HDFC Ltd.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</si>
</sst>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);[Red]\(#,##0.0\)"/>
    <numFmt numFmtId="165" formatCode="_(* #,##0.0_);_(* \(#,##0.0\);_(* &quot;-&quot;?_);_(@_)"/>
    <numFmt numFmtId="166" formatCode="0.00_);\(0.00\)"/>
    <numFmt numFmtId="167" formatCode="_ * #,##0.00_ ;_ * \-#,##0.00_ ;_ * &quot;-&quot;??_ ;_ @_ "/>
    <numFmt numFmtId="168" formatCode="[$-409]mmm\-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2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2222F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FCC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7" fillId="0" borderId="0"/>
    <xf numFmtId="9" fontId="3" fillId="0" borderId="0" applyFont="0" applyFill="0" applyBorder="0" applyAlignment="0" applyProtection="0"/>
    <xf numFmtId="0" fontId="11" fillId="8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38" fontId="0" fillId="4" borderId="0" xfId="0" applyNumberFormat="1" applyFill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1" fillId="4" borderId="0" xfId="0" applyFont="1" applyFill="1"/>
    <xf numFmtId="0" fontId="6" fillId="4" borderId="0" xfId="0" applyFont="1" applyFill="1" applyAlignment="1">
      <alignment horizontal="left" indent="1"/>
    </xf>
    <xf numFmtId="165" fontId="6" fillId="4" borderId="0" xfId="0" applyNumberFormat="1" applyFont="1" applyFill="1" applyAlignment="1">
      <alignment horizontal="right"/>
    </xf>
    <xf numFmtId="10" fontId="6" fillId="4" borderId="0" xfId="0" applyNumberFormat="1" applyFont="1" applyFill="1"/>
    <xf numFmtId="0" fontId="7" fillId="4" borderId="0" xfId="0" applyFont="1" applyFill="1" applyAlignment="1">
      <alignment horizontal="left" indent="1"/>
    </xf>
    <xf numFmtId="10" fontId="7" fillId="4" borderId="0" xfId="0" applyNumberFormat="1" applyFont="1" applyFill="1"/>
    <xf numFmtId="40" fontId="8" fillId="4" borderId="0" xfId="0" applyNumberFormat="1" applyFont="1" applyFill="1"/>
    <xf numFmtId="166" fontId="8" fillId="0" borderId="0" xfId="0" applyNumberFormat="1" applyFont="1"/>
    <xf numFmtId="0" fontId="1" fillId="4" borderId="3" xfId="0" applyFont="1" applyFill="1" applyBorder="1"/>
    <xf numFmtId="10" fontId="6" fillId="6" borderId="0" xfId="0" applyNumberFormat="1" applyFont="1" applyFill="1"/>
    <xf numFmtId="10" fontId="7" fillId="6" borderId="0" xfId="0" applyNumberFormat="1" applyFont="1" applyFill="1"/>
    <xf numFmtId="0" fontId="0" fillId="6" borderId="0" xfId="0" applyFill="1"/>
    <xf numFmtId="10" fontId="7" fillId="4" borderId="0" xfId="0" applyNumberFormat="1" applyFont="1" applyFill="1" applyAlignment="1">
      <alignment horizontal="right"/>
    </xf>
    <xf numFmtId="0" fontId="1" fillId="0" borderId="0" xfId="0" applyFont="1" applyAlignment="1">
      <alignment horizontal="left" indent="1"/>
    </xf>
    <xf numFmtId="0" fontId="0" fillId="4" borderId="0" xfId="0" applyFill="1" applyAlignment="1">
      <alignment horizontal="left" indent="1"/>
    </xf>
    <xf numFmtId="167" fontId="5" fillId="0" borderId="0" xfId="3" applyFont="1" applyBorder="1"/>
    <xf numFmtId="0" fontId="12" fillId="4" borderId="0" xfId="0" applyFont="1" applyFill="1"/>
    <xf numFmtId="0" fontId="1" fillId="4" borderId="0" xfId="0" applyFont="1" applyFill="1" applyAlignment="1">
      <alignment horizontal="left" indent="1"/>
    </xf>
    <xf numFmtId="2" fontId="0" fillId="4" borderId="0" xfId="0" applyNumberFormat="1" applyFill="1"/>
    <xf numFmtId="0" fontId="4" fillId="5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38" fontId="0" fillId="4" borderId="0" xfId="0" applyNumberFormat="1" applyFill="1" applyAlignment="1">
      <alignment horizontal="right"/>
    </xf>
    <xf numFmtId="0" fontId="8" fillId="0" borderId="0" xfId="0" applyFont="1" applyAlignment="1">
      <alignment horizontal="right"/>
    </xf>
    <xf numFmtId="38" fontId="8" fillId="4" borderId="0" xfId="0" applyNumberFormat="1" applyFont="1" applyFill="1" applyAlignment="1">
      <alignment horizontal="right"/>
    </xf>
    <xf numFmtId="38" fontId="9" fillId="4" borderId="0" xfId="0" applyNumberFormat="1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9" fontId="0" fillId="4" borderId="0" xfId="0" applyNumberFormat="1" applyFill="1" applyAlignment="1">
      <alignment horizontal="right"/>
    </xf>
    <xf numFmtId="0" fontId="4" fillId="5" borderId="0" xfId="0" applyFont="1" applyFill="1" applyAlignment="1">
      <alignment horizontal="left"/>
    </xf>
    <xf numFmtId="165" fontId="8" fillId="4" borderId="0" xfId="0" applyNumberFormat="1" applyFont="1" applyFill="1" applyAlignment="1">
      <alignment horizontal="right"/>
    </xf>
    <xf numFmtId="2" fontId="0" fillId="4" borderId="0" xfId="2" applyNumberFormat="1" applyFont="1" applyFill="1"/>
    <xf numFmtId="0" fontId="0" fillId="2" borderId="4" xfId="0" applyFill="1" applyBorder="1" applyAlignment="1">
      <alignment horizontal="center"/>
    </xf>
    <xf numFmtId="2" fontId="0" fillId="6" borderId="0" xfId="0" applyNumberFormat="1" applyFill="1" applyAlignment="1">
      <alignment horizontal="right"/>
    </xf>
    <xf numFmtId="2" fontId="0" fillId="6" borderId="0" xfId="0" applyNumberFormat="1" applyFill="1"/>
    <xf numFmtId="2" fontId="0" fillId="0" borderId="0" xfId="0" applyNumberFormat="1"/>
    <xf numFmtId="0" fontId="1" fillId="4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40" fontId="1" fillId="4" borderId="3" xfId="0" applyNumberFormat="1" applyFont="1" applyFill="1" applyBorder="1" applyAlignment="1">
      <alignment horizontal="right"/>
    </xf>
    <xf numFmtId="40" fontId="0" fillId="4" borderId="0" xfId="0" applyNumberFormat="1" applyFill="1"/>
    <xf numFmtId="40" fontId="5" fillId="0" borderId="0" xfId="1" applyNumberFormat="1" applyFont="1" applyAlignment="1">
      <alignment horizontal="right"/>
    </xf>
    <xf numFmtId="39" fontId="0" fillId="4" borderId="0" xfId="0" applyNumberFormat="1" applyFill="1" applyAlignment="1">
      <alignment horizontal="right"/>
    </xf>
    <xf numFmtId="39" fontId="8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39" fontId="0" fillId="0" borderId="0" xfId="0" applyNumberFormat="1"/>
    <xf numFmtId="165" fontId="0" fillId="0" borderId="0" xfId="0" applyNumberFormat="1"/>
    <xf numFmtId="9" fontId="0" fillId="6" borderId="0" xfId="0" applyNumberFormat="1" applyFill="1"/>
    <xf numFmtId="2" fontId="1" fillId="0" borderId="2" xfId="0" applyNumberFormat="1" applyFont="1" applyBorder="1"/>
    <xf numFmtId="0" fontId="11" fillId="4" borderId="0" xfId="0" applyFont="1" applyFill="1"/>
    <xf numFmtId="39" fontId="1" fillId="0" borderId="2" xfId="0" applyNumberFormat="1" applyFont="1" applyBorder="1"/>
    <xf numFmtId="2" fontId="0" fillId="3" borderId="0" xfId="0" applyNumberFormat="1" applyFill="1"/>
    <xf numFmtId="40" fontId="0" fillId="0" borderId="0" xfId="0" applyNumberFormat="1"/>
    <xf numFmtId="2" fontId="8" fillId="0" borderId="0" xfId="0" applyNumberFormat="1" applyFont="1"/>
    <xf numFmtId="2" fontId="9" fillId="4" borderId="1" xfId="0" applyNumberFormat="1" applyFont="1" applyFill="1" applyBorder="1"/>
    <xf numFmtId="2" fontId="1" fillId="4" borderId="1" xfId="0" applyNumberFormat="1" applyFont="1" applyFill="1" applyBorder="1"/>
    <xf numFmtId="2" fontId="10" fillId="0" borderId="0" xfId="1" applyNumberFormat="1" applyFont="1"/>
    <xf numFmtId="2" fontId="9" fillId="4" borderId="3" xfId="0" applyNumberFormat="1" applyFont="1" applyFill="1" applyBorder="1"/>
    <xf numFmtId="2" fontId="1" fillId="4" borderId="3" xfId="0" applyNumberFormat="1" applyFont="1" applyFill="1" applyBorder="1"/>
    <xf numFmtId="2" fontId="10" fillId="0" borderId="0" xfId="1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9" fillId="4" borderId="3" xfId="0" applyNumberFormat="1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2" fontId="8" fillId="3" borderId="0" xfId="0" applyNumberFormat="1" applyFont="1" applyFill="1"/>
    <xf numFmtId="40" fontId="9" fillId="4" borderId="0" xfId="0" applyNumberFormat="1" applyFont="1" applyFill="1" applyAlignment="1">
      <alignment horizontal="right"/>
    </xf>
    <xf numFmtId="40" fontId="1" fillId="4" borderId="0" xfId="0" applyNumberFormat="1" applyFont="1" applyFill="1" applyAlignment="1">
      <alignment horizontal="right"/>
    </xf>
    <xf numFmtId="40" fontId="8" fillId="4" borderId="0" xfId="0" applyNumberFormat="1" applyFont="1" applyFill="1" applyAlignment="1">
      <alignment horizontal="right"/>
    </xf>
    <xf numFmtId="40" fontId="10" fillId="0" borderId="0" xfId="1" applyNumberFormat="1" applyFont="1" applyAlignment="1">
      <alignment horizontal="right"/>
    </xf>
    <xf numFmtId="40" fontId="9" fillId="4" borderId="3" xfId="0" applyNumberFormat="1" applyFont="1" applyFill="1" applyBorder="1" applyAlignment="1">
      <alignment horizontal="right"/>
    </xf>
    <xf numFmtId="2" fontId="0" fillId="6" borderId="0" xfId="2" applyNumberFormat="1" applyFont="1" applyFill="1" applyAlignment="1">
      <alignment horizontal="right"/>
    </xf>
    <xf numFmtId="165" fontId="0" fillId="4" borderId="0" xfId="0" applyNumberFormat="1" applyFill="1" applyAlignment="1">
      <alignment horizontal="right"/>
    </xf>
    <xf numFmtId="39" fontId="9" fillId="4" borderId="3" xfId="0" applyNumberFormat="1" applyFont="1" applyFill="1" applyBorder="1" applyAlignment="1">
      <alignment horizontal="right"/>
    </xf>
    <xf numFmtId="39" fontId="1" fillId="4" borderId="3" xfId="0" applyNumberFormat="1" applyFont="1" applyFill="1" applyBorder="1" applyAlignment="1">
      <alignment horizontal="right"/>
    </xf>
    <xf numFmtId="165" fontId="9" fillId="4" borderId="3" xfId="0" applyNumberFormat="1" applyFont="1" applyFill="1" applyBorder="1" applyAlignment="1">
      <alignment horizontal="right"/>
    </xf>
    <xf numFmtId="43" fontId="5" fillId="0" borderId="0" xfId="3" applyNumberFormat="1" applyFont="1" applyBorder="1"/>
    <xf numFmtId="167" fontId="14" fillId="0" borderId="0" xfId="3" applyFont="1" applyBorder="1"/>
    <xf numFmtId="0" fontId="5" fillId="0" borderId="0" xfId="1" applyFont="1"/>
    <xf numFmtId="168" fontId="15" fillId="0" borderId="0" xfId="3" applyNumberFormat="1" applyFont="1" applyFill="1" applyBorder="1"/>
    <xf numFmtId="168" fontId="16" fillId="9" borderId="0" xfId="1" applyNumberFormat="1" applyFont="1" applyFill="1" applyAlignment="1">
      <alignment horizontal="center"/>
    </xf>
    <xf numFmtId="168" fontId="16" fillId="9" borderId="0" xfId="3" applyNumberFormat="1" applyFont="1" applyFill="1" applyBorder="1"/>
    <xf numFmtId="0" fontId="17" fillId="0" borderId="0" xfId="4"/>
    <xf numFmtId="0" fontId="3" fillId="0" borderId="0" xfId="1"/>
    <xf numFmtId="9" fontId="5" fillId="0" borderId="0" xfId="5" applyFont="1" applyBorder="1"/>
    <xf numFmtId="165" fontId="8" fillId="0" borderId="0" xfId="0" applyNumberFormat="1" applyFont="1" applyAlignment="1">
      <alignment horizontal="right"/>
    </xf>
    <xf numFmtId="3" fontId="20" fillId="7" borderId="0" xfId="0" applyNumberFormat="1" applyFont="1" applyFill="1" applyAlignment="1">
      <alignment horizontal="right" vertical="center" wrapText="1"/>
    </xf>
    <xf numFmtId="0" fontId="21" fillId="7" borderId="0" xfId="0" applyFont="1" applyFill="1" applyAlignment="1">
      <alignment horizontal="left" vertical="center"/>
    </xf>
    <xf numFmtId="3" fontId="21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/>
    </xf>
    <xf numFmtId="0" fontId="20" fillId="7" borderId="0" xfId="0" applyFont="1" applyFill="1" applyAlignment="1">
      <alignment horizontal="right" vertical="center" wrapText="1"/>
    </xf>
    <xf numFmtId="165" fontId="10" fillId="0" borderId="0" xfId="1" applyNumberFormat="1" applyFont="1" applyAlignment="1">
      <alignment horizontal="right"/>
    </xf>
    <xf numFmtId="17" fontId="22" fillId="7" borderId="0" xfId="0" applyNumberFormat="1" applyFont="1" applyFill="1" applyAlignment="1">
      <alignment horizontal="right" vertical="center" wrapText="1"/>
    </xf>
    <xf numFmtId="0" fontId="21" fillId="7" borderId="0" xfId="0" applyFont="1" applyFill="1" applyAlignment="1">
      <alignment horizontal="righ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0" fontId="23" fillId="5" borderId="0" xfId="0" applyFont="1" applyFill="1" applyAlignment="1">
      <alignment horizontal="center"/>
    </xf>
    <xf numFmtId="167" fontId="19" fillId="0" borderId="0" xfId="7" applyNumberFormat="1" applyFont="1" applyBorder="1" applyAlignment="1" applyProtection="1">
      <alignment horizontal="center"/>
    </xf>
    <xf numFmtId="167" fontId="16" fillId="8" borderId="0" xfId="6" applyNumberFormat="1" applyFont="1" applyBorder="1" applyAlignment="1">
      <alignment horizontal="center"/>
    </xf>
  </cellXfs>
  <cellStyles count="8">
    <cellStyle name="Accent6 2" xfId="6" xr:uid="{2D37A714-6B24-40FB-8137-7CC2858A42AB}"/>
    <cellStyle name="Comma 2" xfId="3" xr:uid="{A31A553E-596A-42AB-A629-0F304E0F8E69}"/>
    <cellStyle name="Hyperlink 2" xfId="7" xr:uid="{E954A00E-42FF-41BD-A1C2-A8D5F96DE24F}"/>
    <cellStyle name="Normal" xfId="0" builtinId="0"/>
    <cellStyle name="Normal 2" xfId="4" xr:uid="{5A031214-CC09-448C-BCF0-F5CFDD7950E8}"/>
    <cellStyle name="Normal 3" xfId="1" xr:uid="{B1B2BAB4-16BC-466C-AEDB-1E382C13A388}"/>
    <cellStyle name="Per cent" xfId="2" builtinId="5"/>
    <cellStyle name="Percent 3" xfId="5" xr:uid="{E7BEACB0-7DB8-4639-A29B-9E52179199C3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0000FF"/>
      <color rgb="FFDFCCF8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'!$C$5:$I$5</c:f>
              <c:numCache>
                <c:formatCode>#,##0.00_);[Red]\(#,##0.00\)</c:formatCode>
                <c:ptCount val="7"/>
                <c:pt idx="0">
                  <c:v>135936.41</c:v>
                </c:pt>
                <c:pt idx="1">
                  <c:v>170754.05</c:v>
                </c:pt>
                <c:pt idx="2">
                  <c:v>204904.86</c:v>
                </c:pt>
                <c:pt idx="3">
                  <c:v>245885.83199999997</c:v>
                </c:pt>
                <c:pt idx="4">
                  <c:v>295062.99839999992</c:v>
                </c:pt>
                <c:pt idx="5">
                  <c:v>354075.59807999991</c:v>
                </c:pt>
                <c:pt idx="6">
                  <c:v>424890.71769599989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4666-9D39-ED9C006C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07024"/>
        <c:axId val="480407728"/>
      </c:lineChart>
      <c:catAx>
        <c:axId val="4804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7728"/>
        <c:crosses val="autoZero"/>
        <c:auto val="1"/>
        <c:lblAlgn val="ctr"/>
        <c:lblOffset val="100"/>
        <c:noMultiLvlLbl val="0"/>
      </c:catAx>
      <c:valAx>
        <c:axId val="4804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'!$C$27:$I$27</c:f>
              <c:numCache>
                <c:formatCode>0.00</c:formatCode>
                <c:ptCount val="7"/>
                <c:pt idx="0">
                  <c:v>39831.630000000019</c:v>
                </c:pt>
                <c:pt idx="1">
                  <c:v>48494.17</c:v>
                </c:pt>
                <c:pt idx="2">
                  <c:v>62069.906265275407</c:v>
                </c:pt>
                <c:pt idx="3">
                  <c:v>101368.08703416523</c:v>
                </c:pt>
                <c:pt idx="4">
                  <c:v>140022.64724774737</c:v>
                </c:pt>
                <c:pt idx="5">
                  <c:v>186045.17397093485</c:v>
                </c:pt>
                <c:pt idx="6">
                  <c:v>236475.33905962962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3-4093-A1B5-0C49A0C7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58152"/>
        <c:axId val="607961320"/>
      </c:lineChart>
      <c:catAx>
        <c:axId val="6079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1320"/>
        <c:crosses val="autoZero"/>
        <c:auto val="1"/>
        <c:lblAlgn val="ctr"/>
        <c:lblOffset val="100"/>
        <c:noMultiLvlLbl val="0"/>
      </c:catAx>
      <c:valAx>
        <c:axId val="60796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'balances sheet'!$C$10:$I$10</c:f>
              <c:numCache>
                <c:formatCode>0.00</c:formatCode>
                <c:ptCount val="7"/>
                <c:pt idx="0">
                  <c:v>155385.73000000001</c:v>
                </c:pt>
                <c:pt idx="1">
                  <c:v>197147.81</c:v>
                </c:pt>
                <c:pt idx="2">
                  <c:v>147266.81932484877</c:v>
                </c:pt>
                <c:pt idx="3">
                  <c:v>262637.72259475803</c:v>
                </c:pt>
                <c:pt idx="4">
                  <c:v>414218.29298684467</c:v>
                </c:pt>
                <c:pt idx="5">
                  <c:v>609846.3075841188</c:v>
                </c:pt>
                <c:pt idx="6">
                  <c:v>854185.81806097622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1-49DE-BE07-0D3FDB30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967304"/>
        <c:axId val="607970120"/>
      </c:barChart>
      <c:catAx>
        <c:axId val="60796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0120"/>
        <c:crosses val="autoZero"/>
        <c:auto val="1"/>
        <c:lblAlgn val="ctr"/>
        <c:lblOffset val="100"/>
        <c:noMultiLvlLbl val="0"/>
      </c:catAx>
      <c:valAx>
        <c:axId val="6079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'balances sheet'!$C$19:$I$19</c:f>
              <c:numCache>
                <c:formatCode>#,##0.00_);[Red]\(#,##0.00\)</c:formatCode>
                <c:ptCount val="7"/>
                <c:pt idx="0">
                  <c:v>2122934.3000000003</c:v>
                </c:pt>
                <c:pt idx="1">
                  <c:v>2530432.5</c:v>
                </c:pt>
                <c:pt idx="2">
                  <c:v>2412893.6728844219</c:v>
                </c:pt>
                <c:pt idx="3">
                  <c:v>2698982.6777150752</c:v>
                </c:pt>
                <c:pt idx="4">
                  <c:v>2922285.5785002513</c:v>
                </c:pt>
                <c:pt idx="5">
                  <c:v>3262385.9966349266</c:v>
                </c:pt>
                <c:pt idx="6">
                  <c:v>3641580.9011836089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9-4D2A-85BB-CE44190A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76456"/>
        <c:axId val="497956272"/>
      </c:lineChart>
      <c:catAx>
        <c:axId val="60797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6272"/>
        <c:crosses val="autoZero"/>
        <c:auto val="1"/>
        <c:lblAlgn val="ctr"/>
        <c:lblOffset val="100"/>
        <c:noMultiLvlLbl val="0"/>
      </c:catAx>
      <c:valAx>
        <c:axId val="4979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'!$C$8:$I$8</c:f>
              <c:numCache>
                <c:formatCode>#,##0.00_);[Red]\(#,##0.00\)</c:formatCode>
                <c:ptCount val="7"/>
                <c:pt idx="0">
                  <c:v>17677.079999999998</c:v>
                </c:pt>
                <c:pt idx="1">
                  <c:v>22207.86</c:v>
                </c:pt>
                <c:pt idx="2" formatCode="0.00">
                  <c:v>26647.56159599889</c:v>
                </c:pt>
                <c:pt idx="3" formatCode="0.00">
                  <c:v>31978.196157599326</c:v>
                </c:pt>
                <c:pt idx="4" formatCode="0.00">
                  <c:v>38373.162043678793</c:v>
                </c:pt>
                <c:pt idx="5" formatCode="0.00">
                  <c:v>46048.198459678788</c:v>
                </c:pt>
                <c:pt idx="6" formatCode="0.00">
                  <c:v>55257.595747256011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ED7-A25D-68BB49AE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88776"/>
        <c:axId val="606183496"/>
      </c:lineChart>
      <c:catAx>
        <c:axId val="6061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83496"/>
        <c:crosses val="autoZero"/>
        <c:auto val="1"/>
        <c:lblAlgn val="ctr"/>
        <c:lblOffset val="100"/>
        <c:noMultiLvlLbl val="0"/>
      </c:catAx>
      <c:valAx>
        <c:axId val="6061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8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'!$C$14:$I$14</c:f>
              <c:numCache>
                <c:formatCode>0.00</c:formatCode>
                <c:ptCount val="7"/>
                <c:pt idx="0">
                  <c:v>38879.879999999997</c:v>
                </c:pt>
                <c:pt idx="1">
                  <c:v>40834.439999999995</c:v>
                </c:pt>
                <c:pt idx="2">
                  <c:v>53803.616638725696</c:v>
                </c:pt>
                <c:pt idx="3">
                  <c:v>61682.96678323541</c:v>
                </c:pt>
                <c:pt idx="4">
                  <c:v>75748.38404982374</c:v>
                </c:pt>
                <c:pt idx="5">
                  <c:v>89860.76651382375</c:v>
                </c:pt>
                <c:pt idx="6">
                  <c:v>108455.29642416735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1-4800-87AD-7868A671C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00744"/>
        <c:axId val="606202856"/>
      </c:lineChart>
      <c:catAx>
        <c:axId val="60620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02856"/>
        <c:crosses val="autoZero"/>
        <c:auto val="1"/>
        <c:lblAlgn val="ctr"/>
        <c:lblOffset val="100"/>
        <c:noMultiLvlLbl val="0"/>
      </c:catAx>
      <c:valAx>
        <c:axId val="6062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0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statement '!$C$17:$I$17</c:f>
              <c:numCache>
                <c:formatCode>0.00</c:formatCode>
                <c:ptCount val="7"/>
                <c:pt idx="0">
                  <c:v>79379.450000000012</c:v>
                </c:pt>
                <c:pt idx="1">
                  <c:v>107711.75</c:v>
                </c:pt>
                <c:pt idx="2">
                  <c:v>124453.68176527541</c:v>
                </c:pt>
                <c:pt idx="3">
                  <c:v>152224.66905916523</c:v>
                </c:pt>
                <c:pt idx="4">
                  <c:v>180941.45230649738</c:v>
                </c:pt>
                <c:pt idx="5">
                  <c:v>218166.63310649735</c:v>
                </c:pt>
                <c:pt idx="6">
                  <c:v>261177.82552457653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7-42E6-9ED1-1477FB7D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441544"/>
        <c:axId val="605442248"/>
      </c:barChart>
      <c:catAx>
        <c:axId val="60544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2248"/>
        <c:crosses val="autoZero"/>
        <c:auto val="1"/>
        <c:lblAlgn val="ctr"/>
        <c:lblOffset val="100"/>
        <c:noMultiLvlLbl val="0"/>
      </c:catAx>
      <c:valAx>
        <c:axId val="6054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</xdr:col>
      <xdr:colOff>4572000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AEE2A-8F49-43F3-B6AB-3FA0AA077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</xdr:col>
      <xdr:colOff>4572000</xdr:colOff>
      <xdr:row>33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4F74A-B88E-4F51-878B-BA396E7D9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4572000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3142F-8C72-4DFC-81B2-9952024AE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</xdr:col>
      <xdr:colOff>4572000</xdr:colOff>
      <xdr:row>59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B69C55-39FD-4423-9766-53B31F8D3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</xdr:col>
      <xdr:colOff>4572000</xdr:colOff>
      <xdr:row>74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54EE3-6559-4835-8DF4-0A923277F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</xdr:col>
      <xdr:colOff>4572000</xdr:colOff>
      <xdr:row>87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E0784D-C642-42C5-B700-66D81FEEE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</xdr:col>
      <xdr:colOff>4572000</xdr:colOff>
      <xdr:row>101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A7F530-87B3-4410-9E19-217846DC3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BE80-F67D-49C4-A5D2-326E8E0A0FD5}">
  <sheetPr>
    <tabColor theme="5" tint="-0.249977111117893"/>
  </sheetPr>
  <dimension ref="A1:C9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8.83203125" defaultRowHeight="15" x14ac:dyDescent="0.2"/>
  <cols>
    <col min="1" max="1" width="30.1640625" bestFit="1" customWidth="1"/>
    <col min="2" max="2" width="118.6640625" customWidth="1"/>
  </cols>
  <sheetData>
    <row r="1" spans="1:3" x14ac:dyDescent="0.2">
      <c r="A1" s="1" t="s">
        <v>0</v>
      </c>
      <c r="B1" s="83" t="s">
        <v>169</v>
      </c>
      <c r="C1" s="83"/>
    </row>
    <row r="4" spans="1:3" ht="64" x14ac:dyDescent="0.2">
      <c r="A4" s="100" t="s">
        <v>1</v>
      </c>
      <c r="B4" s="101" t="s">
        <v>189</v>
      </c>
    </row>
    <row r="6" spans="1:3" x14ac:dyDescent="0.2">
      <c r="A6" s="8" t="s">
        <v>2</v>
      </c>
    </row>
    <row r="8" spans="1:3" x14ac:dyDescent="0.2">
      <c r="A8" s="1" t="s">
        <v>3</v>
      </c>
    </row>
    <row r="16" spans="1:3" x14ac:dyDescent="0.2">
      <c r="A16" s="1"/>
    </row>
    <row r="21" spans="1:1" x14ac:dyDescent="0.2">
      <c r="A21" s="1" t="s">
        <v>4</v>
      </c>
    </row>
    <row r="30" spans="1:1" x14ac:dyDescent="0.2">
      <c r="A30" s="1"/>
    </row>
    <row r="36" spans="1:1" x14ac:dyDescent="0.2">
      <c r="A36" s="1" t="s">
        <v>5</v>
      </c>
    </row>
    <row r="49" spans="1:1" x14ac:dyDescent="0.2">
      <c r="A49" s="1" t="s">
        <v>6</v>
      </c>
    </row>
    <row r="51" spans="1:1" x14ac:dyDescent="0.2">
      <c r="A51" s="1"/>
    </row>
    <row r="62" spans="1:1" x14ac:dyDescent="0.2">
      <c r="A62" s="1" t="s">
        <v>7</v>
      </c>
    </row>
    <row r="77" spans="1:1" x14ac:dyDescent="0.2">
      <c r="A77" s="1" t="s">
        <v>8</v>
      </c>
    </row>
    <row r="90" spans="1:1" x14ac:dyDescent="0.2">
      <c r="A90" s="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D55C-7B8B-4071-878A-979F944C165A}">
  <sheetPr>
    <tabColor theme="4" tint="-0.249977111117893"/>
  </sheetPr>
  <dimension ref="B2:I34"/>
  <sheetViews>
    <sheetView showGridLines="0" workbookViewId="0">
      <pane ySplit="4" topLeftCell="A5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1.83203125" customWidth="1"/>
    <col min="2" max="2" width="34.1640625" style="5" bestFit="1" customWidth="1"/>
    <col min="3" max="4" width="12.83203125" style="5" customWidth="1"/>
    <col min="5" max="5" width="11.83203125" style="5" customWidth="1"/>
    <col min="6" max="6" width="13.1640625" style="5" bestFit="1" customWidth="1"/>
    <col min="7" max="7" width="12" style="5" bestFit="1" customWidth="1"/>
    <col min="8" max="9" width="12" bestFit="1" customWidth="1"/>
  </cols>
  <sheetData>
    <row r="2" spans="2:9" ht="19" x14ac:dyDescent="0.25">
      <c r="B2" s="103" t="s">
        <v>169</v>
      </c>
      <c r="C2" s="103"/>
      <c r="D2" s="103"/>
      <c r="E2" s="103"/>
      <c r="F2" s="103"/>
      <c r="G2" s="103"/>
      <c r="H2" s="103"/>
      <c r="I2" s="103"/>
    </row>
    <row r="3" spans="2:9" x14ac:dyDescent="0.2">
      <c r="B3" s="8"/>
      <c r="C3" s="9" t="s">
        <v>50</v>
      </c>
      <c r="D3" s="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</row>
    <row r="4" spans="2:9" x14ac:dyDescent="0.2">
      <c r="B4" s="8" t="s">
        <v>10</v>
      </c>
      <c r="C4" s="9">
        <v>2022</v>
      </c>
      <c r="D4" s="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9" x14ac:dyDescent="0.2">
      <c r="B5" s="5" t="s">
        <v>11</v>
      </c>
      <c r="C5" s="16">
        <f>'Data Sheet'!J17</f>
        <v>135936.41</v>
      </c>
      <c r="D5" s="16">
        <f>'Data Sheet'!K17</f>
        <v>170754.05</v>
      </c>
      <c r="E5" s="48">
        <f>D5*(1+E6)</f>
        <v>204904.86</v>
      </c>
      <c r="F5" s="48">
        <f t="shared" ref="F5:I5" si="1">E5*(1+F6)</f>
        <v>245885.83199999997</v>
      </c>
      <c r="G5" s="48">
        <f t="shared" si="1"/>
        <v>295062.99839999992</v>
      </c>
      <c r="H5" s="48">
        <f t="shared" si="1"/>
        <v>354075.59807999991</v>
      </c>
      <c r="I5" s="48">
        <f t="shared" si="1"/>
        <v>424890.71769599989</v>
      </c>
    </row>
    <row r="6" spans="2:9" s="2" customFormat="1" x14ac:dyDescent="0.2">
      <c r="B6" s="11" t="s">
        <v>12</v>
      </c>
      <c r="C6" s="12">
        <v>0</v>
      </c>
      <c r="D6" s="13">
        <f>D5/C5-1</f>
        <v>0.25613181928226569</v>
      </c>
      <c r="E6" s="19">
        <v>0.2</v>
      </c>
      <c r="F6" s="19">
        <v>0.2</v>
      </c>
      <c r="G6" s="19">
        <v>0.2</v>
      </c>
      <c r="H6" s="19">
        <v>0.2</v>
      </c>
      <c r="I6" s="19">
        <v>0.2</v>
      </c>
    </row>
    <row r="7" spans="2:9" x14ac:dyDescent="0.2">
      <c r="C7" s="7"/>
      <c r="D7" s="7"/>
    </row>
    <row r="8" spans="2:9" x14ac:dyDescent="0.2">
      <c r="B8" s="5" t="s">
        <v>24</v>
      </c>
      <c r="C8" s="16">
        <f>SUM('Data Sheet'!J21:J22)</f>
        <v>17677.079999999998</v>
      </c>
      <c r="D8" s="16">
        <f>SUM('Data Sheet'!K21:K22)</f>
        <v>22207.86</v>
      </c>
      <c r="E8" s="28">
        <f>E5*E9</f>
        <v>26647.56159599889</v>
      </c>
      <c r="F8" s="28">
        <f t="shared" ref="F8:I8" si="2">F5*F9</f>
        <v>31978.196157599326</v>
      </c>
      <c r="G8" s="28">
        <f t="shared" si="2"/>
        <v>38373.162043678793</v>
      </c>
      <c r="H8" s="28">
        <f t="shared" si="2"/>
        <v>46048.198459678788</v>
      </c>
      <c r="I8" s="28">
        <f t="shared" si="2"/>
        <v>55257.595747256011</v>
      </c>
    </row>
    <row r="9" spans="2:9" s="2" customFormat="1" x14ac:dyDescent="0.2">
      <c r="B9" s="14" t="s">
        <v>14</v>
      </c>
      <c r="C9" s="15">
        <f>C8/C5</f>
        <v>0.13003933236135923</v>
      </c>
      <c r="D9" s="15">
        <f t="shared" ref="D9" si="3">D8/D5</f>
        <v>0.1300575886779845</v>
      </c>
      <c r="E9" s="20">
        <f>(C9+D9)/2</f>
        <v>0.13004846051967187</v>
      </c>
      <c r="F9" s="20">
        <f t="shared" ref="F9:I9" si="4">(D9+E9)/2</f>
        <v>0.13005302459882817</v>
      </c>
      <c r="G9" s="20">
        <f t="shared" si="4"/>
        <v>0.13005074255925003</v>
      </c>
      <c r="H9" s="20">
        <f t="shared" si="4"/>
        <v>0.1300518835790391</v>
      </c>
      <c r="I9" s="20">
        <f t="shared" si="4"/>
        <v>0.13005131306914458</v>
      </c>
    </row>
    <row r="10" spans="2:9" x14ac:dyDescent="0.2">
      <c r="C10" s="7"/>
      <c r="D10" s="7"/>
    </row>
    <row r="11" spans="2:9" x14ac:dyDescent="0.2">
      <c r="B11" s="10" t="s">
        <v>23</v>
      </c>
      <c r="C11" s="62">
        <f>C5-C8</f>
        <v>118259.33</v>
      </c>
      <c r="D11" s="62">
        <f t="shared" ref="D11:I11" si="5">D5-D8</f>
        <v>148546.19</v>
      </c>
      <c r="E11" s="63">
        <f t="shared" si="5"/>
        <v>178257.29840400111</v>
      </c>
      <c r="F11" s="63">
        <f t="shared" si="5"/>
        <v>213907.63584240063</v>
      </c>
      <c r="G11" s="63">
        <f t="shared" si="5"/>
        <v>256689.83635632112</v>
      </c>
      <c r="H11" s="63">
        <f t="shared" si="5"/>
        <v>308027.39962032111</v>
      </c>
      <c r="I11" s="63">
        <f t="shared" si="5"/>
        <v>369633.12194874388</v>
      </c>
    </row>
    <row r="12" spans="2:9" s="2" customFormat="1" x14ac:dyDescent="0.2">
      <c r="B12" s="14" t="s">
        <v>14</v>
      </c>
      <c r="C12" s="13">
        <f>C11/C5</f>
        <v>0.86996066763864077</v>
      </c>
      <c r="D12" s="13">
        <f t="shared" ref="D12:I12" si="6">D11/D5</f>
        <v>0.86994241132201555</v>
      </c>
      <c r="E12" s="13">
        <f t="shared" si="6"/>
        <v>0.86995153948032822</v>
      </c>
      <c r="F12" s="13">
        <f t="shared" si="6"/>
        <v>0.86994697540117183</v>
      </c>
      <c r="G12" s="13">
        <f t="shared" si="6"/>
        <v>0.86994925744074991</v>
      </c>
      <c r="H12" s="13">
        <f t="shared" si="6"/>
        <v>0.86994811642096093</v>
      </c>
      <c r="I12" s="13">
        <f t="shared" si="6"/>
        <v>0.86994868693085536</v>
      </c>
    </row>
    <row r="13" spans="2:9" x14ac:dyDescent="0.2">
      <c r="C13" s="7"/>
      <c r="D13" s="7"/>
    </row>
    <row r="14" spans="2:9" x14ac:dyDescent="0.2">
      <c r="B14" s="5" t="s">
        <v>25</v>
      </c>
      <c r="C14" s="61">
        <f>SUM('Data Sheet'!J23:J24)</f>
        <v>38879.879999999997</v>
      </c>
      <c r="D14" s="61">
        <f>SUM('Data Sheet'!K23:K24)</f>
        <v>40834.439999999995</v>
      </c>
      <c r="E14" s="28">
        <f>E5*E15</f>
        <v>53803.616638725696</v>
      </c>
      <c r="F14" s="28">
        <f t="shared" ref="F14:I14" si="7">F5*F15</f>
        <v>61682.96678323541</v>
      </c>
      <c r="G14" s="28">
        <f t="shared" si="7"/>
        <v>75748.38404982374</v>
      </c>
      <c r="H14" s="28">
        <f t="shared" si="7"/>
        <v>89860.76651382375</v>
      </c>
      <c r="I14" s="28">
        <f t="shared" si="7"/>
        <v>108455.29642416735</v>
      </c>
    </row>
    <row r="15" spans="2:9" s="2" customFormat="1" x14ac:dyDescent="0.2">
      <c r="B15" s="14" t="s">
        <v>14</v>
      </c>
      <c r="C15" s="15">
        <f>C14/C5</f>
        <v>0.28601520372650707</v>
      </c>
      <c r="D15" s="15">
        <f t="shared" ref="D15" si="8">D14/D5</f>
        <v>0.23914185344359326</v>
      </c>
      <c r="E15" s="20">
        <f>AVERAGE(C15:D15)</f>
        <v>0.26257852858505015</v>
      </c>
      <c r="F15" s="20">
        <f t="shared" ref="F15:I15" si="9">AVERAGE(D15:E15)</f>
        <v>0.25086019101432172</v>
      </c>
      <c r="G15" s="20">
        <f>AVERAGE(E15:F15)</f>
        <v>0.25671935979968596</v>
      </c>
      <c r="H15" s="20">
        <f t="shared" si="9"/>
        <v>0.25378977540700387</v>
      </c>
      <c r="I15" s="20">
        <f t="shared" si="9"/>
        <v>0.25525456760334492</v>
      </c>
    </row>
    <row r="16" spans="2:9" x14ac:dyDescent="0.2">
      <c r="C16" s="7"/>
      <c r="D16" s="7"/>
    </row>
    <row r="17" spans="2:9" x14ac:dyDescent="0.2">
      <c r="B17" s="10" t="s">
        <v>15</v>
      </c>
      <c r="C17" s="62">
        <f>C11-C14</f>
        <v>79379.450000000012</v>
      </c>
      <c r="D17" s="62">
        <f t="shared" ref="D17:I17" si="10">D11-D14</f>
        <v>107711.75</v>
      </c>
      <c r="E17" s="63">
        <f t="shared" si="10"/>
        <v>124453.68176527541</v>
      </c>
      <c r="F17" s="63">
        <f t="shared" si="10"/>
        <v>152224.66905916523</v>
      </c>
      <c r="G17" s="63">
        <f t="shared" si="10"/>
        <v>180941.45230649738</v>
      </c>
      <c r="H17" s="63">
        <f t="shared" si="10"/>
        <v>218166.63310649735</v>
      </c>
      <c r="I17" s="63">
        <f t="shared" si="10"/>
        <v>261177.82552457653</v>
      </c>
    </row>
    <row r="18" spans="2:9" x14ac:dyDescent="0.2">
      <c r="C18" s="7"/>
      <c r="D18" s="7"/>
    </row>
    <row r="19" spans="2:9" x14ac:dyDescent="0.2">
      <c r="B19" s="5" t="s">
        <v>27</v>
      </c>
      <c r="C19" s="17">
        <f>-'Data Sheet'!J27</f>
        <v>-58584.33</v>
      </c>
      <c r="D19" s="17">
        <f>-'Data Sheet'!K27</f>
        <v>-77779.94</v>
      </c>
      <c r="E19" s="17">
        <f>-'Debt Sch'!D23</f>
        <v>-89846.90400000001</v>
      </c>
      <c r="F19" s="17">
        <f>-'Debt Sch'!E23</f>
        <v>-82350.03</v>
      </c>
      <c r="G19" s="17">
        <f>-'Debt Sch'!F23</f>
        <v>-73365.339600000007</v>
      </c>
      <c r="H19" s="17">
        <f>-'Debt Sch'!G23</f>
        <v>-65130.336600000002</v>
      </c>
      <c r="I19" s="17">
        <f>-'Debt Sch'!H23</f>
        <v>-57793.802639999994</v>
      </c>
    </row>
    <row r="20" spans="2:9" x14ac:dyDescent="0.2">
      <c r="B20" s="5" t="s">
        <v>77</v>
      </c>
      <c r="C20" s="61">
        <f>'Data Sheet'!J25</f>
        <v>31758.99</v>
      </c>
      <c r="D20" s="61">
        <f>'Data Sheet'!K25</f>
        <v>33912.050000000003</v>
      </c>
      <c r="E20" s="28">
        <f>AVERAGE(C20:D20)</f>
        <v>32835.520000000004</v>
      </c>
      <c r="F20" s="28">
        <f t="shared" ref="F20:I20" si="11">AVERAGE(D20:E20)</f>
        <v>33373.785000000003</v>
      </c>
      <c r="G20" s="28">
        <f t="shared" si="11"/>
        <v>33104.652500000004</v>
      </c>
      <c r="H20" s="28">
        <f t="shared" si="11"/>
        <v>33239.21875</v>
      </c>
      <c r="I20" s="28">
        <f t="shared" si="11"/>
        <v>33171.935624999998</v>
      </c>
    </row>
    <row r="21" spans="2:9" x14ac:dyDescent="0.2">
      <c r="C21" s="44"/>
      <c r="D21" s="44"/>
      <c r="E21" s="28"/>
      <c r="F21" s="28"/>
      <c r="G21" s="28"/>
      <c r="H21" s="44"/>
      <c r="I21" s="44"/>
    </row>
    <row r="22" spans="2:9" x14ac:dyDescent="0.2">
      <c r="B22" s="10" t="s">
        <v>26</v>
      </c>
      <c r="C22" s="62">
        <f>C17+C19+C20</f>
        <v>52554.110000000015</v>
      </c>
      <c r="D22" s="62">
        <f t="shared" ref="D22:I22" si="12">D17+D19+D20</f>
        <v>63843.86</v>
      </c>
      <c r="E22" s="63">
        <f t="shared" si="12"/>
        <v>67442.297765275405</v>
      </c>
      <c r="F22" s="63">
        <f t="shared" si="12"/>
        <v>103248.42405916523</v>
      </c>
      <c r="G22" s="63">
        <f t="shared" si="12"/>
        <v>140680.76520649737</v>
      </c>
      <c r="H22" s="63">
        <f t="shared" si="12"/>
        <v>186275.51525649734</v>
      </c>
      <c r="I22" s="63">
        <f t="shared" si="12"/>
        <v>236555.95850957651</v>
      </c>
    </row>
    <row r="23" spans="2:9" x14ac:dyDescent="0.2">
      <c r="C23" s="28"/>
      <c r="D23" s="28"/>
      <c r="E23" s="28"/>
      <c r="F23" s="28"/>
      <c r="G23" s="28"/>
      <c r="H23" s="44"/>
      <c r="I23" s="44"/>
    </row>
    <row r="24" spans="2:9" x14ac:dyDescent="0.2">
      <c r="B24" s="5" t="s">
        <v>17</v>
      </c>
      <c r="C24" s="64">
        <f>'Data Sheet'!J29</f>
        <v>12722.48</v>
      </c>
      <c r="D24" s="64">
        <f>'Data Sheet'!K29</f>
        <v>15349.69</v>
      </c>
      <c r="E24" s="28">
        <f>D24*E25</f>
        <v>5372.3914999999997</v>
      </c>
      <c r="F24" s="28">
        <f t="shared" ref="F24:I24" si="13">E24*F25</f>
        <v>1880.3370249999998</v>
      </c>
      <c r="G24" s="28">
        <f t="shared" si="13"/>
        <v>658.11795874999984</v>
      </c>
      <c r="H24" s="28">
        <f t="shared" si="13"/>
        <v>230.34128556249993</v>
      </c>
      <c r="I24" s="28">
        <f t="shared" si="13"/>
        <v>80.619449946874965</v>
      </c>
    </row>
    <row r="25" spans="2:9" x14ac:dyDescent="0.2">
      <c r="B25" s="15" t="s">
        <v>18</v>
      </c>
      <c r="C25" s="22" t="s">
        <v>13</v>
      </c>
      <c r="D25" s="22" t="s">
        <v>13</v>
      </c>
      <c r="E25" s="20">
        <v>0.35</v>
      </c>
      <c r="F25" s="20">
        <v>0.35</v>
      </c>
      <c r="G25" s="20">
        <v>0.35</v>
      </c>
      <c r="H25" s="20">
        <v>0.35</v>
      </c>
      <c r="I25" s="20">
        <v>0.35</v>
      </c>
    </row>
    <row r="26" spans="2:9" x14ac:dyDescent="0.2">
      <c r="C26" s="7"/>
      <c r="D26" s="7"/>
    </row>
    <row r="27" spans="2:9" x14ac:dyDescent="0.2">
      <c r="B27" s="10" t="s">
        <v>28</v>
      </c>
      <c r="C27" s="65">
        <f>C22-C24</f>
        <v>39831.630000000019</v>
      </c>
      <c r="D27" s="65">
        <f t="shared" ref="D27:I27" si="14">D22-D24</f>
        <v>48494.17</v>
      </c>
      <c r="E27" s="66">
        <f t="shared" si="14"/>
        <v>62069.906265275407</v>
      </c>
      <c r="F27" s="66">
        <f t="shared" si="14"/>
        <v>101368.08703416523</v>
      </c>
      <c r="G27" s="66">
        <f t="shared" si="14"/>
        <v>140022.64724774737</v>
      </c>
      <c r="H27" s="66">
        <f t="shared" si="14"/>
        <v>186045.17397093485</v>
      </c>
      <c r="I27" s="66">
        <f t="shared" si="14"/>
        <v>236475.33905962962</v>
      </c>
    </row>
    <row r="28" spans="2:9" x14ac:dyDescent="0.2">
      <c r="C28" s="7"/>
      <c r="D28" s="7"/>
    </row>
    <row r="29" spans="2:9" x14ac:dyDescent="0.2">
      <c r="B29" s="102" t="s">
        <v>29</v>
      </c>
      <c r="C29" s="102"/>
      <c r="D29" s="102"/>
      <c r="E29" s="102"/>
      <c r="F29" s="102"/>
      <c r="G29" s="102"/>
    </row>
    <row r="30" spans="2:9" x14ac:dyDescent="0.2">
      <c r="B30" s="6"/>
      <c r="C30" s="6"/>
      <c r="D30" s="6"/>
      <c r="E30" s="6"/>
      <c r="F30" s="6"/>
      <c r="G30" s="6"/>
    </row>
    <row r="31" spans="2:9" x14ac:dyDescent="0.2">
      <c r="B31" s="5" t="s">
        <v>15</v>
      </c>
      <c r="C31" s="28">
        <f>C17</f>
        <v>79379.450000000012</v>
      </c>
      <c r="D31" s="28">
        <f>D17</f>
        <v>107711.75</v>
      </c>
      <c r="E31" s="28">
        <f t="shared" ref="E31:I31" si="15">E17</f>
        <v>124453.68176527541</v>
      </c>
      <c r="F31" s="28">
        <f t="shared" si="15"/>
        <v>152224.66905916523</v>
      </c>
      <c r="G31" s="28">
        <f t="shared" si="15"/>
        <v>180941.45230649738</v>
      </c>
      <c r="H31" s="28">
        <f t="shared" si="15"/>
        <v>218166.63310649735</v>
      </c>
      <c r="I31" s="28">
        <f t="shared" si="15"/>
        <v>261177.82552457653</v>
      </c>
    </row>
    <row r="32" spans="2:9" x14ac:dyDescent="0.2">
      <c r="B32" s="5" t="s">
        <v>78</v>
      </c>
      <c r="C32" s="44">
        <f>'Data Sheet'!J26</f>
        <v>1680.73</v>
      </c>
      <c r="D32" s="44">
        <f>'Data Sheet'!K26</f>
        <v>2345.4699999999998</v>
      </c>
      <c r="E32" s="59">
        <f>'PP&amp;E Sch'!D8</f>
        <v>2674.0130595733694</v>
      </c>
      <c r="F32" s="59">
        <f>'PP&amp;E Sch'!E8</f>
        <v>3293.1462357440209</v>
      </c>
      <c r="G32" s="59">
        <f>'PP&amp;E Sch'!F8</f>
        <v>3901.1771443392377</v>
      </c>
      <c r="H32" s="59">
        <f>'PP&amp;E Sch'!G8</f>
        <v>4711.7715763392371</v>
      </c>
      <c r="I32" s="59">
        <f>'PP&amp;E Sch'!H8</f>
        <v>5635.910489727793</v>
      </c>
    </row>
    <row r="33" spans="2:9" x14ac:dyDescent="0.2">
      <c r="B33" s="5" t="s">
        <v>79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2:9" x14ac:dyDescent="0.2">
      <c r="B34" s="18" t="s">
        <v>22</v>
      </c>
      <c r="C34" s="66">
        <f>C17+C32</f>
        <v>81060.180000000008</v>
      </c>
      <c r="D34" s="66">
        <f>D17+D32</f>
        <v>110057.22</v>
      </c>
      <c r="E34" s="66">
        <f t="shared" ref="E34:I34" si="16">E17+E32</f>
        <v>127127.69482484878</v>
      </c>
      <c r="F34" s="66">
        <f t="shared" si="16"/>
        <v>155517.81529490926</v>
      </c>
      <c r="G34" s="66">
        <f t="shared" si="16"/>
        <v>184842.62945083663</v>
      </c>
      <c r="H34" s="66">
        <f t="shared" si="16"/>
        <v>222878.40468283658</v>
      </c>
      <c r="I34" s="66">
        <f t="shared" si="16"/>
        <v>266813.73601430433</v>
      </c>
    </row>
  </sheetData>
  <mergeCells count="2">
    <mergeCell ref="B29:G29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8E07-8A71-4619-A946-A4727BD5D3C6}">
  <sheetPr>
    <tabColor theme="4" tint="-0.249977111117893"/>
  </sheetPr>
  <dimension ref="B1:K56"/>
  <sheetViews>
    <sheetView showGridLines="0" workbookViewId="0">
      <pane ySplit="3" topLeftCell="A16" activePane="bottomLeft" state="frozen"/>
      <selection pane="bottomLeft" activeCell="B1" sqref="B1:I1"/>
    </sheetView>
  </sheetViews>
  <sheetFormatPr baseColWidth="10" defaultColWidth="8.83203125" defaultRowHeight="15" x14ac:dyDescent="0.2"/>
  <cols>
    <col min="1" max="1" width="1.83203125" customWidth="1"/>
    <col min="2" max="2" width="43.1640625" style="5" customWidth="1"/>
    <col min="3" max="4" width="12.83203125" style="30" bestFit="1" customWidth="1"/>
    <col min="5" max="5" width="12.83203125" style="5" bestFit="1" customWidth="1"/>
    <col min="6" max="6" width="12.33203125" bestFit="1" customWidth="1"/>
    <col min="7" max="8" width="12.5" bestFit="1" customWidth="1"/>
    <col min="9" max="9" width="13.1640625" customWidth="1"/>
  </cols>
  <sheetData>
    <row r="1" spans="2:9" ht="19" x14ac:dyDescent="0.25">
      <c r="B1" s="103" t="s">
        <v>169</v>
      </c>
      <c r="C1" s="103"/>
      <c r="D1" s="103"/>
      <c r="E1" s="103"/>
      <c r="F1" s="103"/>
      <c r="G1" s="103"/>
      <c r="H1" s="103"/>
      <c r="I1" s="103"/>
    </row>
    <row r="2" spans="2:9" x14ac:dyDescent="0.2">
      <c r="B2" s="8"/>
      <c r="C2" s="29" t="s">
        <v>50</v>
      </c>
      <c r="D2" s="29" t="s">
        <v>50</v>
      </c>
      <c r="E2" s="9" t="s">
        <v>51</v>
      </c>
      <c r="F2" s="9" t="s">
        <v>51</v>
      </c>
      <c r="G2" s="9" t="s">
        <v>51</v>
      </c>
      <c r="H2" s="9" t="s">
        <v>51</v>
      </c>
      <c r="I2" s="9" t="s">
        <v>51</v>
      </c>
    </row>
    <row r="3" spans="2:9" x14ac:dyDescent="0.2">
      <c r="B3" s="8" t="s">
        <v>95</v>
      </c>
      <c r="C3" s="29">
        <v>2022</v>
      </c>
      <c r="D3" s="29">
        <f>C3+1</f>
        <v>2023</v>
      </c>
      <c r="E3" s="9">
        <f t="shared" ref="E3:I3" si="0">D3+1</f>
        <v>2024</v>
      </c>
      <c r="F3" s="9">
        <f t="shared" si="0"/>
        <v>2025</v>
      </c>
      <c r="G3" s="9">
        <f t="shared" si="0"/>
        <v>2026</v>
      </c>
      <c r="H3" s="9">
        <f t="shared" si="0"/>
        <v>2027</v>
      </c>
      <c r="I3" s="9">
        <f t="shared" si="0"/>
        <v>2028</v>
      </c>
    </row>
    <row r="4" spans="2:9" x14ac:dyDescent="0.2">
      <c r="B4" s="26" t="s">
        <v>30</v>
      </c>
    </row>
    <row r="5" spans="2:9" x14ac:dyDescent="0.2">
      <c r="B5" s="27" t="s">
        <v>31</v>
      </c>
      <c r="C5" s="31"/>
      <c r="D5" s="31"/>
    </row>
    <row r="6" spans="2:9" x14ac:dyDescent="0.2">
      <c r="B6" s="24" t="s">
        <v>46</v>
      </c>
      <c r="C6" s="67">
        <f>'Data Sheet'!J69</f>
        <v>155385.73000000001</v>
      </c>
      <c r="D6" s="67">
        <f>'Data Sheet'!K69</f>
        <v>197147.81</v>
      </c>
      <c r="E6" s="28">
        <f>'Cash Flow Statement '!E32</f>
        <v>147266.81932484877</v>
      </c>
      <c r="F6" s="28">
        <f>'Cash Flow Statement '!F32</f>
        <v>262637.72259475803</v>
      </c>
      <c r="G6" s="28">
        <f>'Cash Flow Statement '!G32</f>
        <v>414218.29298684467</v>
      </c>
      <c r="H6" s="28">
        <f>'Cash Flow Statement '!H32</f>
        <v>609846.3075841188</v>
      </c>
      <c r="I6" s="28">
        <f>'Cash Flow Statement '!I32</f>
        <v>854185.81806097622</v>
      </c>
    </row>
    <row r="7" spans="2:9" x14ac:dyDescent="0.2">
      <c r="B7" s="24" t="s">
        <v>42</v>
      </c>
      <c r="C7" s="97">
        <v>0</v>
      </c>
      <c r="D7" s="97">
        <v>0</v>
      </c>
      <c r="E7" s="97">
        <v>0</v>
      </c>
      <c r="F7" s="97">
        <v>0</v>
      </c>
      <c r="G7" s="97">
        <v>0</v>
      </c>
      <c r="H7" s="97">
        <v>0</v>
      </c>
      <c r="I7" s="97">
        <v>0</v>
      </c>
    </row>
    <row r="8" spans="2:9" x14ac:dyDescent="0.2">
      <c r="B8" s="24" t="s">
        <v>43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</row>
    <row r="9" spans="2:9" x14ac:dyDescent="0.2">
      <c r="B9" s="24" t="s">
        <v>44</v>
      </c>
      <c r="C9" s="97">
        <v>0</v>
      </c>
      <c r="D9" s="97">
        <v>0</v>
      </c>
      <c r="E9" s="97">
        <v>0</v>
      </c>
      <c r="F9" s="97">
        <v>0</v>
      </c>
      <c r="G9" s="97">
        <v>0</v>
      </c>
      <c r="H9" s="97">
        <v>0</v>
      </c>
      <c r="I9" s="97">
        <v>0</v>
      </c>
    </row>
    <row r="10" spans="2:9" x14ac:dyDescent="0.2">
      <c r="B10" s="27" t="s">
        <v>45</v>
      </c>
      <c r="C10" s="69">
        <f>SUM(C6:C9)</f>
        <v>155385.73000000001</v>
      </c>
      <c r="D10" s="69">
        <f>SUM(D6:D9)</f>
        <v>197147.81</v>
      </c>
      <c r="E10" s="70">
        <f t="shared" ref="E10:I10" si="1">SUM(E6:E9)</f>
        <v>147266.81932484877</v>
      </c>
      <c r="F10" s="70">
        <f t="shared" si="1"/>
        <v>262637.72259475803</v>
      </c>
      <c r="G10" s="70">
        <f t="shared" si="1"/>
        <v>414218.29298684467</v>
      </c>
      <c r="H10" s="70">
        <f t="shared" si="1"/>
        <v>609846.3075841188</v>
      </c>
      <c r="I10" s="70">
        <f t="shared" si="1"/>
        <v>854185.81806097622</v>
      </c>
    </row>
    <row r="11" spans="2:9" x14ac:dyDescent="0.2">
      <c r="C11" s="33"/>
      <c r="D11" s="33"/>
    </row>
    <row r="12" spans="2:9" x14ac:dyDescent="0.2">
      <c r="B12" s="23" t="s">
        <v>90</v>
      </c>
      <c r="C12" s="32"/>
      <c r="D12" s="32"/>
    </row>
    <row r="13" spans="2:9" x14ac:dyDescent="0.2">
      <c r="B13" s="3" t="s">
        <v>91</v>
      </c>
      <c r="C13" s="68">
        <f>'Data Sheet'!J62</f>
        <v>6432.07</v>
      </c>
      <c r="D13" s="68">
        <f>'Data Sheet'!K62</f>
        <v>8431.35</v>
      </c>
      <c r="E13" s="71">
        <f>'PP&amp;E Sch'!D11</f>
        <v>14745.713059573371</v>
      </c>
      <c r="F13" s="71">
        <f>'PP&amp;E Sch'!E11</f>
        <v>21861.226795317394</v>
      </c>
      <c r="G13" s="71">
        <f>'PP&amp;E Sch'!F11</f>
        <v>29775.889814656635</v>
      </c>
      <c r="H13" s="71">
        <f>'PP&amp;E Sch'!G11</f>
        <v>38701.821559745877</v>
      </c>
      <c r="I13" s="71">
        <f>'PP&amp;E Sch'!H11</f>
        <v>48762.600226661169</v>
      </c>
    </row>
    <row r="14" spans="2:9" x14ac:dyDescent="0.2">
      <c r="B14" s="3" t="s">
        <v>80</v>
      </c>
      <c r="C14" s="91">
        <f>'Data Sheet'!J63</f>
        <v>0</v>
      </c>
      <c r="D14" s="91">
        <f>'Data Sheet'!K63</f>
        <v>0</v>
      </c>
      <c r="E14" s="91">
        <f>AVERAGE(C14:D14)</f>
        <v>0</v>
      </c>
      <c r="F14" s="91">
        <f t="shared" ref="F14:I14" si="2">AVERAGE(D14:E14)</f>
        <v>0</v>
      </c>
      <c r="G14" s="91">
        <f t="shared" si="2"/>
        <v>0</v>
      </c>
      <c r="H14" s="91">
        <f t="shared" si="2"/>
        <v>0</v>
      </c>
      <c r="I14" s="91">
        <f t="shared" si="2"/>
        <v>0</v>
      </c>
    </row>
    <row r="15" spans="2:9" x14ac:dyDescent="0.2">
      <c r="B15" s="3" t="s">
        <v>81</v>
      </c>
      <c r="C15" s="68">
        <f>'Data Sheet'!J64</f>
        <v>449263.86</v>
      </c>
      <c r="D15" s="68">
        <f>'Data Sheet'!K64+0.06</f>
        <v>511581.77</v>
      </c>
      <c r="E15" s="28">
        <f>D15*(1.15)</f>
        <v>588319.0355</v>
      </c>
      <c r="F15" s="28">
        <f t="shared" ref="F15:I15" si="3">E15*(1.15)</f>
        <v>676566.89082499989</v>
      </c>
      <c r="G15" s="28">
        <f t="shared" si="3"/>
        <v>778051.92444874987</v>
      </c>
      <c r="H15" s="28">
        <f t="shared" si="3"/>
        <v>894759.71311606222</v>
      </c>
      <c r="I15" s="28">
        <f t="shared" si="3"/>
        <v>1028973.6700834715</v>
      </c>
    </row>
    <row r="16" spans="2:9" x14ac:dyDescent="0.2">
      <c r="B16" s="3" t="s">
        <v>82</v>
      </c>
      <c r="C16" s="68">
        <f>'Data Sheet'!J65-C10</f>
        <v>1511852.6400000001</v>
      </c>
      <c r="D16" s="68">
        <f>'Data Sheet'!K65-D10</f>
        <v>1813271.5699999998</v>
      </c>
      <c r="E16" s="28">
        <f>AVERAGE(C16:D16)</f>
        <v>1662562.105</v>
      </c>
      <c r="F16" s="28">
        <f t="shared" ref="F16:I16" si="4">AVERAGE(D16:E16)</f>
        <v>1737916.8374999999</v>
      </c>
      <c r="G16" s="28">
        <f t="shared" si="4"/>
        <v>1700239.4712499999</v>
      </c>
      <c r="H16" s="28">
        <f t="shared" si="4"/>
        <v>1719078.1543749999</v>
      </c>
      <c r="I16" s="28">
        <f t="shared" si="4"/>
        <v>1709658.8128124999</v>
      </c>
    </row>
    <row r="17" spans="2:9" x14ac:dyDescent="0.2">
      <c r="B17" s="23" t="s">
        <v>92</v>
      </c>
      <c r="C17" s="69">
        <f>SUM(C13:C16)</f>
        <v>1967548.57</v>
      </c>
      <c r="D17" s="69">
        <f t="shared" ref="D17" si="5">SUM(D13:D16)</f>
        <v>2333284.69</v>
      </c>
      <c r="E17" s="70">
        <f t="shared" ref="E17" si="6">SUM(E13:E16)</f>
        <v>2265626.8535595732</v>
      </c>
      <c r="F17" s="70">
        <f t="shared" ref="F17" si="7">SUM(F13:F16)</f>
        <v>2436344.9551203172</v>
      </c>
      <c r="G17" s="70">
        <f t="shared" ref="G17" si="8">SUM(G13:G16)</f>
        <v>2508067.2855134066</v>
      </c>
      <c r="H17" s="70">
        <f t="shared" ref="H17" si="9">SUM(H13:H16)</f>
        <v>2652539.6890508081</v>
      </c>
      <c r="I17" s="70">
        <f t="shared" ref="I17" si="10">SUM(I13:I16)</f>
        <v>2787395.0831226325</v>
      </c>
    </row>
    <row r="18" spans="2:9" x14ac:dyDescent="0.2">
      <c r="B18"/>
      <c r="C18" s="33"/>
      <c r="D18" s="33"/>
    </row>
    <row r="19" spans="2:9" ht="16.5" customHeight="1" x14ac:dyDescent="0.2">
      <c r="B19" s="10" t="s">
        <v>93</v>
      </c>
      <c r="C19" s="72">
        <f>C17+C10</f>
        <v>2122934.3000000003</v>
      </c>
      <c r="D19" s="72">
        <f t="shared" ref="D19:I19" si="11">D17+D10</f>
        <v>2530432.5</v>
      </c>
      <c r="E19" s="73">
        <f t="shared" si="11"/>
        <v>2412893.6728844219</v>
      </c>
      <c r="F19" s="73">
        <f t="shared" si="11"/>
        <v>2698982.6777150752</v>
      </c>
      <c r="G19" s="73">
        <f t="shared" si="11"/>
        <v>2922285.5785002513</v>
      </c>
      <c r="H19" s="73">
        <f t="shared" si="11"/>
        <v>3262385.9966349266</v>
      </c>
      <c r="I19" s="73">
        <f t="shared" si="11"/>
        <v>3641580.9011836089</v>
      </c>
    </row>
    <row r="20" spans="2:9" ht="16.5" customHeight="1" x14ac:dyDescent="0.2">
      <c r="B20" s="10"/>
      <c r="C20" s="34"/>
      <c r="D20" s="34"/>
    </row>
    <row r="21" spans="2:9" ht="16.5" customHeight="1" x14ac:dyDescent="0.2">
      <c r="B21" s="26" t="s">
        <v>96</v>
      </c>
      <c r="C21" s="33"/>
      <c r="D21" s="33"/>
    </row>
    <row r="22" spans="2:9" x14ac:dyDescent="0.2">
      <c r="B22" s="27" t="s">
        <v>33</v>
      </c>
      <c r="C22" s="33"/>
      <c r="D22" s="33"/>
    </row>
    <row r="23" spans="2:9" x14ac:dyDescent="0.2">
      <c r="B23" s="3" t="s">
        <v>83</v>
      </c>
      <c r="C23" s="68">
        <v>0</v>
      </c>
      <c r="D23" s="68">
        <v>0</v>
      </c>
      <c r="E23" s="40">
        <f>E54*'income statement '!E14</f>
        <v>0</v>
      </c>
      <c r="F23" s="40">
        <f>F54*'income statement '!F14</f>
        <v>0</v>
      </c>
      <c r="G23" s="40">
        <f>G54*'income statement '!G14</f>
        <v>0</v>
      </c>
      <c r="H23" s="40">
        <f>H54*'income statement '!H14</f>
        <v>0</v>
      </c>
      <c r="I23" s="40">
        <f>I54*'income statement '!I14</f>
        <v>0</v>
      </c>
    </row>
    <row r="24" spans="2:9" x14ac:dyDescent="0.2">
      <c r="B24" s="24" t="s">
        <v>34</v>
      </c>
      <c r="C24" s="68">
        <v>13094</v>
      </c>
      <c r="D24" s="68">
        <v>11791</v>
      </c>
      <c r="E24" s="28">
        <f>E53/365*'income statement '!E8</f>
        <v>16943.470225762179</v>
      </c>
      <c r="F24" s="28">
        <f>F53/365*'income statement '!F8</f>
        <v>18655.660995683196</v>
      </c>
      <c r="G24" s="28">
        <f>G53/365*'income statement '!G8</f>
        <v>23392.712818026455</v>
      </c>
      <c r="H24" s="28">
        <f>H53/365*'income statement '!H8</f>
        <v>27467.708905128104</v>
      </c>
      <c r="I24" s="28">
        <f>I53/365*'income statement '!I8</f>
        <v>33323.38016128201</v>
      </c>
    </row>
    <row r="25" spans="2:9" x14ac:dyDescent="0.2">
      <c r="B25" s="24" t="s">
        <v>101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</row>
    <row r="26" spans="2:9" x14ac:dyDescent="0.2">
      <c r="B26" s="24" t="s">
        <v>36</v>
      </c>
      <c r="C26" s="39">
        <f>'Debt Sch'!B16</f>
        <v>0</v>
      </c>
      <c r="D26" s="39">
        <v>0</v>
      </c>
      <c r="E26" s="39">
        <f>'Debt Sch'!D16</f>
        <v>213921.2</v>
      </c>
      <c r="F26" s="39">
        <f>'Debt Sch'!E16</f>
        <v>196071.5</v>
      </c>
      <c r="G26" s="39">
        <f>'Debt Sch'!F16</f>
        <v>174679.38</v>
      </c>
      <c r="H26" s="39">
        <f>'Debt Sch'!G16</f>
        <v>155072.23000000001</v>
      </c>
      <c r="I26" s="39">
        <f>'Debt Sch'!H16</f>
        <v>137604.29199999999</v>
      </c>
    </row>
    <row r="27" spans="2:9" x14ac:dyDescent="0.2">
      <c r="B27" s="3" t="s">
        <v>84</v>
      </c>
      <c r="C27" s="68">
        <v>76824</v>
      </c>
      <c r="D27" s="68">
        <v>89132</v>
      </c>
      <c r="E27" s="28">
        <f>E55*'income statement '!E14</f>
        <v>111876.47915308976</v>
      </c>
      <c r="F27" s="28">
        <f>F55*'income statement '!F14</f>
        <v>131449.91847856346</v>
      </c>
      <c r="G27" s="28">
        <f>G55*'income statement '!G14</f>
        <v>159465.71337337553</v>
      </c>
      <c r="H27" s="28">
        <f>H55*'income statement '!H14</f>
        <v>190336.77851739491</v>
      </c>
      <c r="I27" s="28">
        <f>I55*'income statement '!I14</f>
        <v>229021.40349590848</v>
      </c>
    </row>
    <row r="28" spans="2:9" x14ac:dyDescent="0.2">
      <c r="B28" s="27" t="s">
        <v>47</v>
      </c>
      <c r="C28" s="69">
        <f t="shared" ref="C28:I28" si="12">SUM(C23:C27)</f>
        <v>89918</v>
      </c>
      <c r="D28" s="69">
        <f t="shared" si="12"/>
        <v>100923</v>
      </c>
      <c r="E28" s="70">
        <f t="shared" si="12"/>
        <v>342741.14937885193</v>
      </c>
      <c r="F28" s="70">
        <f t="shared" si="12"/>
        <v>346177.07947424665</v>
      </c>
      <c r="G28" s="70">
        <f t="shared" si="12"/>
        <v>357537.80619140202</v>
      </c>
      <c r="H28" s="70">
        <f t="shared" si="12"/>
        <v>372876.71742252301</v>
      </c>
      <c r="I28" s="70">
        <f t="shared" si="12"/>
        <v>399949.07565719046</v>
      </c>
    </row>
    <row r="29" spans="2:9" x14ac:dyDescent="0.2">
      <c r="B29" s="27"/>
      <c r="C29" s="34"/>
      <c r="D29" s="34"/>
    </row>
    <row r="30" spans="2:9" ht="14" customHeight="1" x14ac:dyDescent="0.2">
      <c r="B30" s="27" t="s">
        <v>97</v>
      </c>
      <c r="C30" s="33"/>
      <c r="D30" s="33"/>
    </row>
    <row r="31" spans="2:9" ht="14" customHeight="1" x14ac:dyDescent="0.2">
      <c r="B31" s="3" t="s">
        <v>85</v>
      </c>
      <c r="C31" s="68">
        <v>1784970</v>
      </c>
      <c r="D31" s="68">
        <v>2139212</v>
      </c>
      <c r="E31" s="59">
        <f>'Debt Sch'!D15</f>
        <v>1960715</v>
      </c>
      <c r="F31" s="59">
        <f>'Debt Sch'!E15</f>
        <v>1746793.8</v>
      </c>
      <c r="G31" s="59">
        <f>'Debt Sch'!F15</f>
        <v>1550722.3</v>
      </c>
      <c r="H31" s="59">
        <f>'Debt Sch'!G15</f>
        <v>1376042.92</v>
      </c>
      <c r="I31" s="59">
        <f>'Debt Sch'!H15</f>
        <v>1220970.69</v>
      </c>
    </row>
    <row r="32" spans="2:9" x14ac:dyDescent="0.2">
      <c r="B32" s="3" t="s">
        <v>86</v>
      </c>
      <c r="C32" s="68">
        <v>720</v>
      </c>
      <c r="D32" s="68">
        <v>860</v>
      </c>
      <c r="E32" s="28">
        <f>AVERAGE(C32:D32)</f>
        <v>790</v>
      </c>
      <c r="F32" s="28">
        <f t="shared" ref="F32:I32" si="13">AVERAGE(D32:E32)</f>
        <v>825</v>
      </c>
      <c r="G32" s="28">
        <f t="shared" si="13"/>
        <v>807.5</v>
      </c>
      <c r="H32" s="28">
        <f t="shared" si="13"/>
        <v>816.25</v>
      </c>
      <c r="I32" s="28">
        <f t="shared" si="13"/>
        <v>811.875</v>
      </c>
    </row>
    <row r="33" spans="2:11" x14ac:dyDescent="0.2">
      <c r="B33" s="3" t="s">
        <v>87</v>
      </c>
      <c r="C33" s="68">
        <v>0</v>
      </c>
      <c r="D33" s="68">
        <v>0</v>
      </c>
      <c r="E33" s="28">
        <f>E56*'income statement '!E14</f>
        <v>0</v>
      </c>
      <c r="F33" s="28">
        <f>F56*'income statement '!F14</f>
        <v>0</v>
      </c>
      <c r="G33" s="28">
        <f>G56*'income statement '!G14</f>
        <v>0</v>
      </c>
      <c r="H33" s="28">
        <f>H56*'income statement '!H14</f>
        <v>0</v>
      </c>
      <c r="I33" s="28">
        <f>I56*'income statement '!I14</f>
        <v>0</v>
      </c>
    </row>
    <row r="34" spans="2:11" x14ac:dyDescent="0.2">
      <c r="B34" s="23" t="s">
        <v>88</v>
      </c>
      <c r="C34" s="69">
        <f>SUM(C31:C33)</f>
        <v>1785690</v>
      </c>
      <c r="D34" s="69">
        <f t="shared" ref="D34" si="14">SUM(D31:D33)</f>
        <v>2140072</v>
      </c>
      <c r="E34" s="70">
        <f t="shared" ref="E34" si="15">SUM(E31:E33)</f>
        <v>1961505</v>
      </c>
      <c r="F34" s="70">
        <f t="shared" ref="F34" si="16">SUM(F31:F33)</f>
        <v>1747618.8</v>
      </c>
      <c r="G34" s="70">
        <f t="shared" ref="G34" si="17">SUM(G31:G33)</f>
        <v>1551529.8</v>
      </c>
      <c r="H34" s="70">
        <f t="shared" ref="H34" si="18">SUM(H31:H33)</f>
        <v>1376859.17</v>
      </c>
      <c r="I34" s="70">
        <f t="shared" ref="I34" si="19">SUM(I31:I33)</f>
        <v>1221782.5649999999</v>
      </c>
    </row>
    <row r="35" spans="2:11" x14ac:dyDescent="0.2">
      <c r="B35"/>
      <c r="C35" s="33"/>
      <c r="D35" s="33"/>
    </row>
    <row r="36" spans="2:11" ht="11.5" customHeight="1" x14ac:dyDescent="0.2">
      <c r="B36" s="23" t="s">
        <v>89</v>
      </c>
      <c r="C36" s="72">
        <f>C28+C34</f>
        <v>1875608</v>
      </c>
      <c r="D36" s="72">
        <f t="shared" ref="D36:I36" si="20">D28+D34</f>
        <v>2240995</v>
      </c>
      <c r="E36" s="73">
        <f>E28+E34</f>
        <v>2304246.149378852</v>
      </c>
      <c r="F36" s="73">
        <f t="shared" si="20"/>
        <v>2093795.8794742466</v>
      </c>
      <c r="G36" s="73">
        <f t="shared" si="20"/>
        <v>1909067.6061914021</v>
      </c>
      <c r="H36" s="73">
        <f t="shared" si="20"/>
        <v>1749735.887422523</v>
      </c>
      <c r="I36" s="73">
        <f t="shared" si="20"/>
        <v>1621731.6406571905</v>
      </c>
    </row>
    <row r="37" spans="2:11" ht="11.5" customHeight="1" x14ac:dyDescent="0.2">
      <c r="B37"/>
      <c r="C37" s="72"/>
      <c r="D37" s="72"/>
      <c r="E37" s="48"/>
      <c r="F37" s="60"/>
      <c r="G37" s="60"/>
      <c r="H37" s="60"/>
      <c r="I37" s="60"/>
    </row>
    <row r="38" spans="2:11" x14ac:dyDescent="0.2">
      <c r="B38" s="27" t="s">
        <v>38</v>
      </c>
      <c r="C38" s="74"/>
      <c r="D38" s="74"/>
      <c r="E38" s="48"/>
      <c r="F38" s="60"/>
      <c r="G38" s="60"/>
      <c r="H38" s="60"/>
      <c r="I38" s="60"/>
    </row>
    <row r="39" spans="2:11" x14ac:dyDescent="0.2">
      <c r="B39" s="24" t="s">
        <v>39</v>
      </c>
      <c r="C39" s="75">
        <f>'Data Sheet'!J57</f>
        <v>554.54999999999995</v>
      </c>
      <c r="D39" s="75">
        <f>'Data Sheet'!K57</f>
        <v>557.97</v>
      </c>
      <c r="E39" s="49">
        <v>6766</v>
      </c>
      <c r="F39" s="49">
        <v>6766</v>
      </c>
      <c r="G39" s="49">
        <v>6766</v>
      </c>
      <c r="H39" s="49">
        <v>6766</v>
      </c>
      <c r="I39" s="49">
        <v>6766</v>
      </c>
      <c r="K39" s="60"/>
    </row>
    <row r="40" spans="2:11" x14ac:dyDescent="0.2">
      <c r="B40" s="24" t="s">
        <v>49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K40" s="60"/>
    </row>
    <row r="41" spans="2:11" x14ac:dyDescent="0.2">
      <c r="B41" s="24" t="s">
        <v>48</v>
      </c>
      <c r="C41" s="75">
        <f>'Data Sheet'!J58 + 0.13</f>
        <v>246771.75</v>
      </c>
      <c r="D41" s="75">
        <f>'Data Sheet'!K58</f>
        <v>288879.53000000003</v>
      </c>
      <c r="E41" s="48">
        <f>D41+'income statement '!E27</f>
        <v>350949.43626527546</v>
      </c>
      <c r="F41" s="48">
        <f>E41+'income statement '!F27</f>
        <v>452317.52329944068</v>
      </c>
      <c r="G41" s="48">
        <f>F41+'income statement '!G27</f>
        <v>592340.17054718803</v>
      </c>
      <c r="H41" s="48">
        <f>G41+'income statement '!H27</f>
        <v>778385.34451812285</v>
      </c>
      <c r="I41" s="48">
        <f>H41+'income statement '!I27</f>
        <v>1014860.6835777524</v>
      </c>
    </row>
    <row r="42" spans="2:11" x14ac:dyDescent="0.2">
      <c r="B42" s="27" t="s">
        <v>40</v>
      </c>
      <c r="C42" s="76">
        <f>SUM(C39:C41)</f>
        <v>247326.3</v>
      </c>
      <c r="D42" s="76">
        <f>SUM(D39:D41)</f>
        <v>289437.5</v>
      </c>
      <c r="E42" s="47">
        <f t="shared" ref="E42:I42" si="21">SUM(E39:E41)</f>
        <v>357715.43626527546</v>
      </c>
      <c r="F42" s="47">
        <f t="shared" si="21"/>
        <v>459083.52329944068</v>
      </c>
      <c r="G42" s="47">
        <f t="shared" si="21"/>
        <v>599106.17054718803</v>
      </c>
      <c r="H42" s="47">
        <f t="shared" si="21"/>
        <v>785151.34451812285</v>
      </c>
      <c r="I42" s="47">
        <f t="shared" si="21"/>
        <v>1021626.6835777524</v>
      </c>
    </row>
    <row r="43" spans="2:11" x14ac:dyDescent="0.2">
      <c r="B43" s="27"/>
      <c r="C43" s="34"/>
      <c r="D43" s="34"/>
    </row>
    <row r="44" spans="2:11" ht="3" customHeight="1" x14ac:dyDescent="0.2">
      <c r="C44" s="33"/>
      <c r="D44" s="33"/>
    </row>
    <row r="45" spans="2:11" x14ac:dyDescent="0.2">
      <c r="B45" s="10" t="s">
        <v>41</v>
      </c>
      <c r="C45" s="72">
        <f>C42+C36</f>
        <v>2122934.2999999998</v>
      </c>
      <c r="D45" s="72">
        <f t="shared" ref="D45:I45" si="22">D42+D36</f>
        <v>2530432.5</v>
      </c>
      <c r="E45" s="73">
        <f t="shared" si="22"/>
        <v>2661961.5856441273</v>
      </c>
      <c r="F45" s="73">
        <f t="shared" si="22"/>
        <v>2552879.4027736872</v>
      </c>
      <c r="G45" s="73">
        <f t="shared" si="22"/>
        <v>2508173.7767385901</v>
      </c>
      <c r="H45" s="73">
        <f t="shared" si="22"/>
        <v>2534887.2319406457</v>
      </c>
      <c r="I45" s="73">
        <f t="shared" si="22"/>
        <v>2643358.3242349429</v>
      </c>
    </row>
    <row r="46" spans="2:11" x14ac:dyDescent="0.2">
      <c r="C46" s="35"/>
      <c r="D46" s="35"/>
    </row>
    <row r="47" spans="2:11" x14ac:dyDescent="0.2">
      <c r="B47" s="5" t="s">
        <v>94</v>
      </c>
      <c r="C47" s="36" t="b">
        <f t="shared" ref="C47:I47" si="23">C45=C19</f>
        <v>1</v>
      </c>
      <c r="D47" s="36" t="b">
        <f t="shared" si="23"/>
        <v>1</v>
      </c>
      <c r="E47" s="36" t="b">
        <f t="shared" si="23"/>
        <v>0</v>
      </c>
      <c r="F47" s="36" t="b">
        <f t="shared" si="23"/>
        <v>0</v>
      </c>
      <c r="G47" s="36" t="b">
        <f t="shared" si="23"/>
        <v>0</v>
      </c>
      <c r="H47" s="36" t="b">
        <f t="shared" si="23"/>
        <v>0</v>
      </c>
      <c r="I47" s="36" t="b">
        <f t="shared" si="23"/>
        <v>0</v>
      </c>
    </row>
    <row r="48" spans="2:11" x14ac:dyDescent="0.2">
      <c r="C48" s="37"/>
      <c r="D48" s="37"/>
    </row>
    <row r="50" spans="2:9" x14ac:dyDescent="0.2">
      <c r="B50" s="10" t="s">
        <v>52</v>
      </c>
    </row>
    <row r="51" spans="2:9" x14ac:dyDescent="0.2">
      <c r="B51" s="5" t="s">
        <v>99</v>
      </c>
      <c r="C51" s="42">
        <f>C7/('income statement '!C5/365)</f>
        <v>0</v>
      </c>
      <c r="D51" s="42">
        <f>D7/('income statement '!D5/365)</f>
        <v>0</v>
      </c>
      <c r="E51" s="43">
        <f>AVERAGE(C51:D51)</f>
        <v>0</v>
      </c>
      <c r="F51" s="43">
        <f t="shared" ref="F51:I51" si="24">AVERAGE(D51:E51)</f>
        <v>0</v>
      </c>
      <c r="G51" s="43">
        <f t="shared" si="24"/>
        <v>0</v>
      </c>
      <c r="H51" s="43">
        <f t="shared" si="24"/>
        <v>0</v>
      </c>
      <c r="I51" s="43">
        <f t="shared" si="24"/>
        <v>0</v>
      </c>
    </row>
    <row r="52" spans="2:9" x14ac:dyDescent="0.2">
      <c r="B52" s="5" t="s">
        <v>98</v>
      </c>
      <c r="C52" s="42">
        <f>C8/('income statement '!C8/365)</f>
        <v>0</v>
      </c>
      <c r="D52" s="42">
        <f>D8/('income statement '!D8/365)</f>
        <v>0</v>
      </c>
      <c r="E52" s="43">
        <f t="shared" ref="E52:I52" si="25">AVERAGE(C52:D52)</f>
        <v>0</v>
      </c>
      <c r="F52" s="43">
        <f t="shared" si="25"/>
        <v>0</v>
      </c>
      <c r="G52" s="43">
        <f t="shared" si="25"/>
        <v>0</v>
      </c>
      <c r="H52" s="43">
        <f t="shared" si="25"/>
        <v>0</v>
      </c>
      <c r="I52" s="43">
        <f t="shared" si="25"/>
        <v>0</v>
      </c>
    </row>
    <row r="53" spans="2:9" x14ac:dyDescent="0.2">
      <c r="B53" s="5" t="s">
        <v>100</v>
      </c>
      <c r="C53" s="42">
        <f>C24/('income statement '!C8/365)</f>
        <v>270.36761727615652</v>
      </c>
      <c r="D53" s="42">
        <f>D24/('income statement '!D8/365)</f>
        <v>193.79242304301269</v>
      </c>
      <c r="E53" s="43">
        <f t="shared" ref="E53:I53" si="26">AVERAGE(C53:D53)</f>
        <v>232.08002015958459</v>
      </c>
      <c r="F53" s="43">
        <f t="shared" si="26"/>
        <v>212.93622160129866</v>
      </c>
      <c r="G53" s="43">
        <f t="shared" si="26"/>
        <v>222.50812088044162</v>
      </c>
      <c r="H53" s="43">
        <f t="shared" si="26"/>
        <v>217.72217124087013</v>
      </c>
      <c r="I53" s="43">
        <f t="shared" si="26"/>
        <v>220.11514606065589</v>
      </c>
    </row>
    <row r="54" spans="2:9" x14ac:dyDescent="0.2">
      <c r="B54" t="s">
        <v>102</v>
      </c>
      <c r="C54" s="77">
        <f>C23/'income statement '!C14</f>
        <v>0</v>
      </c>
      <c r="D54" s="77">
        <f>D23/'income statement '!D14</f>
        <v>0</v>
      </c>
      <c r="E54" s="43">
        <f>AVERAGE(C54:D54)</f>
        <v>0</v>
      </c>
      <c r="F54" s="43">
        <f t="shared" ref="F54:I54" si="27">AVERAGE(D54:E54)</f>
        <v>0</v>
      </c>
      <c r="G54" s="43">
        <f t="shared" si="27"/>
        <v>0</v>
      </c>
      <c r="H54" s="43">
        <f t="shared" si="27"/>
        <v>0</v>
      </c>
      <c r="I54" s="43">
        <f t="shared" si="27"/>
        <v>0</v>
      </c>
    </row>
    <row r="55" spans="2:9" x14ac:dyDescent="0.2">
      <c r="B55" t="s">
        <v>103</v>
      </c>
      <c r="C55" s="77">
        <f>C27/'income statement '!C14</f>
        <v>1.9759320244815572</v>
      </c>
      <c r="D55" s="77">
        <f>D27/'income statement '!D14</f>
        <v>2.1827653324007876</v>
      </c>
      <c r="E55" s="77">
        <f>AVERAGE(C55:D55)</f>
        <v>2.0793486784411725</v>
      </c>
      <c r="F55" s="77">
        <f t="shared" ref="F55:I55" si="28">AVERAGE(D55:E55)</f>
        <v>2.1310570054209803</v>
      </c>
      <c r="G55" s="77">
        <f t="shared" si="28"/>
        <v>2.1052028419310762</v>
      </c>
      <c r="H55" s="77">
        <f t="shared" si="28"/>
        <v>2.1181299236760283</v>
      </c>
      <c r="I55" s="77">
        <f t="shared" si="28"/>
        <v>2.111666382803552</v>
      </c>
    </row>
    <row r="56" spans="2:9" x14ac:dyDescent="0.2">
      <c r="B56" t="s">
        <v>104</v>
      </c>
      <c r="C56" s="77">
        <f>C33/'income statement '!C14</f>
        <v>0</v>
      </c>
      <c r="D56" s="77">
        <f>D33/'income statement '!D14</f>
        <v>0</v>
      </c>
      <c r="E56" s="43">
        <f>AVERAGE(C56:D56)</f>
        <v>0</v>
      </c>
      <c r="F56" s="43">
        <f t="shared" ref="F56:I56" si="29">AVERAGE(D56:E56)</f>
        <v>0</v>
      </c>
      <c r="G56" s="43">
        <f t="shared" si="29"/>
        <v>0</v>
      </c>
      <c r="H56" s="43">
        <f t="shared" si="29"/>
        <v>0</v>
      </c>
      <c r="I56" s="43">
        <f t="shared" si="29"/>
        <v>0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AF4B-CC34-450D-95BB-74E73F1439DD}">
  <sheetPr>
    <tabColor rgb="FF7030A0"/>
  </sheetPr>
  <dimension ref="B2:L58"/>
  <sheetViews>
    <sheetView showGridLines="0" workbookViewId="0">
      <pane ySplit="4" topLeftCell="A5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1.83203125" customWidth="1"/>
    <col min="2" max="2" width="43.83203125" style="6" customWidth="1"/>
    <col min="3" max="3" width="11.83203125" style="30" bestFit="1" customWidth="1"/>
    <col min="4" max="4" width="13.1640625" style="30" customWidth="1"/>
    <col min="5" max="5" width="11.1640625" style="5" bestFit="1" customWidth="1"/>
    <col min="6" max="6" width="11.5" style="5" bestFit="1" customWidth="1"/>
    <col min="7" max="7" width="12.5" style="5" customWidth="1"/>
    <col min="8" max="8" width="11.5" style="5" customWidth="1"/>
    <col min="9" max="9" width="11.5" style="5" bestFit="1" customWidth="1"/>
    <col min="10" max="10" width="31" customWidth="1"/>
  </cols>
  <sheetData>
    <row r="2" spans="2:12" ht="19" x14ac:dyDescent="0.25">
      <c r="B2" s="103" t="s">
        <v>169</v>
      </c>
      <c r="C2" s="103"/>
      <c r="D2" s="103"/>
      <c r="E2" s="103"/>
      <c r="F2" s="103"/>
      <c r="G2" s="103"/>
      <c r="H2" s="103"/>
      <c r="I2" s="103"/>
    </row>
    <row r="3" spans="2:12" x14ac:dyDescent="0.2">
      <c r="B3" s="8"/>
      <c r="C3" s="29" t="s">
        <v>50</v>
      </c>
      <c r="D3" s="2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  <c r="J3" s="41"/>
    </row>
    <row r="4" spans="2:12" x14ac:dyDescent="0.2">
      <c r="B4" s="38" t="s">
        <v>105</v>
      </c>
      <c r="C4" s="29">
        <v>2022</v>
      </c>
      <c r="D4" s="2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12" x14ac:dyDescent="0.2">
      <c r="B5" s="6" t="s">
        <v>53</v>
      </c>
    </row>
    <row r="6" spans="2:12" x14ac:dyDescent="0.2">
      <c r="B6" s="45" t="s">
        <v>19</v>
      </c>
      <c r="C6" s="51">
        <f>'income statement '!C27</f>
        <v>39831.630000000019</v>
      </c>
      <c r="D6" s="51">
        <f>'income statement '!D27</f>
        <v>48494.17</v>
      </c>
      <c r="E6" s="50">
        <f>'income statement '!E27</f>
        <v>62069.906265275407</v>
      </c>
      <c r="F6" s="50">
        <f>'income statement '!F27</f>
        <v>101368.08703416523</v>
      </c>
      <c r="G6" s="50">
        <f>'income statement '!G27</f>
        <v>140022.64724774737</v>
      </c>
      <c r="H6" s="50">
        <f>'income statement '!H27</f>
        <v>186045.17397093485</v>
      </c>
      <c r="I6" s="50">
        <f>'income statement '!I27</f>
        <v>236475.33905962962</v>
      </c>
    </row>
    <row r="7" spans="2:12" x14ac:dyDescent="0.2">
      <c r="B7" s="6" t="s">
        <v>54</v>
      </c>
      <c r="C7" s="51"/>
      <c r="D7" s="51"/>
      <c r="E7" s="50"/>
      <c r="F7" s="50"/>
      <c r="G7" s="50"/>
      <c r="H7" s="50"/>
      <c r="I7" s="50"/>
    </row>
    <row r="8" spans="2:12" x14ac:dyDescent="0.2">
      <c r="B8" s="6" t="s">
        <v>20</v>
      </c>
      <c r="C8" s="51">
        <f>'income statement '!C32</f>
        <v>1680.73</v>
      </c>
      <c r="D8" s="51">
        <f>'income statement '!D32</f>
        <v>2345.4699999999998</v>
      </c>
      <c r="E8" s="50">
        <f>'PP&amp;E Sch'!D8</f>
        <v>2674.0130595733694</v>
      </c>
      <c r="F8" s="50">
        <f>'PP&amp;E Sch'!E8</f>
        <v>3293.1462357440209</v>
      </c>
      <c r="G8" s="50">
        <f>'PP&amp;E Sch'!F8</f>
        <v>3901.1771443392377</v>
      </c>
      <c r="H8" s="50">
        <f>'PP&amp;E Sch'!G8</f>
        <v>4711.7715763392371</v>
      </c>
      <c r="I8" s="50">
        <f>'PP&amp;E Sch'!H8</f>
        <v>5635.910489727793</v>
      </c>
    </row>
    <row r="9" spans="2:12" x14ac:dyDescent="0.2">
      <c r="B9" s="6" t="s">
        <v>21</v>
      </c>
      <c r="C9" s="39">
        <f>'income statement '!C33</f>
        <v>0</v>
      </c>
      <c r="D9" s="39">
        <f>'income statement '!D33</f>
        <v>0</v>
      </c>
      <c r="E9" s="78">
        <f>'income statement '!E33</f>
        <v>0</v>
      </c>
      <c r="F9" s="78">
        <f>'income statement '!F33</f>
        <v>0</v>
      </c>
      <c r="G9" s="78">
        <f>'income statement '!G33</f>
        <v>0</v>
      </c>
      <c r="H9" s="78">
        <f>'income statement '!H33</f>
        <v>0</v>
      </c>
      <c r="I9" s="78">
        <f>'income statement '!I33</f>
        <v>0</v>
      </c>
    </row>
    <row r="10" spans="2:12" x14ac:dyDescent="0.2">
      <c r="B10" s="6" t="s">
        <v>55</v>
      </c>
      <c r="C10" s="51">
        <f>'Data Sheet'!L106</f>
        <v>-67902</v>
      </c>
      <c r="D10" s="51">
        <f>'Data Sheet'!M106</f>
        <v>-42541</v>
      </c>
      <c r="E10" s="50"/>
      <c r="F10" s="50"/>
      <c r="G10" s="50"/>
      <c r="H10" s="50"/>
      <c r="I10" s="50"/>
    </row>
    <row r="11" spans="2:12" x14ac:dyDescent="0.2">
      <c r="B11" s="6" t="s">
        <v>178</v>
      </c>
      <c r="C11" s="51">
        <f>'Data Sheet'!L107</f>
        <v>-14838</v>
      </c>
      <c r="D11" s="51">
        <f>'Data Sheet'!M107</f>
        <v>-16367</v>
      </c>
    </row>
    <row r="12" spans="2:12" x14ac:dyDescent="0.2">
      <c r="B12" s="45" t="s">
        <v>106</v>
      </c>
      <c r="C12" s="79">
        <f>SUM(C6:C11)</f>
        <v>-41227.639999999978</v>
      </c>
      <c r="D12" s="79">
        <f t="shared" ref="D12" si="1">SUM(D6:D11)</f>
        <v>-8068.3600000000006</v>
      </c>
      <c r="E12" s="80">
        <f t="shared" ref="E12" si="2">SUM(E6:E11)</f>
        <v>64743.919324848779</v>
      </c>
      <c r="F12" s="80">
        <f t="shared" ref="F12" si="3">SUM(F6:F11)</f>
        <v>104661.23326990925</v>
      </c>
      <c r="G12" s="80">
        <f t="shared" ref="G12" si="4">SUM(G6:G11)</f>
        <v>143923.82439208662</v>
      </c>
      <c r="H12" s="80">
        <f t="shared" ref="H12" si="5">SUM(H6:H11)</f>
        <v>190756.94554727408</v>
      </c>
      <c r="I12" s="80">
        <f t="shared" ref="I12" si="6">SUM(I6:I11)</f>
        <v>242111.24954935742</v>
      </c>
    </row>
    <row r="13" spans="2:12" x14ac:dyDescent="0.2">
      <c r="C13" s="51"/>
      <c r="D13" s="51"/>
      <c r="E13" s="50"/>
      <c r="F13" s="50"/>
      <c r="G13" s="50"/>
      <c r="H13" s="50"/>
      <c r="I13" s="50"/>
    </row>
    <row r="14" spans="2:12" x14ac:dyDescent="0.2">
      <c r="B14" s="6" t="s">
        <v>56</v>
      </c>
      <c r="C14" s="51"/>
      <c r="D14" s="51"/>
      <c r="E14" s="50"/>
      <c r="F14" s="50"/>
      <c r="G14" s="50"/>
      <c r="H14" s="50"/>
      <c r="I14" s="50"/>
    </row>
    <row r="15" spans="2:12" x14ac:dyDescent="0.2">
      <c r="B15" s="6" t="s">
        <v>114</v>
      </c>
      <c r="C15" s="51">
        <f>'Data Sheet'!L109</f>
        <v>-2236</v>
      </c>
      <c r="D15" s="51">
        <f>'Data Sheet'!M109</f>
        <v>-3467</v>
      </c>
      <c r="E15" s="50">
        <f>-'PP&amp;E Sch'!D6</f>
        <v>-3640.3500000000004</v>
      </c>
      <c r="F15" s="50">
        <f>-'PP&amp;E Sch'!E6</f>
        <v>-3822.3675000000007</v>
      </c>
      <c r="G15" s="50">
        <f>-'PP&amp;E Sch'!F6</f>
        <v>-4013.4858750000008</v>
      </c>
      <c r="H15" s="50">
        <f>-'PP&amp;E Sch'!G6</f>
        <v>-4214.1601687500006</v>
      </c>
      <c r="I15" s="50">
        <f>-'PP&amp;E Sch'!H6</f>
        <v>-4424.8681771875008</v>
      </c>
      <c r="J15" s="25"/>
      <c r="K15" s="25"/>
      <c r="L15" s="25"/>
    </row>
    <row r="16" spans="2:12" x14ac:dyDescent="0.2">
      <c r="B16" s="6" t="s">
        <v>116</v>
      </c>
      <c r="C16" s="51">
        <f>SUM('Data Sheet'!L110:L113)</f>
        <v>185</v>
      </c>
      <c r="D16" s="51">
        <f>SUM('Data Sheet'!M110:M113)</f>
        <v>475</v>
      </c>
      <c r="E16" s="50">
        <f>AVERAGE(C16:D16)</f>
        <v>330</v>
      </c>
      <c r="F16" s="50">
        <f t="shared" ref="F16:I16" si="7">AVERAGE(D16:E16)</f>
        <v>402.5</v>
      </c>
      <c r="G16" s="50">
        <f t="shared" si="7"/>
        <v>366.25</v>
      </c>
      <c r="H16" s="50">
        <f t="shared" si="7"/>
        <v>384.375</v>
      </c>
      <c r="I16" s="50">
        <f t="shared" si="7"/>
        <v>375.3125</v>
      </c>
    </row>
    <row r="17" spans="2:10" x14ac:dyDescent="0.2">
      <c r="B17" s="45" t="s">
        <v>115</v>
      </c>
      <c r="C17" s="79">
        <f>SUM(C15:C16)</f>
        <v>-2051</v>
      </c>
      <c r="D17" s="79">
        <f t="shared" ref="D17" si="8">SUM(D15:D16)</f>
        <v>-2992</v>
      </c>
      <c r="E17" s="80">
        <f>SUM(E15:E16)</f>
        <v>-3310.3500000000004</v>
      </c>
      <c r="F17" s="80">
        <f t="shared" ref="F17:I17" si="9">SUM(F15:F16)</f>
        <v>-3419.8675000000007</v>
      </c>
      <c r="G17" s="80">
        <f t="shared" si="9"/>
        <v>-3647.2358750000008</v>
      </c>
      <c r="H17" s="80">
        <f t="shared" si="9"/>
        <v>-3829.7851687500006</v>
      </c>
      <c r="I17" s="80">
        <f t="shared" si="9"/>
        <v>-4049.5556771875008</v>
      </c>
    </row>
    <row r="18" spans="2:10" x14ac:dyDescent="0.2">
      <c r="C18" s="51"/>
      <c r="D18" s="51"/>
      <c r="E18" s="50"/>
      <c r="F18" s="50"/>
      <c r="G18" s="50"/>
      <c r="H18" s="50"/>
      <c r="I18" s="50"/>
      <c r="J18" s="25"/>
    </row>
    <row r="19" spans="2:10" x14ac:dyDescent="0.2">
      <c r="B19" s="6" t="s">
        <v>57</v>
      </c>
      <c r="C19" s="51"/>
      <c r="D19" s="51"/>
      <c r="E19" s="50"/>
      <c r="F19" s="50"/>
      <c r="G19" s="50"/>
      <c r="H19" s="50"/>
      <c r="I19" s="50"/>
    </row>
    <row r="20" spans="2:10" x14ac:dyDescent="0.2">
      <c r="B20" s="46" t="s">
        <v>107</v>
      </c>
      <c r="C20" s="51">
        <f>'Data Sheet'!L115</f>
        <v>2610</v>
      </c>
      <c r="D20" s="51">
        <f>'Data Sheet'!M115</f>
        <v>3416</v>
      </c>
      <c r="E20" s="39">
        <f>'income statement '!E46</f>
        <v>0</v>
      </c>
      <c r="F20" s="39">
        <f>'income statement '!F46</f>
        <v>0</v>
      </c>
      <c r="G20" s="39">
        <f>'income statement '!G46</f>
        <v>0</v>
      </c>
      <c r="H20" s="39">
        <f>'income statement '!H46</f>
        <v>0</v>
      </c>
      <c r="I20" s="39">
        <f>'income statement '!I46</f>
        <v>0</v>
      </c>
    </row>
    <row r="21" spans="2:10" x14ac:dyDescent="0.2">
      <c r="B21" s="46" t="s">
        <v>108</v>
      </c>
      <c r="C21" s="39">
        <f>'Data Sheet'!L118</f>
        <v>44308</v>
      </c>
      <c r="D21" s="39">
        <f>'Data Sheet'!M118</f>
        <v>18007</v>
      </c>
      <c r="E21" s="39">
        <f>D21*(1-0.1)</f>
        <v>16206.300000000001</v>
      </c>
      <c r="F21" s="39">
        <f t="shared" ref="F21:I21" si="10">E21*(1-0.1)</f>
        <v>14585.670000000002</v>
      </c>
      <c r="G21" s="39">
        <f t="shared" si="10"/>
        <v>13127.103000000003</v>
      </c>
      <c r="H21" s="39">
        <f t="shared" si="10"/>
        <v>11814.392700000002</v>
      </c>
      <c r="I21" s="39">
        <f t="shared" si="10"/>
        <v>10632.953430000001</v>
      </c>
    </row>
    <row r="22" spans="2:10" x14ac:dyDescent="0.2">
      <c r="B22" s="46" t="s">
        <v>188</v>
      </c>
      <c r="C22" s="39">
        <f>'Data Sheet'!L117</f>
        <v>-3650</v>
      </c>
      <c r="D22" s="39">
        <f>'Data Sheet'!M117</f>
        <v>-12077</v>
      </c>
      <c r="E22" s="39">
        <f t="shared" ref="E22:I22" si="11">D22*(1-0.1)</f>
        <v>-10869.300000000001</v>
      </c>
      <c r="F22" s="39">
        <f t="shared" si="11"/>
        <v>-9782.3700000000008</v>
      </c>
      <c r="G22" s="39">
        <f t="shared" si="11"/>
        <v>-8804.1330000000016</v>
      </c>
      <c r="H22" s="39">
        <f t="shared" si="11"/>
        <v>-7923.7197000000015</v>
      </c>
      <c r="I22" s="39">
        <f t="shared" si="11"/>
        <v>-7131.3477300000013</v>
      </c>
    </row>
    <row r="23" spans="2:10" x14ac:dyDescent="0.2">
      <c r="B23" s="46" t="s">
        <v>186</v>
      </c>
      <c r="C23" s="39">
        <f>'Data Sheet'!L116</f>
        <v>8313</v>
      </c>
      <c r="D23" s="39">
        <f>'Data Sheet'!M116</f>
        <v>23000</v>
      </c>
      <c r="E23" s="39">
        <f t="shared" ref="E23:I23" si="12">D23*(1-0.1)</f>
        <v>20700</v>
      </c>
      <c r="F23" s="39">
        <f t="shared" si="12"/>
        <v>18630</v>
      </c>
      <c r="G23" s="39">
        <f t="shared" si="12"/>
        <v>16767</v>
      </c>
      <c r="H23" s="39">
        <f t="shared" si="12"/>
        <v>15090.300000000001</v>
      </c>
      <c r="I23" s="39">
        <f t="shared" si="12"/>
        <v>13581.27</v>
      </c>
    </row>
    <row r="24" spans="2:10" x14ac:dyDescent="0.2">
      <c r="B24" s="46" t="s">
        <v>110</v>
      </c>
      <c r="C24" s="51">
        <f>'Data Sheet'!L120</f>
        <v>-3592</v>
      </c>
      <c r="D24" s="51">
        <f>'Data Sheet'!M120</f>
        <v>-8605</v>
      </c>
      <c r="E24" s="50">
        <f>D24*(1.05)</f>
        <v>-9035.25</v>
      </c>
      <c r="F24" s="50">
        <f t="shared" ref="F24:I24" si="13">E24*(1.05)</f>
        <v>-9487.0125000000007</v>
      </c>
      <c r="G24" s="50">
        <f t="shared" si="13"/>
        <v>-9961.3631250000017</v>
      </c>
      <c r="H24" s="50">
        <f t="shared" si="13"/>
        <v>-10459.431281250003</v>
      </c>
      <c r="I24" s="50">
        <f t="shared" si="13"/>
        <v>-10982.402845312503</v>
      </c>
    </row>
    <row r="25" spans="2:10" x14ac:dyDescent="0.2">
      <c r="B25" s="46" t="s">
        <v>111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</row>
    <row r="26" spans="2:10" x14ac:dyDescent="0.2">
      <c r="B26" s="46" t="s">
        <v>112</v>
      </c>
      <c r="C26" s="39">
        <v>0</v>
      </c>
      <c r="D26" s="39">
        <v>0</v>
      </c>
      <c r="E26" s="50"/>
      <c r="F26" s="50"/>
      <c r="G26" s="50"/>
      <c r="H26" s="50"/>
      <c r="I26" s="50"/>
    </row>
    <row r="27" spans="2:10" x14ac:dyDescent="0.2">
      <c r="B27" s="46" t="s">
        <v>113</v>
      </c>
      <c r="C27" s="51">
        <f>'Data Sheet'!L121</f>
        <v>136</v>
      </c>
      <c r="D27" s="51">
        <f>'Data Sheet'!M121</f>
        <v>199</v>
      </c>
      <c r="E27" s="39">
        <f>AVERAGE(C27:D27)</f>
        <v>167.5</v>
      </c>
      <c r="F27" s="39">
        <f t="shared" ref="F27:I27" si="14">AVERAGE(D27:E27)</f>
        <v>183.25</v>
      </c>
      <c r="G27" s="39">
        <f t="shared" si="14"/>
        <v>175.375</v>
      </c>
      <c r="H27" s="39">
        <f t="shared" si="14"/>
        <v>179.3125</v>
      </c>
      <c r="I27" s="39">
        <f t="shared" si="14"/>
        <v>177.34375</v>
      </c>
    </row>
    <row r="28" spans="2:10" x14ac:dyDescent="0.2">
      <c r="B28" s="45" t="s">
        <v>117</v>
      </c>
      <c r="C28" s="79">
        <f>SUM(C20:C27)</f>
        <v>48125</v>
      </c>
      <c r="D28" s="79">
        <f t="shared" ref="D28:I28" si="15">SUM(D20:D27)</f>
        <v>23940</v>
      </c>
      <c r="E28" s="81">
        <f t="shared" si="15"/>
        <v>17169.25</v>
      </c>
      <c r="F28" s="81">
        <f t="shared" si="15"/>
        <v>14129.537500000002</v>
      </c>
      <c r="G28" s="81">
        <f t="shared" si="15"/>
        <v>11303.981874999999</v>
      </c>
      <c r="H28" s="81">
        <f t="shared" si="15"/>
        <v>8700.8542187499988</v>
      </c>
      <c r="I28" s="81">
        <f t="shared" si="15"/>
        <v>6277.8166046874976</v>
      </c>
    </row>
    <row r="29" spans="2:10" x14ac:dyDescent="0.2">
      <c r="C29" s="51"/>
      <c r="D29" s="51"/>
      <c r="E29" s="50"/>
      <c r="F29" s="50"/>
      <c r="G29" s="50"/>
      <c r="H29" s="50"/>
      <c r="I29" s="50"/>
    </row>
    <row r="30" spans="2:10" x14ac:dyDescent="0.2">
      <c r="B30" s="46" t="s">
        <v>58</v>
      </c>
      <c r="C30" s="51">
        <f>C12+C17+C28</f>
        <v>4846.3600000000224</v>
      </c>
      <c r="D30" s="51">
        <f t="shared" ref="D30:I30" si="16">D12+D17+D28</f>
        <v>12879.64</v>
      </c>
      <c r="E30" s="50">
        <f t="shared" si="16"/>
        <v>78602.819324848781</v>
      </c>
      <c r="F30" s="50">
        <f t="shared" si="16"/>
        <v>115370.90326990925</v>
      </c>
      <c r="G30" s="50">
        <f t="shared" si="16"/>
        <v>151580.57039208661</v>
      </c>
      <c r="H30" s="50">
        <f t="shared" si="16"/>
        <v>195628.01459727407</v>
      </c>
      <c r="I30" s="50">
        <f t="shared" si="16"/>
        <v>244339.51047685742</v>
      </c>
    </row>
    <row r="31" spans="2:10" x14ac:dyDescent="0.2">
      <c r="B31" s="46" t="s">
        <v>118</v>
      </c>
      <c r="C31" s="51"/>
      <c r="D31" s="50">
        <f t="shared" ref="D31" si="17">C32</f>
        <v>36178</v>
      </c>
      <c r="E31" s="50">
        <f>D32</f>
        <v>68664</v>
      </c>
      <c r="F31" s="50">
        <f t="shared" ref="F31:I31" si="18">E32</f>
        <v>147266.81932484877</v>
      </c>
      <c r="G31" s="50">
        <f t="shared" si="18"/>
        <v>262637.72259475803</v>
      </c>
      <c r="H31" s="50">
        <f t="shared" si="18"/>
        <v>414218.29298684467</v>
      </c>
      <c r="I31" s="50">
        <f t="shared" si="18"/>
        <v>609846.3075841188</v>
      </c>
    </row>
    <row r="32" spans="2:10" x14ac:dyDescent="0.2">
      <c r="B32" s="46" t="s">
        <v>119</v>
      </c>
      <c r="C32" s="79">
        <v>36178</v>
      </c>
      <c r="D32" s="79">
        <v>68664</v>
      </c>
      <c r="E32" s="80">
        <f>SUM(E30:E31)</f>
        <v>147266.81932484877</v>
      </c>
      <c r="F32" s="80">
        <f t="shared" ref="F32:I32" si="19">SUM(F30:F31)</f>
        <v>262637.72259475803</v>
      </c>
      <c r="G32" s="80">
        <f t="shared" si="19"/>
        <v>414218.29298684467</v>
      </c>
      <c r="H32" s="80">
        <f t="shared" si="19"/>
        <v>609846.3075841188</v>
      </c>
      <c r="I32" s="80">
        <f t="shared" si="19"/>
        <v>854185.81806097622</v>
      </c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3BE7-591B-4504-9E27-0A191B3586A2}">
  <sheetPr>
    <tabColor rgb="FFFFC000"/>
  </sheetPr>
  <dimension ref="A1:I23"/>
  <sheetViews>
    <sheetView showGridLines="0" workbookViewId="0">
      <selection activeCell="I13" sqref="I13"/>
    </sheetView>
  </sheetViews>
  <sheetFormatPr baseColWidth="10" defaultColWidth="8.83203125" defaultRowHeight="15" x14ac:dyDescent="0.2"/>
  <cols>
    <col min="1" max="1" width="45.6640625" style="6" customWidth="1"/>
    <col min="2" max="3" width="13.6640625" style="5" bestFit="1" customWidth="1"/>
    <col min="4" max="4" width="11.33203125" style="5" customWidth="1"/>
    <col min="5" max="5" width="11.1640625" style="5" customWidth="1"/>
    <col min="6" max="6" width="10.5" style="5" customWidth="1"/>
    <col min="7" max="7" width="12" style="5" customWidth="1"/>
    <col min="8" max="8" width="10.33203125" style="5" customWidth="1"/>
    <col min="9" max="9" width="101.6640625" style="5" bestFit="1" customWidth="1"/>
  </cols>
  <sheetData>
    <row r="1" spans="1:8" x14ac:dyDescent="0.2">
      <c r="A1" s="4"/>
      <c r="B1"/>
      <c r="C1"/>
      <c r="D1"/>
      <c r="E1"/>
      <c r="F1"/>
      <c r="G1"/>
      <c r="H1"/>
    </row>
    <row r="2" spans="1:8" x14ac:dyDescent="0.2">
      <c r="A2" s="4"/>
      <c r="B2"/>
      <c r="C2"/>
      <c r="D2"/>
      <c r="E2"/>
      <c r="F2"/>
      <c r="G2"/>
      <c r="H2"/>
    </row>
    <row r="3" spans="1:8" ht="19" x14ac:dyDescent="0.25">
      <c r="A3" s="103" t="s">
        <v>169</v>
      </c>
      <c r="B3" s="103"/>
      <c r="C3" s="103"/>
      <c r="D3" s="103"/>
      <c r="E3" s="103"/>
      <c r="F3" s="103"/>
      <c r="G3" s="103"/>
      <c r="H3" s="103"/>
    </row>
    <row r="4" spans="1:8" x14ac:dyDescent="0.2">
      <c r="A4" s="38"/>
      <c r="B4" s="9" t="s">
        <v>50</v>
      </c>
      <c r="C4" s="9" t="s">
        <v>50</v>
      </c>
      <c r="D4" s="9" t="s">
        <v>51</v>
      </c>
      <c r="E4" s="9" t="s">
        <v>51</v>
      </c>
      <c r="F4" s="9" t="s">
        <v>51</v>
      </c>
      <c r="G4" s="9" t="s">
        <v>51</v>
      </c>
      <c r="H4" s="9" t="s">
        <v>51</v>
      </c>
    </row>
    <row r="5" spans="1:8" x14ac:dyDescent="0.2">
      <c r="A5" s="38" t="s">
        <v>120</v>
      </c>
      <c r="B5" s="9">
        <v>2022</v>
      </c>
      <c r="C5" s="9">
        <f>B5+1</f>
        <v>2023</v>
      </c>
      <c r="D5" s="9">
        <f t="shared" ref="D5:H5" si="0">C5+1</f>
        <v>2024</v>
      </c>
      <c r="E5" s="9">
        <f t="shared" si="0"/>
        <v>2025</v>
      </c>
      <c r="F5" s="9">
        <f t="shared" si="0"/>
        <v>2026</v>
      </c>
      <c r="G5" s="9">
        <f t="shared" si="0"/>
        <v>2027</v>
      </c>
      <c r="H5" s="9">
        <f t="shared" si="0"/>
        <v>2028</v>
      </c>
    </row>
    <row r="6" spans="1:8" x14ac:dyDescent="0.2">
      <c r="A6" s="6" t="s">
        <v>59</v>
      </c>
      <c r="B6"/>
      <c r="C6" s="53"/>
      <c r="D6" s="53">
        <f>'Cash Flow Statement '!E31</f>
        <v>68664</v>
      </c>
      <c r="E6" s="53">
        <f>D10</f>
        <v>149266.81932484877</v>
      </c>
      <c r="F6" s="53">
        <f t="shared" ref="F6:H6" si="1">E10</f>
        <v>266637.72259475797</v>
      </c>
      <c r="G6" s="53">
        <f t="shared" si="1"/>
        <v>420218.29298684461</v>
      </c>
      <c r="H6" s="53">
        <f t="shared" si="1"/>
        <v>617846.30758411868</v>
      </c>
    </row>
    <row r="7" spans="1:8" x14ac:dyDescent="0.2">
      <c r="A7" s="6" t="s">
        <v>60</v>
      </c>
      <c r="B7"/>
      <c r="C7"/>
      <c r="D7" s="53">
        <f>'Cash Flow Statement '!E12+'Cash Flow Statement '!E17</f>
        <v>61433.569324848781</v>
      </c>
      <c r="E7" s="53">
        <f>'Cash Flow Statement '!F12+'Cash Flow Statement '!F17</f>
        <v>101241.36576990924</v>
      </c>
      <c r="F7" s="53">
        <f>'Cash Flow Statement '!G12+'Cash Flow Statement '!G17</f>
        <v>140276.58851708661</v>
      </c>
      <c r="G7" s="53">
        <f>'Cash Flow Statement '!H12+'Cash Flow Statement '!H17</f>
        <v>186927.16037852407</v>
      </c>
      <c r="H7" s="53">
        <f>'Cash Flow Statement '!I12+'Cash Flow Statement '!I17</f>
        <v>238061.69387216991</v>
      </c>
    </row>
    <row r="8" spans="1:8" x14ac:dyDescent="0.2">
      <c r="A8" s="6" t="s">
        <v>61</v>
      </c>
      <c r="B8"/>
      <c r="C8"/>
      <c r="D8" s="53">
        <f>'Cash Flow Statement '!E28</f>
        <v>17169.25</v>
      </c>
      <c r="E8" s="53">
        <f>'Cash Flow Statement '!F28</f>
        <v>14129.537500000002</v>
      </c>
      <c r="F8" s="53">
        <f>'Cash Flow Statement '!G28</f>
        <v>11303.981874999999</v>
      </c>
      <c r="G8" s="53">
        <f>'Cash Flow Statement '!H28</f>
        <v>8700.8542187499988</v>
      </c>
      <c r="H8" s="53">
        <f>'Cash Flow Statement '!I28</f>
        <v>6277.8166046874976</v>
      </c>
    </row>
    <row r="9" spans="1:8" x14ac:dyDescent="0.2">
      <c r="A9" s="6" t="s">
        <v>62</v>
      </c>
      <c r="B9"/>
      <c r="C9"/>
      <c r="D9" s="21">
        <v>2000</v>
      </c>
      <c r="E9" s="21">
        <v>2000</v>
      </c>
      <c r="F9" s="21">
        <v>2000</v>
      </c>
      <c r="G9" s="21">
        <v>2000</v>
      </c>
      <c r="H9" s="21">
        <v>2000</v>
      </c>
    </row>
    <row r="10" spans="1:8" x14ac:dyDescent="0.2">
      <c r="A10" s="6" t="s">
        <v>63</v>
      </c>
      <c r="B10"/>
      <c r="C10"/>
      <c r="D10" s="53">
        <f>SUM(D6:D9)</f>
        <v>149266.81932484877</v>
      </c>
      <c r="E10" s="53">
        <f t="shared" ref="E10:H10" si="2">SUM(E6:E9)</f>
        <v>266637.72259475797</v>
      </c>
      <c r="F10" s="53">
        <f t="shared" si="2"/>
        <v>420218.29298684461</v>
      </c>
      <c r="G10" s="53">
        <f t="shared" si="2"/>
        <v>617846.30758411868</v>
      </c>
      <c r="H10" s="53">
        <f t="shared" si="2"/>
        <v>864185.8180609761</v>
      </c>
    </row>
    <row r="11" spans="1:8" x14ac:dyDescent="0.2">
      <c r="A11" s="6" t="s">
        <v>35</v>
      </c>
      <c r="B11"/>
      <c r="C11"/>
      <c r="D11" s="54">
        <v>0</v>
      </c>
      <c r="E11" s="54">
        <v>0</v>
      </c>
      <c r="F11" s="54">
        <v>0</v>
      </c>
      <c r="G11" s="54">
        <v>0</v>
      </c>
      <c r="H11" s="54">
        <v>0</v>
      </c>
    </row>
    <row r="12" spans="1:8" x14ac:dyDescent="0.2">
      <c r="A12" s="6" t="s">
        <v>35</v>
      </c>
      <c r="B12"/>
      <c r="C12"/>
      <c r="D12" s="54">
        <v>0</v>
      </c>
      <c r="E12" s="54">
        <v>0</v>
      </c>
      <c r="F12" s="54">
        <v>0</v>
      </c>
      <c r="G12" s="54">
        <v>0</v>
      </c>
      <c r="H12" s="54">
        <v>0</v>
      </c>
    </row>
    <row r="13" spans="1:8" x14ac:dyDescent="0.2">
      <c r="B13" s="52"/>
      <c r="C13"/>
      <c r="D13"/>
      <c r="E13"/>
      <c r="F13"/>
      <c r="G13"/>
      <c r="H13"/>
    </row>
    <row r="14" spans="1:8" x14ac:dyDescent="0.2">
      <c r="A14" s="6" t="s">
        <v>64</v>
      </c>
      <c r="B14"/>
      <c r="C14"/>
      <c r="D14"/>
      <c r="E14"/>
      <c r="F14"/>
      <c r="G14"/>
      <c r="H14"/>
    </row>
    <row r="15" spans="1:8" x14ac:dyDescent="0.2">
      <c r="A15" s="6" t="s">
        <v>37</v>
      </c>
      <c r="B15" s="44">
        <f>'balances sheet'!C31</f>
        <v>1784970</v>
      </c>
      <c r="C15" s="44">
        <f>'balances sheet'!D31</f>
        <v>2139212</v>
      </c>
      <c r="D15" s="44">
        <f>C15-C16</f>
        <v>1960715</v>
      </c>
      <c r="E15" s="44">
        <f t="shared" ref="E15:H15" si="3">D15-D16</f>
        <v>1746793.8</v>
      </c>
      <c r="F15" s="44">
        <f t="shared" si="3"/>
        <v>1550722.3</v>
      </c>
      <c r="G15" s="44">
        <f t="shared" si="3"/>
        <v>1376042.92</v>
      </c>
      <c r="H15" s="44">
        <f t="shared" si="3"/>
        <v>1220970.69</v>
      </c>
    </row>
    <row r="16" spans="1:8" x14ac:dyDescent="0.2">
      <c r="A16" s="6" t="s">
        <v>65</v>
      </c>
      <c r="B16" s="44"/>
      <c r="C16" s="44">
        <f>B15*10%</f>
        <v>178497</v>
      </c>
      <c r="D16" s="44">
        <f t="shared" ref="D16:H16" si="4">C15*10%</f>
        <v>213921.2</v>
      </c>
      <c r="E16" s="44">
        <f t="shared" si="4"/>
        <v>196071.5</v>
      </c>
      <c r="F16" s="44">
        <f t="shared" si="4"/>
        <v>174679.38</v>
      </c>
      <c r="G16" s="44">
        <f t="shared" si="4"/>
        <v>155072.23000000001</v>
      </c>
      <c r="H16" s="44">
        <f t="shared" si="4"/>
        <v>137604.29199999999</v>
      </c>
    </row>
    <row r="17" spans="1:8" x14ac:dyDescent="0.2">
      <c r="A17" s="6" t="s">
        <v>16</v>
      </c>
      <c r="B17"/>
      <c r="C17"/>
      <c r="D17"/>
      <c r="E17"/>
      <c r="F17"/>
      <c r="G17"/>
      <c r="H17"/>
    </row>
    <row r="18" spans="1:8" x14ac:dyDescent="0.2">
      <c r="A18" s="6" t="s">
        <v>66</v>
      </c>
      <c r="B18"/>
      <c r="C18"/>
      <c r="D18" s="55">
        <v>0.08</v>
      </c>
      <c r="E18" s="55">
        <v>0.08</v>
      </c>
      <c r="F18" s="55">
        <v>0.08</v>
      </c>
      <c r="G18" s="55">
        <v>0.08</v>
      </c>
      <c r="H18" s="55">
        <v>0.08</v>
      </c>
    </row>
    <row r="19" spans="1:8" x14ac:dyDescent="0.2">
      <c r="A19" s="6" t="s">
        <v>67</v>
      </c>
      <c r="B19"/>
      <c r="C19"/>
      <c r="D19" s="55">
        <v>0.05</v>
      </c>
      <c r="E19" s="55">
        <v>0.05</v>
      </c>
      <c r="F19" s="55">
        <v>0.05</v>
      </c>
      <c r="G19" s="55">
        <v>0.05</v>
      </c>
      <c r="H19" s="55">
        <v>0.05</v>
      </c>
    </row>
    <row r="20" spans="1:8" x14ac:dyDescent="0.2">
      <c r="B20"/>
      <c r="C20"/>
      <c r="D20"/>
      <c r="E20"/>
      <c r="F20"/>
      <c r="G20"/>
      <c r="H20"/>
    </row>
    <row r="21" spans="1:8" x14ac:dyDescent="0.2">
      <c r="A21" s="6" t="s">
        <v>69</v>
      </c>
      <c r="B21"/>
      <c r="C21"/>
      <c r="D21" s="54">
        <v>0</v>
      </c>
      <c r="E21" s="54">
        <v>0</v>
      </c>
      <c r="F21" s="54">
        <v>0</v>
      </c>
      <c r="G21" s="54">
        <v>0</v>
      </c>
      <c r="H21" s="54">
        <v>0</v>
      </c>
    </row>
    <row r="22" spans="1:8" x14ac:dyDescent="0.2">
      <c r="A22" s="6" t="s">
        <v>68</v>
      </c>
      <c r="B22"/>
      <c r="C22"/>
      <c r="D22" s="44">
        <f>AVERAGE(C15:C16,D15:D16)*D18</f>
        <v>89846.90400000001</v>
      </c>
      <c r="E22" s="44">
        <f t="shared" ref="E22:H22" si="5">AVERAGE(D15:D16,E15:E16)*E18</f>
        <v>82350.03</v>
      </c>
      <c r="F22" s="44">
        <f t="shared" si="5"/>
        <v>73365.339600000007</v>
      </c>
      <c r="G22" s="44">
        <f t="shared" si="5"/>
        <v>65130.336600000002</v>
      </c>
      <c r="H22" s="44">
        <f t="shared" si="5"/>
        <v>57793.802639999994</v>
      </c>
    </row>
    <row r="23" spans="1:8" ht="16" thickBot="1" x14ac:dyDescent="0.25">
      <c r="A23" s="45" t="s">
        <v>70</v>
      </c>
      <c r="B23" s="1"/>
      <c r="C23" s="1"/>
      <c r="D23" s="56">
        <f>D22</f>
        <v>89846.90400000001</v>
      </c>
      <c r="E23" s="56">
        <f t="shared" ref="E23:H23" si="6">E22</f>
        <v>82350.03</v>
      </c>
      <c r="F23" s="56">
        <f t="shared" si="6"/>
        <v>73365.339600000007</v>
      </c>
      <c r="G23" s="56">
        <f t="shared" si="6"/>
        <v>65130.336600000002</v>
      </c>
      <c r="H23" s="56">
        <f t="shared" si="6"/>
        <v>57793.802639999994</v>
      </c>
    </row>
  </sheetData>
  <mergeCells count="1">
    <mergeCell ref="A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1C1-5623-4BA8-9044-3EF5666600D6}">
  <sheetPr>
    <tabColor rgb="FFFFC000"/>
  </sheetPr>
  <dimension ref="A1:H11"/>
  <sheetViews>
    <sheetView showGridLines="0" workbookViewId="0">
      <selection activeCell="I1" sqref="I1:I1048576"/>
    </sheetView>
  </sheetViews>
  <sheetFormatPr baseColWidth="10" defaultColWidth="8.83203125" defaultRowHeight="15" x14ac:dyDescent="0.2"/>
  <cols>
    <col min="1" max="1" width="33.33203125" style="5" bestFit="1" customWidth="1"/>
    <col min="2" max="2" width="13.1640625" style="5" customWidth="1"/>
    <col min="3" max="3" width="12.6640625" style="5" customWidth="1"/>
    <col min="4" max="8" width="12.33203125" style="5" bestFit="1" customWidth="1"/>
    <col min="9" max="9" width="93.1640625" bestFit="1" customWidth="1"/>
  </cols>
  <sheetData>
    <row r="1" spans="1:8" ht="19" x14ac:dyDescent="0.25">
      <c r="A1" s="103" t="s">
        <v>169</v>
      </c>
      <c r="B1" s="103"/>
      <c r="C1" s="103"/>
      <c r="D1" s="103"/>
      <c r="E1" s="103"/>
      <c r="F1" s="103"/>
      <c r="G1" s="103"/>
      <c r="H1" s="103"/>
    </row>
    <row r="2" spans="1:8" x14ac:dyDescent="0.2">
      <c r="A2" s="38"/>
      <c r="B2" s="9" t="s">
        <v>50</v>
      </c>
      <c r="C2" s="9" t="s">
        <v>50</v>
      </c>
      <c r="D2" s="9" t="s">
        <v>51</v>
      </c>
      <c r="E2" s="9" t="s">
        <v>51</v>
      </c>
      <c r="F2" s="9" t="s">
        <v>51</v>
      </c>
      <c r="G2" s="9" t="s">
        <v>51</v>
      </c>
      <c r="H2" s="9" t="s">
        <v>51</v>
      </c>
    </row>
    <row r="3" spans="1:8" x14ac:dyDescent="0.2">
      <c r="A3" s="38" t="s">
        <v>120</v>
      </c>
      <c r="B3" s="9">
        <v>2022</v>
      </c>
      <c r="C3" s="9">
        <f>B3+1</f>
        <v>2023</v>
      </c>
      <c r="D3" s="9">
        <f t="shared" ref="D3:H3" si="0">C3+1</f>
        <v>2024</v>
      </c>
      <c r="E3" s="9">
        <f t="shared" si="0"/>
        <v>2025</v>
      </c>
      <c r="F3" s="9">
        <f t="shared" si="0"/>
        <v>2026</v>
      </c>
      <c r="G3" s="9">
        <f t="shared" si="0"/>
        <v>2027</v>
      </c>
      <c r="H3" s="9">
        <f t="shared" si="0"/>
        <v>2028</v>
      </c>
    </row>
    <row r="4" spans="1:8" x14ac:dyDescent="0.2">
      <c r="A4" s="57" t="s">
        <v>71</v>
      </c>
      <c r="B4" s="53"/>
      <c r="C4" s="53"/>
    </row>
    <row r="5" spans="1:8" x14ac:dyDescent="0.2">
      <c r="A5" s="6" t="s">
        <v>72</v>
      </c>
      <c r="B5" s="53"/>
      <c r="C5" s="53"/>
      <c r="D5" s="53">
        <f>'balances sheet'!D13</f>
        <v>8431.35</v>
      </c>
      <c r="E5" s="53">
        <f>D11</f>
        <v>14745.713059573371</v>
      </c>
      <c r="F5" s="53">
        <f>E11</f>
        <v>21861.226795317394</v>
      </c>
      <c r="G5" s="53">
        <f>F11</f>
        <v>29775.889814656635</v>
      </c>
      <c r="H5" s="53">
        <f>G11</f>
        <v>38701.821559745877</v>
      </c>
    </row>
    <row r="6" spans="1:8" x14ac:dyDescent="0.2">
      <c r="A6" s="5" t="s">
        <v>73</v>
      </c>
      <c r="B6" s="53">
        <f>-'Cash Flow Statement '!C15</f>
        <v>2236</v>
      </c>
      <c r="C6" s="53">
        <f>-'Cash Flow Statement '!D15</f>
        <v>3467</v>
      </c>
      <c r="D6" s="53">
        <f>C6*1.05</f>
        <v>3640.3500000000004</v>
      </c>
      <c r="E6" s="53">
        <f t="shared" ref="E6:H6" si="1">D6*1.05</f>
        <v>3822.3675000000007</v>
      </c>
      <c r="F6" s="53">
        <f t="shared" si="1"/>
        <v>4013.4858750000008</v>
      </c>
      <c r="G6" s="53">
        <f t="shared" si="1"/>
        <v>4214.1601687500006</v>
      </c>
      <c r="H6" s="53">
        <f t="shared" si="1"/>
        <v>4424.8681771875008</v>
      </c>
    </row>
    <row r="7" spans="1:8" x14ac:dyDescent="0.2">
      <c r="B7" s="53"/>
      <c r="C7" s="53"/>
      <c r="D7" s="53"/>
      <c r="E7" s="53"/>
      <c r="F7" s="53"/>
      <c r="G7" s="53"/>
      <c r="H7" s="53"/>
    </row>
    <row r="8" spans="1:8" x14ac:dyDescent="0.2">
      <c r="A8" s="5" t="s">
        <v>74</v>
      </c>
      <c r="B8" s="53">
        <f>'income statement '!C32</f>
        <v>1680.73</v>
      </c>
      <c r="C8" s="53">
        <f>'income statement '!D32</f>
        <v>2345.4699999999998</v>
      </c>
      <c r="D8" s="53">
        <f>'income statement '!E5*'PP&amp;E Sch'!D9</f>
        <v>2674.0130595733694</v>
      </c>
      <c r="E8" s="53">
        <f>'income statement '!F5*'PP&amp;E Sch'!E9</f>
        <v>3293.1462357440209</v>
      </c>
      <c r="F8" s="53">
        <f>'income statement '!G5*'PP&amp;E Sch'!F9</f>
        <v>3901.1771443392377</v>
      </c>
      <c r="G8" s="53">
        <f>'income statement '!H5*'PP&amp;E Sch'!G9</f>
        <v>4711.7715763392371</v>
      </c>
      <c r="H8" s="53">
        <f>'income statement '!I5*'PP&amp;E Sch'!H9</f>
        <v>5635.910489727793</v>
      </c>
    </row>
    <row r="9" spans="1:8" x14ac:dyDescent="0.2">
      <c r="A9" s="24" t="s">
        <v>75</v>
      </c>
      <c r="B9" s="53">
        <f>'income statement '!C32/'income statement '!C5</f>
        <v>1.2364089944702821E-2</v>
      </c>
      <c r="C9" s="53">
        <f>'income statement '!D32/'income statement '!D5</f>
        <v>1.3735955311162458E-2</v>
      </c>
      <c r="D9" s="53">
        <f>AVERAGE(B9:C9)</f>
        <v>1.305002262793264E-2</v>
      </c>
      <c r="E9" s="53">
        <f t="shared" ref="E9:H9" si="2">AVERAGE(C9:D9)</f>
        <v>1.3392988969547548E-2</v>
      </c>
      <c r="F9" s="53">
        <f t="shared" si="2"/>
        <v>1.3221505798740093E-2</v>
      </c>
      <c r="G9" s="53">
        <f t="shared" si="2"/>
        <v>1.330724738414382E-2</v>
      </c>
      <c r="H9" s="53">
        <f t="shared" si="2"/>
        <v>1.3264376591441956E-2</v>
      </c>
    </row>
    <row r="10" spans="1:8" x14ac:dyDescent="0.2">
      <c r="B10" s="53"/>
      <c r="C10" s="53"/>
      <c r="D10" s="53"/>
      <c r="E10" s="53"/>
      <c r="F10" s="53"/>
      <c r="G10" s="53"/>
      <c r="H10" s="53"/>
    </row>
    <row r="11" spans="1:8" ht="16" thickBot="1" x14ac:dyDescent="0.25">
      <c r="A11" s="10" t="s">
        <v>76</v>
      </c>
      <c r="B11" s="53"/>
      <c r="C11" s="53"/>
      <c r="D11" s="58">
        <f>SUM(D5:D8)</f>
        <v>14745.713059573371</v>
      </c>
      <c r="E11" s="58">
        <f>SUM(E5:E8)</f>
        <v>21861.226795317394</v>
      </c>
      <c r="F11" s="58">
        <f>SUM(F5:F8)</f>
        <v>29775.889814656635</v>
      </c>
      <c r="G11" s="58">
        <f>SUM(G5:G8)</f>
        <v>38701.821559745877</v>
      </c>
      <c r="H11" s="58">
        <f>SUM(H5:H8)</f>
        <v>48762.600226661169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18B5-9503-479E-B6D8-16DC62D2DF8F}">
  <sheetPr>
    <tabColor rgb="FFFF0000"/>
  </sheetPr>
  <dimension ref="A1:M122"/>
  <sheetViews>
    <sheetView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202" sqref="B202"/>
    </sheetView>
  </sheetViews>
  <sheetFormatPr baseColWidth="10" defaultColWidth="10.5" defaultRowHeight="13" x14ac:dyDescent="0.15"/>
  <cols>
    <col min="1" max="1" width="26.6640625" style="25" bestFit="1" customWidth="1"/>
    <col min="2" max="11" width="11.5" style="25" bestFit="1" customWidth="1"/>
    <col min="12" max="16384" width="10.5" style="25"/>
  </cols>
  <sheetData>
    <row r="1" spans="1:11" s="83" customFormat="1" x14ac:dyDescent="0.15">
      <c r="A1" s="83" t="s">
        <v>170</v>
      </c>
      <c r="B1" s="83" t="s">
        <v>169</v>
      </c>
      <c r="E1" s="104" t="str">
        <f>IF(B2&lt;&gt;B3, "A NEW VERSION OF THE WORKSHEET IS AVAILABLE", "")</f>
        <v/>
      </c>
      <c r="F1" s="104"/>
      <c r="G1" s="104"/>
      <c r="H1" s="104"/>
      <c r="I1" s="104"/>
      <c r="J1" s="104"/>
      <c r="K1" s="104"/>
    </row>
    <row r="2" spans="1:11" x14ac:dyDescent="0.15">
      <c r="A2" s="83" t="s">
        <v>168</v>
      </c>
      <c r="B2" s="25">
        <v>2.1</v>
      </c>
      <c r="E2" s="105" t="s">
        <v>167</v>
      </c>
      <c r="F2" s="105"/>
      <c r="G2" s="105"/>
      <c r="H2" s="105"/>
      <c r="I2" s="105"/>
      <c r="J2" s="105"/>
      <c r="K2" s="105"/>
    </row>
    <row r="3" spans="1:11" x14ac:dyDescent="0.15">
      <c r="A3" s="83" t="s">
        <v>166</v>
      </c>
      <c r="B3" s="25">
        <v>2.1</v>
      </c>
    </row>
    <row r="4" spans="1:11" x14ac:dyDescent="0.15">
      <c r="A4" s="83"/>
    </row>
    <row r="5" spans="1:11" x14ac:dyDescent="0.15">
      <c r="A5" s="83" t="s">
        <v>165</v>
      </c>
    </row>
    <row r="6" spans="1:11" x14ac:dyDescent="0.15">
      <c r="A6" s="25" t="s">
        <v>164</v>
      </c>
      <c r="B6" s="25">
        <f>IF(B9&gt;0, B9/B8, 0)</f>
        <v>759.66243892296495</v>
      </c>
    </row>
    <row r="7" spans="1:11" x14ac:dyDescent="0.15">
      <c r="A7" s="25" t="s">
        <v>163</v>
      </c>
      <c r="B7" s="84">
        <v>1</v>
      </c>
    </row>
    <row r="8" spans="1:11" x14ac:dyDescent="0.15">
      <c r="A8" s="25" t="s">
        <v>162</v>
      </c>
      <c r="B8" s="84">
        <v>1442.85</v>
      </c>
    </row>
    <row r="9" spans="1:11" x14ac:dyDescent="0.15">
      <c r="A9" s="25" t="s">
        <v>161</v>
      </c>
      <c r="B9" s="84">
        <v>1096078.95</v>
      </c>
    </row>
    <row r="15" spans="1:11" x14ac:dyDescent="0.15">
      <c r="A15" s="83" t="s">
        <v>160</v>
      </c>
      <c r="B15" s="25">
        <f>B26+B34</f>
        <v>38012.449999999997</v>
      </c>
      <c r="K15" s="25">
        <f>K17-K18-K20-K21-K22-K23-K19</f>
        <v>141968.09</v>
      </c>
    </row>
    <row r="16" spans="1:11" s="85" customFormat="1" x14ac:dyDescent="0.15">
      <c r="A16" s="87" t="s">
        <v>127</v>
      </c>
      <c r="B16" s="86">
        <v>41729</v>
      </c>
      <c r="C16" s="86">
        <v>42094</v>
      </c>
      <c r="D16" s="86">
        <v>42460</v>
      </c>
      <c r="E16" s="86">
        <v>42825</v>
      </c>
      <c r="F16" s="86">
        <v>43190</v>
      </c>
      <c r="G16" s="86">
        <v>43555</v>
      </c>
      <c r="H16" s="86">
        <v>43921</v>
      </c>
      <c r="I16" s="86">
        <v>44286</v>
      </c>
      <c r="J16" s="86">
        <v>44651</v>
      </c>
      <c r="K16" s="86">
        <v>45016</v>
      </c>
    </row>
    <row r="17" spans="1:11" x14ac:dyDescent="0.15">
      <c r="A17" s="25" t="s">
        <v>149</v>
      </c>
      <c r="B17" s="84">
        <v>42555.02</v>
      </c>
      <c r="C17" s="84">
        <v>50666.49</v>
      </c>
      <c r="D17" s="84">
        <v>63161.56</v>
      </c>
      <c r="E17" s="84">
        <v>73271.350000000006</v>
      </c>
      <c r="F17" s="84">
        <v>85287.84</v>
      </c>
      <c r="G17" s="84">
        <v>105160.74</v>
      </c>
      <c r="H17" s="84">
        <v>122189.29</v>
      </c>
      <c r="I17" s="84">
        <v>128552.4</v>
      </c>
      <c r="J17" s="84">
        <v>135936.41</v>
      </c>
      <c r="K17" s="84">
        <v>170754.05</v>
      </c>
    </row>
    <row r="18" spans="1:11" ht="15" x14ac:dyDescent="0.2">
      <c r="A18" s="25" t="s">
        <v>159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</row>
    <row r="19" spans="1:11" ht="15" x14ac:dyDescent="0.2">
      <c r="A19" s="25" t="s">
        <v>158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</row>
    <row r="20" spans="1:11" x14ac:dyDescent="0.15">
      <c r="A20" s="25" t="s">
        <v>157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</row>
    <row r="21" spans="1:11" x14ac:dyDescent="0.15">
      <c r="A21" s="25" t="s">
        <v>156</v>
      </c>
      <c r="B21" s="84">
        <v>798.74</v>
      </c>
      <c r="C21" s="84">
        <v>860.21</v>
      </c>
      <c r="D21" s="84">
        <v>1041.79</v>
      </c>
      <c r="E21" s="84">
        <v>1271.8</v>
      </c>
      <c r="F21" s="84">
        <v>1314.97</v>
      </c>
      <c r="G21" s="84">
        <v>1283.53</v>
      </c>
      <c r="H21" s="84">
        <v>1293.44</v>
      </c>
      <c r="I21" s="84">
        <v>1649.11</v>
      </c>
      <c r="J21" s="84">
        <v>1772.27</v>
      </c>
      <c r="K21" s="84">
        <v>2176.5</v>
      </c>
    </row>
    <row r="22" spans="1:11" x14ac:dyDescent="0.15">
      <c r="A22" s="25" t="s">
        <v>155</v>
      </c>
      <c r="B22" s="84">
        <v>4495.3500000000004</v>
      </c>
      <c r="C22" s="84">
        <v>5163.7700000000004</v>
      </c>
      <c r="D22" s="84">
        <v>6309.03</v>
      </c>
      <c r="E22" s="84">
        <v>8508.2199999999993</v>
      </c>
      <c r="F22" s="84">
        <v>9197.15</v>
      </c>
      <c r="G22" s="84">
        <v>10454.75</v>
      </c>
      <c r="H22" s="84">
        <v>12924.1</v>
      </c>
      <c r="I22" s="84">
        <v>13682.35</v>
      </c>
      <c r="J22" s="84">
        <v>15904.81</v>
      </c>
      <c r="K22" s="84">
        <v>20031.36</v>
      </c>
    </row>
    <row r="23" spans="1:11" x14ac:dyDescent="0.15">
      <c r="A23" s="25" t="s">
        <v>154</v>
      </c>
      <c r="B23" s="84">
        <v>2219.66</v>
      </c>
      <c r="C23" s="84">
        <v>2602.4699999999998</v>
      </c>
      <c r="D23" s="84">
        <v>3043.15</v>
      </c>
      <c r="E23" s="84">
        <v>3328.39</v>
      </c>
      <c r="F23" s="84">
        <v>3658.43</v>
      </c>
      <c r="G23" s="84">
        <v>3900.17</v>
      </c>
      <c r="H23" s="84">
        <v>4192.1499999999996</v>
      </c>
      <c r="I23" s="84">
        <v>4780.54</v>
      </c>
      <c r="J23" s="84">
        <v>5406.79</v>
      </c>
      <c r="K23" s="84">
        <v>6578.1</v>
      </c>
    </row>
    <row r="24" spans="1:11" x14ac:dyDescent="0.15">
      <c r="A24" s="25" t="s">
        <v>153</v>
      </c>
      <c r="B24" s="84">
        <v>5993.98</v>
      </c>
      <c r="C24" s="84">
        <v>7537.36</v>
      </c>
      <c r="D24" s="84">
        <v>9660.65</v>
      </c>
      <c r="E24" s="84">
        <v>10747.28</v>
      </c>
      <c r="F24" s="84">
        <v>15361.71</v>
      </c>
      <c r="G24" s="84">
        <v>19217.82</v>
      </c>
      <c r="H24" s="84">
        <v>27049.52</v>
      </c>
      <c r="I24" s="84">
        <v>32344.53</v>
      </c>
      <c r="J24" s="84">
        <v>33473.089999999997</v>
      </c>
      <c r="K24" s="84">
        <v>34256.339999999997</v>
      </c>
    </row>
    <row r="25" spans="1:11" x14ac:dyDescent="0.15">
      <c r="A25" s="25" t="s">
        <v>147</v>
      </c>
      <c r="B25" s="84">
        <v>8297.5</v>
      </c>
      <c r="C25" s="84">
        <v>9545.68</v>
      </c>
      <c r="D25" s="84">
        <v>11211.65</v>
      </c>
      <c r="E25" s="84">
        <v>12905.08</v>
      </c>
      <c r="F25" s="84">
        <v>16056.6</v>
      </c>
      <c r="G25" s="84">
        <v>18947.05</v>
      </c>
      <c r="H25" s="84">
        <v>24878.97</v>
      </c>
      <c r="I25" s="84">
        <v>27332.880000000001</v>
      </c>
      <c r="J25" s="84">
        <v>31758.99</v>
      </c>
      <c r="K25" s="84">
        <v>33912.050000000003</v>
      </c>
    </row>
    <row r="26" spans="1:11" x14ac:dyDescent="0.15">
      <c r="A26" s="25" t="s">
        <v>146</v>
      </c>
      <c r="B26" s="84">
        <v>688.68</v>
      </c>
      <c r="C26" s="84">
        <v>680.45</v>
      </c>
      <c r="D26" s="84">
        <v>738.03</v>
      </c>
      <c r="E26" s="84">
        <v>886.19</v>
      </c>
      <c r="F26" s="84">
        <v>966.78</v>
      </c>
      <c r="G26" s="84">
        <v>1220.67</v>
      </c>
      <c r="H26" s="84">
        <v>1276.77</v>
      </c>
      <c r="I26" s="84">
        <v>1385.01</v>
      </c>
      <c r="J26" s="84">
        <v>1680.73</v>
      </c>
      <c r="K26" s="84">
        <v>2345.4699999999998</v>
      </c>
    </row>
    <row r="27" spans="1:11" ht="15" x14ac:dyDescent="0.2">
      <c r="A27" s="25" t="s">
        <v>145</v>
      </c>
      <c r="B27" s="84">
        <v>23445.45</v>
      </c>
      <c r="C27" s="84">
        <v>27288.46</v>
      </c>
      <c r="D27" s="84">
        <v>34069.57</v>
      </c>
      <c r="E27" s="84">
        <v>38041.58</v>
      </c>
      <c r="F27" s="84">
        <v>42381.48</v>
      </c>
      <c r="G27" s="84">
        <v>53712.69</v>
      </c>
      <c r="H27" s="84">
        <v>62137.42</v>
      </c>
      <c r="I27" s="84">
        <v>59247.59</v>
      </c>
      <c r="J27" s="89">
        <v>58584.33</v>
      </c>
      <c r="K27" s="89">
        <v>77779.94</v>
      </c>
    </row>
    <row r="28" spans="1:11" x14ac:dyDescent="0.15">
      <c r="A28" s="25" t="s">
        <v>144</v>
      </c>
      <c r="B28" s="84">
        <v>13210.66</v>
      </c>
      <c r="C28" s="84">
        <v>16079.45</v>
      </c>
      <c r="D28" s="84">
        <v>19510.990000000002</v>
      </c>
      <c r="E28" s="84">
        <v>23392.97</v>
      </c>
      <c r="F28" s="84">
        <v>28463.919999999998</v>
      </c>
      <c r="G28" s="84">
        <v>34318.160000000003</v>
      </c>
      <c r="H28" s="84">
        <v>38194.86</v>
      </c>
      <c r="I28" s="84">
        <v>42796.15</v>
      </c>
      <c r="J28" s="84">
        <v>50873.38</v>
      </c>
      <c r="K28" s="84">
        <v>61498.39</v>
      </c>
    </row>
    <row r="29" spans="1:11" x14ac:dyDescent="0.15">
      <c r="A29" s="25" t="s">
        <v>143</v>
      </c>
      <c r="B29" s="84">
        <v>4446.1499999999996</v>
      </c>
      <c r="C29" s="84">
        <v>5379.4</v>
      </c>
      <c r="D29" s="84">
        <v>6693.66</v>
      </c>
      <c r="E29" s="84">
        <v>8078.12</v>
      </c>
      <c r="F29" s="84">
        <v>9903.08</v>
      </c>
      <c r="G29" s="84">
        <v>11872.55</v>
      </c>
      <c r="H29" s="84">
        <v>10898.59</v>
      </c>
      <c r="I29" s="84">
        <v>10939.38</v>
      </c>
      <c r="J29" s="84">
        <v>12722.48</v>
      </c>
      <c r="K29" s="84">
        <v>15349.69</v>
      </c>
    </row>
    <row r="30" spans="1:11" x14ac:dyDescent="0.15">
      <c r="A30" s="25" t="s">
        <v>142</v>
      </c>
      <c r="B30" s="84">
        <v>8743.49</v>
      </c>
      <c r="C30" s="84">
        <v>10688.89</v>
      </c>
      <c r="D30" s="84">
        <v>12801.33</v>
      </c>
      <c r="E30" s="84">
        <v>15280.48</v>
      </c>
      <c r="F30" s="84">
        <v>18510.02</v>
      </c>
      <c r="G30" s="84">
        <v>22332.43</v>
      </c>
      <c r="H30" s="84">
        <v>27253.95</v>
      </c>
      <c r="I30" s="84">
        <v>31833.21</v>
      </c>
      <c r="J30" s="84">
        <v>38052.75</v>
      </c>
      <c r="K30" s="84">
        <v>45997.11</v>
      </c>
    </row>
    <row r="31" spans="1:11" x14ac:dyDescent="0.15">
      <c r="A31" s="25" t="s">
        <v>152</v>
      </c>
      <c r="B31" s="84">
        <v>1643.35</v>
      </c>
      <c r="C31" s="84">
        <v>2005.2</v>
      </c>
      <c r="D31" s="84">
        <v>2401.79</v>
      </c>
      <c r="E31" s="84">
        <v>2818.8</v>
      </c>
      <c r="F31" s="84">
        <v>3373.63</v>
      </c>
      <c r="G31" s="84">
        <v>4084.95</v>
      </c>
      <c r="H31" s="84">
        <v>1370.82</v>
      </c>
      <c r="I31" s="84">
        <v>3583.32</v>
      </c>
      <c r="J31" s="84">
        <v>8595.52</v>
      </c>
      <c r="K31" s="84">
        <v>10601.43</v>
      </c>
    </row>
    <row r="32" spans="1:11" x14ac:dyDescent="0.15">
      <c r="A32" s="25" t="s">
        <v>151</v>
      </c>
      <c r="B32" s="90">
        <f t="shared" ref="B32:K32" si="0">B29/B28</f>
        <v>0.33655774957496443</v>
      </c>
      <c r="C32" s="90">
        <f t="shared" si="0"/>
        <v>0.33455124397911618</v>
      </c>
      <c r="D32" s="90">
        <f t="shared" si="0"/>
        <v>0.343071263938939</v>
      </c>
      <c r="E32" s="90">
        <f t="shared" si="0"/>
        <v>0.34532254775686883</v>
      </c>
      <c r="F32" s="90">
        <f t="shared" si="0"/>
        <v>0.34791694186886418</v>
      </c>
      <c r="G32" s="90">
        <f t="shared" si="0"/>
        <v>0.34595531928285195</v>
      </c>
      <c r="H32" s="90">
        <f t="shared" si="0"/>
        <v>0.28534179729942721</v>
      </c>
      <c r="I32" s="90">
        <f t="shared" si="0"/>
        <v>0.25561598414810677</v>
      </c>
      <c r="J32" s="90">
        <f t="shared" si="0"/>
        <v>0.2500812802294638</v>
      </c>
      <c r="K32" s="90">
        <f t="shared" si="0"/>
        <v>0.24959498939728342</v>
      </c>
    </row>
    <row r="34" spans="1:11" x14ac:dyDescent="0.15">
      <c r="A34" s="25" t="s">
        <v>22</v>
      </c>
      <c r="B34" s="25">
        <f t="shared" ref="B34:K34" si="1">+B30+B29+B27+B26</f>
        <v>37323.769999999997</v>
      </c>
      <c r="C34" s="25">
        <f t="shared" si="1"/>
        <v>44037.2</v>
      </c>
      <c r="D34" s="25">
        <f t="shared" si="1"/>
        <v>54302.59</v>
      </c>
      <c r="E34" s="25">
        <f t="shared" si="1"/>
        <v>62286.37</v>
      </c>
      <c r="F34" s="25">
        <f t="shared" si="1"/>
        <v>71761.36</v>
      </c>
      <c r="G34" s="25">
        <f t="shared" si="1"/>
        <v>89138.34</v>
      </c>
      <c r="H34" s="25">
        <f t="shared" si="1"/>
        <v>101566.73</v>
      </c>
      <c r="I34" s="25">
        <f t="shared" si="1"/>
        <v>103405.18999999999</v>
      </c>
      <c r="J34" s="25">
        <f t="shared" si="1"/>
        <v>111040.29</v>
      </c>
      <c r="K34" s="25">
        <f t="shared" si="1"/>
        <v>141472.21</v>
      </c>
    </row>
    <row r="40" spans="1:11" x14ac:dyDescent="0.15">
      <c r="A40" s="83" t="s">
        <v>150</v>
      </c>
    </row>
    <row r="41" spans="1:11" s="85" customFormat="1" x14ac:dyDescent="0.15">
      <c r="A41" s="87" t="s">
        <v>127</v>
      </c>
      <c r="B41" s="86">
        <v>44469</v>
      </c>
      <c r="C41" s="86">
        <v>44561</v>
      </c>
      <c r="D41" s="86">
        <v>44651</v>
      </c>
      <c r="E41" s="86">
        <v>44742</v>
      </c>
      <c r="F41" s="86">
        <v>44834</v>
      </c>
      <c r="G41" s="86">
        <v>44926</v>
      </c>
      <c r="H41" s="86">
        <v>45016</v>
      </c>
      <c r="I41" s="86">
        <v>45107</v>
      </c>
      <c r="J41" s="86">
        <v>45199</v>
      </c>
      <c r="K41" s="86">
        <v>45291</v>
      </c>
    </row>
    <row r="42" spans="1:11" x14ac:dyDescent="0.15">
      <c r="A42" s="25" t="s">
        <v>149</v>
      </c>
      <c r="B42" s="84">
        <v>33520.44</v>
      </c>
      <c r="C42" s="84">
        <v>34588.019999999997</v>
      </c>
      <c r="D42" s="84">
        <v>35574.19</v>
      </c>
      <c r="E42" s="84">
        <v>37273.81</v>
      </c>
      <c r="F42" s="84">
        <v>40929.79</v>
      </c>
      <c r="G42" s="84">
        <v>45002.11</v>
      </c>
      <c r="H42" s="84">
        <v>47548.34</v>
      </c>
      <c r="I42" s="84">
        <v>51168.14</v>
      </c>
      <c r="J42" s="84">
        <v>75039.100000000006</v>
      </c>
      <c r="K42" s="84">
        <v>78008.17</v>
      </c>
    </row>
    <row r="43" spans="1:11" x14ac:dyDescent="0.15">
      <c r="A43" s="25" t="s">
        <v>148</v>
      </c>
      <c r="B43" s="84">
        <v>14697.58</v>
      </c>
      <c r="C43" s="84">
        <v>14422.81</v>
      </c>
      <c r="D43" s="84">
        <v>15044.07</v>
      </c>
      <c r="E43" s="84">
        <v>15020.76</v>
      </c>
      <c r="F43" s="84">
        <v>15914.91</v>
      </c>
      <c r="G43" s="84">
        <v>16681.98</v>
      </c>
      <c r="H43" s="84">
        <v>17770.12</v>
      </c>
      <c r="I43" s="84">
        <v>18469.810000000001</v>
      </c>
      <c r="J43" s="84">
        <v>45349.33</v>
      </c>
      <c r="K43" s="84">
        <v>50530.03</v>
      </c>
    </row>
    <row r="44" spans="1:11" x14ac:dyDescent="0.15">
      <c r="A44" s="25" t="s">
        <v>147</v>
      </c>
      <c r="B44" s="84">
        <v>7915.92</v>
      </c>
      <c r="C44" s="84">
        <v>8776.94</v>
      </c>
      <c r="D44" s="84">
        <v>8386.26</v>
      </c>
      <c r="E44" s="84">
        <v>6928.51</v>
      </c>
      <c r="F44" s="84">
        <v>8252.31</v>
      </c>
      <c r="G44" s="84">
        <v>9120.73</v>
      </c>
      <c r="H44" s="84">
        <v>9610.5</v>
      </c>
      <c r="I44" s="84">
        <v>9853.15</v>
      </c>
      <c r="J44" s="84">
        <v>32527.52</v>
      </c>
      <c r="K44" s="84">
        <v>37007.339999999997</v>
      </c>
    </row>
    <row r="45" spans="1:11" x14ac:dyDescent="0.15">
      <c r="A45" s="25" t="s">
        <v>146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</row>
    <row r="46" spans="1:11" ht="15" x14ac:dyDescent="0.2">
      <c r="A46" s="25" t="s">
        <v>145</v>
      </c>
      <c r="B46" s="89">
        <v>14415.28</v>
      </c>
      <c r="C46" s="89">
        <v>14724.02</v>
      </c>
      <c r="D46" s="89">
        <v>15226.53</v>
      </c>
      <c r="E46" s="89">
        <v>16358.26</v>
      </c>
      <c r="F46" s="89">
        <v>18310.79</v>
      </c>
      <c r="G46" s="89">
        <v>20504.86</v>
      </c>
      <c r="H46" s="89">
        <v>22606.03</v>
      </c>
      <c r="I46" s="89">
        <v>25954.76</v>
      </c>
      <c r="J46" s="89">
        <v>41249.910000000003</v>
      </c>
      <c r="K46" s="89">
        <v>43242.37</v>
      </c>
    </row>
    <row r="47" spans="1:11" x14ac:dyDescent="0.15">
      <c r="A47" s="25" t="s">
        <v>144</v>
      </c>
      <c r="B47" s="84">
        <v>12323.5</v>
      </c>
      <c r="C47" s="84">
        <v>14218.13</v>
      </c>
      <c r="D47" s="84">
        <v>13689.85</v>
      </c>
      <c r="E47" s="84">
        <v>12823.3</v>
      </c>
      <c r="F47" s="84">
        <v>14956.4</v>
      </c>
      <c r="G47" s="84">
        <v>16936</v>
      </c>
      <c r="H47" s="84">
        <v>16782.689999999999</v>
      </c>
      <c r="I47" s="84">
        <v>16596.72</v>
      </c>
      <c r="J47" s="84">
        <v>20967.38</v>
      </c>
      <c r="K47" s="84">
        <v>21243.11</v>
      </c>
    </row>
    <row r="48" spans="1:11" x14ac:dyDescent="0.15">
      <c r="A48" s="25" t="s">
        <v>143</v>
      </c>
      <c r="B48" s="84">
        <v>3203.53</v>
      </c>
      <c r="C48" s="84">
        <v>3602.36</v>
      </c>
      <c r="D48" s="84">
        <v>3214.96</v>
      </c>
      <c r="E48" s="84">
        <v>3206.63</v>
      </c>
      <c r="F48" s="84">
        <v>3793.81</v>
      </c>
      <c r="G48" s="84">
        <v>4200.57</v>
      </c>
      <c r="H48" s="84">
        <v>4148.68</v>
      </c>
      <c r="I48" s="84">
        <v>4193.47</v>
      </c>
      <c r="J48" s="84">
        <v>3655</v>
      </c>
      <c r="K48" s="84">
        <v>3525.11</v>
      </c>
    </row>
    <row r="49" spans="1:11" x14ac:dyDescent="0.15">
      <c r="A49" s="25" t="s">
        <v>142</v>
      </c>
      <c r="B49" s="84">
        <v>9096.19</v>
      </c>
      <c r="C49" s="84">
        <v>10591.46</v>
      </c>
      <c r="D49" s="84">
        <v>10443.01</v>
      </c>
      <c r="E49" s="84">
        <v>9579.11</v>
      </c>
      <c r="F49" s="84">
        <v>11125.21</v>
      </c>
      <c r="G49" s="84">
        <v>12698.32</v>
      </c>
      <c r="H49" s="84">
        <v>12594.47</v>
      </c>
      <c r="I49" s="84">
        <v>12370.38</v>
      </c>
      <c r="J49" s="84">
        <v>16811.41</v>
      </c>
      <c r="K49" s="84">
        <v>17257.87</v>
      </c>
    </row>
    <row r="50" spans="1:11" x14ac:dyDescent="0.15">
      <c r="A50" s="25" t="s">
        <v>141</v>
      </c>
      <c r="B50" s="84">
        <v>18822.86</v>
      </c>
      <c r="C50" s="84">
        <v>20165.21</v>
      </c>
      <c r="D50" s="84">
        <v>20530.12</v>
      </c>
      <c r="E50" s="84">
        <v>22253.05</v>
      </c>
      <c r="F50" s="84">
        <v>25014.880000000001</v>
      </c>
      <c r="G50" s="84">
        <v>28320.13</v>
      </c>
      <c r="H50" s="84">
        <v>29778.22</v>
      </c>
      <c r="I50" s="84">
        <v>32698.33</v>
      </c>
      <c r="J50" s="84">
        <v>29689.77</v>
      </c>
      <c r="K50" s="84">
        <v>27478.14</v>
      </c>
    </row>
    <row r="51" spans="1:11" x14ac:dyDescent="0.15">
      <c r="A51" s="25" t="s">
        <v>22</v>
      </c>
      <c r="B51" s="25">
        <f t="shared" ref="B51:K51" si="2">B49+B48+B46+B45</f>
        <v>26715</v>
      </c>
      <c r="C51" s="25">
        <f t="shared" si="2"/>
        <v>28917.84</v>
      </c>
      <c r="D51" s="25">
        <f t="shared" si="2"/>
        <v>28884.5</v>
      </c>
      <c r="E51" s="25">
        <f t="shared" si="2"/>
        <v>29144</v>
      </c>
      <c r="F51" s="25">
        <f t="shared" si="2"/>
        <v>33229.81</v>
      </c>
      <c r="G51" s="25">
        <f t="shared" si="2"/>
        <v>37403.75</v>
      </c>
      <c r="H51" s="25">
        <f t="shared" si="2"/>
        <v>39349.18</v>
      </c>
      <c r="I51" s="25">
        <f t="shared" si="2"/>
        <v>42518.61</v>
      </c>
      <c r="J51" s="25">
        <f t="shared" si="2"/>
        <v>61716.320000000007</v>
      </c>
      <c r="K51" s="25">
        <f t="shared" si="2"/>
        <v>64025.350000000006</v>
      </c>
    </row>
    <row r="55" spans="1:11" x14ac:dyDescent="0.15">
      <c r="A55" s="83" t="s">
        <v>140</v>
      </c>
    </row>
    <row r="56" spans="1:11" s="85" customFormat="1" x14ac:dyDescent="0.15">
      <c r="A56" s="87" t="s">
        <v>127</v>
      </c>
      <c r="B56" s="86">
        <v>41729</v>
      </c>
      <c r="C56" s="86">
        <v>42094</v>
      </c>
      <c r="D56" s="86">
        <v>42460</v>
      </c>
      <c r="E56" s="86">
        <v>42825</v>
      </c>
      <c r="F56" s="86">
        <v>43190</v>
      </c>
      <c r="G56" s="86">
        <v>43555</v>
      </c>
      <c r="H56" s="86">
        <v>43921</v>
      </c>
      <c r="I56" s="86">
        <v>44286</v>
      </c>
      <c r="J56" s="86">
        <v>44651</v>
      </c>
      <c r="K56" s="86">
        <v>45016</v>
      </c>
    </row>
    <row r="57" spans="1:11" x14ac:dyDescent="0.15">
      <c r="A57" s="25" t="s">
        <v>139</v>
      </c>
      <c r="B57" s="84">
        <v>479.81</v>
      </c>
      <c r="C57" s="84">
        <v>501.3</v>
      </c>
      <c r="D57" s="84">
        <v>505.64</v>
      </c>
      <c r="E57" s="84">
        <v>512.51</v>
      </c>
      <c r="F57" s="84">
        <v>519.02</v>
      </c>
      <c r="G57" s="84">
        <v>544.66</v>
      </c>
      <c r="H57" s="84">
        <v>548.33000000000004</v>
      </c>
      <c r="I57" s="84">
        <v>551.28</v>
      </c>
      <c r="J57" s="84">
        <v>554.54999999999995</v>
      </c>
      <c r="K57" s="84">
        <v>557.97</v>
      </c>
    </row>
    <row r="58" spans="1:11" x14ac:dyDescent="0.15">
      <c r="A58" s="25" t="s">
        <v>138</v>
      </c>
      <c r="B58" s="84">
        <v>43686.82</v>
      </c>
      <c r="C58" s="84">
        <v>62652.77</v>
      </c>
      <c r="D58" s="84">
        <v>73798.490000000005</v>
      </c>
      <c r="E58" s="84">
        <v>91281.44</v>
      </c>
      <c r="F58" s="84">
        <v>109080.11</v>
      </c>
      <c r="G58" s="84">
        <v>153128</v>
      </c>
      <c r="H58" s="84">
        <v>175810.38</v>
      </c>
      <c r="I58" s="84">
        <v>209258.9</v>
      </c>
      <c r="J58" s="84">
        <v>246771.62</v>
      </c>
      <c r="K58" s="84">
        <v>288879.53000000003</v>
      </c>
    </row>
    <row r="59" spans="1:11" ht="15" x14ac:dyDescent="0.2">
      <c r="A59" s="25" t="s">
        <v>137</v>
      </c>
      <c r="B59" s="89">
        <v>416677.05</v>
      </c>
      <c r="C59" s="89">
        <v>509761.9</v>
      </c>
      <c r="D59" s="89">
        <v>649587.25</v>
      </c>
      <c r="E59" s="89">
        <v>741549.89</v>
      </c>
      <c r="F59" s="89">
        <v>944817.22</v>
      </c>
      <c r="G59" s="89">
        <v>1080235.46</v>
      </c>
      <c r="H59" s="89">
        <v>1333041.45</v>
      </c>
      <c r="I59" s="89">
        <v>1511417.62</v>
      </c>
      <c r="J59" s="89">
        <v>1784969.53</v>
      </c>
      <c r="K59" s="89">
        <v>2139211.91</v>
      </c>
    </row>
    <row r="60" spans="1:11" x14ac:dyDescent="0.15">
      <c r="A60" s="25" t="s">
        <v>136</v>
      </c>
      <c r="B60" s="84">
        <v>42776.29</v>
      </c>
      <c r="C60" s="84">
        <v>34180.550000000003</v>
      </c>
      <c r="D60" s="84">
        <v>38320.949999999997</v>
      </c>
      <c r="E60" s="84">
        <v>59000.32</v>
      </c>
      <c r="F60" s="84">
        <v>48769.82</v>
      </c>
      <c r="G60" s="84">
        <v>58897.59</v>
      </c>
      <c r="H60" s="84">
        <v>71430.27</v>
      </c>
      <c r="I60" s="84">
        <v>78278.83</v>
      </c>
      <c r="J60" s="84">
        <v>90638.6</v>
      </c>
      <c r="K60" s="84">
        <v>101783.03</v>
      </c>
    </row>
    <row r="61" spans="1:11" s="83" customFormat="1" x14ac:dyDescent="0.15">
      <c r="A61" s="83" t="s">
        <v>134</v>
      </c>
      <c r="B61" s="84">
        <v>503619.97</v>
      </c>
      <c r="C61" s="84">
        <v>607096.52</v>
      </c>
      <c r="D61" s="84">
        <v>762212.33</v>
      </c>
      <c r="E61" s="84">
        <v>892344.16</v>
      </c>
      <c r="F61" s="84">
        <v>1103186.17</v>
      </c>
      <c r="G61" s="84">
        <v>1292805.71</v>
      </c>
      <c r="H61" s="84">
        <v>1580830.43</v>
      </c>
      <c r="I61" s="84">
        <v>1799506.63</v>
      </c>
      <c r="J61" s="84">
        <v>2122934.2999999998</v>
      </c>
      <c r="K61" s="84">
        <v>2530432.44</v>
      </c>
    </row>
    <row r="62" spans="1:11" x14ac:dyDescent="0.15">
      <c r="A62" s="25" t="s">
        <v>135</v>
      </c>
      <c r="B62" s="84">
        <v>3026.28</v>
      </c>
      <c r="C62" s="84">
        <v>3224.94</v>
      </c>
      <c r="D62" s="84">
        <v>3666.86</v>
      </c>
      <c r="E62" s="84">
        <v>3999.7</v>
      </c>
      <c r="F62" s="84">
        <v>4008.13</v>
      </c>
      <c r="G62" s="84">
        <v>4368.63</v>
      </c>
      <c r="H62" s="84">
        <v>4775.6499999999996</v>
      </c>
      <c r="I62" s="84">
        <v>5248.35</v>
      </c>
      <c r="J62" s="84">
        <v>6432.07</v>
      </c>
      <c r="K62" s="84">
        <v>8431.35</v>
      </c>
    </row>
    <row r="63" spans="1:11" x14ac:dyDescent="0.15">
      <c r="A63" s="25" t="s">
        <v>80</v>
      </c>
      <c r="B63" s="84"/>
      <c r="C63" s="84"/>
      <c r="D63" s="84"/>
      <c r="E63" s="84"/>
      <c r="F63" s="84"/>
      <c r="G63" s="84"/>
      <c r="H63" s="84"/>
      <c r="I63" s="84"/>
      <c r="J63" s="84"/>
      <c r="K63" s="84"/>
    </row>
    <row r="64" spans="1:11" ht="15" x14ac:dyDescent="0.2">
      <c r="A64" s="25" t="s">
        <v>81</v>
      </c>
      <c r="B64" s="84">
        <v>119571.06</v>
      </c>
      <c r="C64" s="89">
        <v>149454.42000000001</v>
      </c>
      <c r="D64" s="84">
        <v>193633.85</v>
      </c>
      <c r="E64" s="84">
        <v>210777.11</v>
      </c>
      <c r="F64" s="84">
        <v>238460.92</v>
      </c>
      <c r="G64" s="84">
        <v>289445.87</v>
      </c>
      <c r="H64" s="84">
        <v>389304.95</v>
      </c>
      <c r="I64" s="84">
        <v>438823.11</v>
      </c>
      <c r="J64" s="84">
        <v>449263.86</v>
      </c>
      <c r="K64" s="84">
        <v>511581.71</v>
      </c>
    </row>
    <row r="65" spans="1:11" x14ac:dyDescent="0.15">
      <c r="A65" s="25" t="s">
        <v>82</v>
      </c>
      <c r="B65" s="84">
        <v>381022.63</v>
      </c>
      <c r="C65" s="84">
        <v>454417.16</v>
      </c>
      <c r="D65" s="84">
        <v>564911.62</v>
      </c>
      <c r="E65" s="84">
        <v>677567.35</v>
      </c>
      <c r="F65" s="84">
        <v>860717.12</v>
      </c>
      <c r="G65" s="84">
        <v>998991.21</v>
      </c>
      <c r="H65" s="84">
        <v>1186749.83</v>
      </c>
      <c r="I65" s="84">
        <v>1355435.17</v>
      </c>
      <c r="J65" s="84">
        <v>1667238.37</v>
      </c>
      <c r="K65" s="84">
        <v>2010419.38</v>
      </c>
    </row>
    <row r="66" spans="1:11" s="83" customFormat="1" x14ac:dyDescent="0.15">
      <c r="A66" s="83" t="s">
        <v>134</v>
      </c>
      <c r="B66" s="84">
        <v>503619.97</v>
      </c>
      <c r="C66" s="84">
        <v>607096.52</v>
      </c>
      <c r="D66" s="84">
        <v>762212.33</v>
      </c>
      <c r="E66" s="84">
        <v>892344.16</v>
      </c>
      <c r="F66" s="84">
        <v>1103186.17</v>
      </c>
      <c r="G66" s="84">
        <v>1292805.71</v>
      </c>
      <c r="H66" s="84">
        <v>1580830.43</v>
      </c>
      <c r="I66" s="84">
        <v>1799506.63</v>
      </c>
      <c r="J66" s="84">
        <v>2122934.2999999998</v>
      </c>
      <c r="K66" s="84">
        <v>2530432.44</v>
      </c>
    </row>
    <row r="67" spans="1:11" x14ac:dyDescent="0.15">
      <c r="A67" s="25" t="s">
        <v>133</v>
      </c>
      <c r="B67" s="84"/>
      <c r="C67" s="84"/>
      <c r="D67" s="84"/>
      <c r="E67" s="84"/>
      <c r="F67" s="84"/>
      <c r="G67" s="84"/>
      <c r="H67" s="84"/>
      <c r="I67" s="84"/>
      <c r="J67" s="84"/>
      <c r="K67" s="84"/>
    </row>
    <row r="68" spans="1:11" ht="15" x14ac:dyDescent="0.2">
      <c r="A68" s="25" t="s">
        <v>32</v>
      </c>
      <c r="B68" s="89"/>
      <c r="C68" s="89"/>
      <c r="D68" s="89"/>
      <c r="E68" s="89"/>
      <c r="F68" s="89"/>
      <c r="G68" s="89"/>
      <c r="H68" s="89"/>
      <c r="I68" s="89"/>
      <c r="J68" s="89"/>
      <c r="K68" s="89"/>
    </row>
    <row r="69" spans="1:11" x14ac:dyDescent="0.15">
      <c r="A69" s="25" t="s">
        <v>132</v>
      </c>
      <c r="B69" s="84">
        <v>39913.43</v>
      </c>
      <c r="C69" s="84">
        <v>36526.42</v>
      </c>
      <c r="D69" s="84">
        <v>39068.879999999997</v>
      </c>
      <c r="E69" s="84">
        <v>49311.12</v>
      </c>
      <c r="F69" s="84">
        <v>123061.56</v>
      </c>
      <c r="G69" s="84">
        <v>81817.64</v>
      </c>
      <c r="H69" s="84">
        <v>87940.11</v>
      </c>
      <c r="I69" s="84">
        <v>121272.51</v>
      </c>
      <c r="J69" s="84">
        <v>155385.73000000001</v>
      </c>
      <c r="K69" s="84">
        <v>197147.81</v>
      </c>
    </row>
    <row r="70" spans="1:11" x14ac:dyDescent="0.15">
      <c r="A70" s="25" t="s">
        <v>131</v>
      </c>
      <c r="B70" s="84">
        <v>2399050435</v>
      </c>
      <c r="C70" s="84">
        <v>2506495317</v>
      </c>
      <c r="D70" s="84">
        <v>2528186517</v>
      </c>
      <c r="E70" s="84">
        <v>2562545717</v>
      </c>
      <c r="F70" s="84">
        <v>2595090267</v>
      </c>
      <c r="G70" s="84">
        <v>2723306610</v>
      </c>
      <c r="H70" s="84">
        <v>5483286460</v>
      </c>
      <c r="I70" s="84">
        <v>5512776482</v>
      </c>
      <c r="J70" s="84">
        <v>5545540976</v>
      </c>
      <c r="K70" s="84">
        <v>5579742786</v>
      </c>
    </row>
    <row r="71" spans="1:11" ht="14" x14ac:dyDescent="0.15">
      <c r="A71" s="25" t="s">
        <v>130</v>
      </c>
      <c r="B71" s="88"/>
      <c r="C71" s="88"/>
      <c r="G71" s="88"/>
      <c r="H71" s="88"/>
    </row>
    <row r="72" spans="1:11" x14ac:dyDescent="0.15">
      <c r="A72" s="25" t="s">
        <v>129</v>
      </c>
      <c r="B72" s="84">
        <v>2</v>
      </c>
      <c r="C72" s="84">
        <v>2</v>
      </c>
      <c r="D72" s="84">
        <v>2</v>
      </c>
      <c r="E72" s="84">
        <v>2</v>
      </c>
      <c r="F72" s="84">
        <v>2</v>
      </c>
      <c r="G72" s="84">
        <v>2</v>
      </c>
      <c r="H72" s="84">
        <v>1</v>
      </c>
      <c r="I72" s="84">
        <v>1</v>
      </c>
      <c r="J72" s="84">
        <v>1</v>
      </c>
      <c r="K72" s="84">
        <v>1</v>
      </c>
    </row>
    <row r="73" spans="1:11" x14ac:dyDescent="0.15">
      <c r="H73" s="25">
        <f>H62-G62+H45</f>
        <v>407.01999999999953</v>
      </c>
      <c r="I73" s="25">
        <f>I62-H62+I45</f>
        <v>472.70000000000073</v>
      </c>
      <c r="J73" s="25">
        <f>J62-I62+J45</f>
        <v>1183.7199999999993</v>
      </c>
      <c r="K73" s="25">
        <f>K62-J62+K45</f>
        <v>1999.2800000000007</v>
      </c>
    </row>
    <row r="80" spans="1:11" x14ac:dyDescent="0.15">
      <c r="A80" s="83" t="s">
        <v>128</v>
      </c>
    </row>
    <row r="81" spans="1:12" s="85" customFormat="1" x14ac:dyDescent="0.15">
      <c r="A81" s="87" t="s">
        <v>127</v>
      </c>
      <c r="B81" s="86">
        <v>41729</v>
      </c>
      <c r="C81" s="86">
        <v>42094</v>
      </c>
      <c r="D81" s="86">
        <v>42460</v>
      </c>
      <c r="E81" s="86">
        <v>42825</v>
      </c>
      <c r="F81" s="86">
        <v>43190</v>
      </c>
      <c r="G81" s="86">
        <v>43555</v>
      </c>
      <c r="H81" s="86">
        <v>43921</v>
      </c>
      <c r="I81" s="86">
        <v>44286</v>
      </c>
      <c r="J81" s="86">
        <v>44651</v>
      </c>
      <c r="K81" s="86">
        <v>45016</v>
      </c>
      <c r="L81" s="86"/>
    </row>
    <row r="82" spans="1:12" s="83" customFormat="1" x14ac:dyDescent="0.15">
      <c r="A82" s="25" t="s">
        <v>126</v>
      </c>
      <c r="B82" s="84">
        <v>4210.63</v>
      </c>
      <c r="C82" s="84">
        <v>-21280.98</v>
      </c>
      <c r="D82" s="84">
        <v>-34435.370000000003</v>
      </c>
      <c r="E82" s="84">
        <v>17281.59</v>
      </c>
      <c r="F82" s="84">
        <v>17214.38</v>
      </c>
      <c r="G82" s="84">
        <v>-62871.54</v>
      </c>
      <c r="H82" s="84">
        <v>-16869.09</v>
      </c>
      <c r="I82" s="84">
        <v>42476.45</v>
      </c>
      <c r="J82" s="84">
        <v>-11959.57</v>
      </c>
      <c r="K82" s="84">
        <v>20813.7</v>
      </c>
    </row>
    <row r="83" spans="1:12" x14ac:dyDescent="0.15">
      <c r="A83" s="25" t="s">
        <v>125</v>
      </c>
      <c r="B83" s="84">
        <v>-1098.52</v>
      </c>
      <c r="C83" s="84">
        <v>-799.9</v>
      </c>
      <c r="D83" s="84">
        <v>-837.31</v>
      </c>
      <c r="E83" s="84">
        <v>-1146.3800000000001</v>
      </c>
      <c r="F83" s="84">
        <v>-841.6</v>
      </c>
      <c r="G83" s="84">
        <v>-1503.06</v>
      </c>
      <c r="H83" s="84">
        <v>-1402.94</v>
      </c>
      <c r="I83" s="84">
        <v>-1822.7</v>
      </c>
      <c r="J83" s="84">
        <v>-2051.23</v>
      </c>
      <c r="K83" s="84">
        <v>-2992.18</v>
      </c>
    </row>
    <row r="84" spans="1:12" x14ac:dyDescent="0.15">
      <c r="A84" s="25" t="s">
        <v>124</v>
      </c>
      <c r="B84" s="84">
        <v>9270.15</v>
      </c>
      <c r="C84" s="84">
        <v>18693.87</v>
      </c>
      <c r="D84" s="84">
        <v>37815.129999999997</v>
      </c>
      <c r="E84" s="84">
        <v>-5892.97</v>
      </c>
      <c r="F84" s="84">
        <v>57377.66</v>
      </c>
      <c r="G84" s="84">
        <v>23130.69</v>
      </c>
      <c r="H84" s="84">
        <v>24394.5</v>
      </c>
      <c r="I84" s="84">
        <v>-7321.35</v>
      </c>
      <c r="J84" s="84">
        <v>48124.02</v>
      </c>
      <c r="K84" s="84">
        <v>23940.560000000001</v>
      </c>
    </row>
    <row r="85" spans="1:12" s="83" customFormat="1" x14ac:dyDescent="0.15">
      <c r="A85" s="25" t="s">
        <v>58</v>
      </c>
      <c r="B85" s="84">
        <v>12382.26</v>
      </c>
      <c r="C85" s="84">
        <v>-3387.01</v>
      </c>
      <c r="D85" s="84">
        <v>2542.46</v>
      </c>
      <c r="E85" s="84">
        <v>10242.24</v>
      </c>
      <c r="F85" s="84">
        <v>73750.44</v>
      </c>
      <c r="G85" s="84">
        <v>-41243.910000000003</v>
      </c>
      <c r="H85" s="84">
        <v>6122.47</v>
      </c>
      <c r="I85" s="84">
        <v>33332.400000000001</v>
      </c>
      <c r="J85" s="84">
        <v>34113.22</v>
      </c>
      <c r="K85" s="84">
        <v>41762.080000000002</v>
      </c>
    </row>
    <row r="90" spans="1:12" s="83" customFormat="1" x14ac:dyDescent="0.15">
      <c r="A90" s="83" t="s">
        <v>123</v>
      </c>
      <c r="B90" s="84">
        <v>374.4</v>
      </c>
      <c r="C90" s="84">
        <v>511.35</v>
      </c>
      <c r="D90" s="84">
        <v>535.58000000000004</v>
      </c>
      <c r="E90" s="84">
        <v>721.28</v>
      </c>
      <c r="F90" s="84">
        <v>943.05</v>
      </c>
      <c r="G90" s="84">
        <v>1159.45</v>
      </c>
      <c r="H90" s="84">
        <v>861.9</v>
      </c>
      <c r="I90" s="84">
        <v>1493.65</v>
      </c>
      <c r="J90" s="84">
        <v>1470.35</v>
      </c>
      <c r="K90" s="84">
        <v>1609.55</v>
      </c>
    </row>
    <row r="92" spans="1:12" s="83" customFormat="1" x14ac:dyDescent="0.15">
      <c r="A92" s="83" t="s">
        <v>122</v>
      </c>
    </row>
    <row r="93" spans="1:12" x14ac:dyDescent="0.15">
      <c r="A93" s="25" t="s">
        <v>121</v>
      </c>
      <c r="B93" s="82">
        <v>479.81</v>
      </c>
      <c r="C93" s="82">
        <v>501.3</v>
      </c>
      <c r="D93" s="82">
        <v>505.64</v>
      </c>
      <c r="E93" s="82">
        <v>512.51</v>
      </c>
      <c r="F93" s="82">
        <v>519.02</v>
      </c>
      <c r="G93" s="82">
        <v>544.66</v>
      </c>
      <c r="H93" s="82">
        <v>548.33000000000004</v>
      </c>
      <c r="I93" s="82">
        <v>551.28</v>
      </c>
      <c r="J93" s="82">
        <v>554.54999999999995</v>
      </c>
      <c r="K93" s="82">
        <v>557.97</v>
      </c>
    </row>
    <row r="99" spans="1:13" ht="14" x14ac:dyDescent="0.15">
      <c r="A99" s="98"/>
      <c r="B99" s="98">
        <v>40969</v>
      </c>
      <c r="C99" s="98">
        <v>41334</v>
      </c>
      <c r="D99" s="98">
        <v>41699</v>
      </c>
      <c r="E99" s="98">
        <v>42064</v>
      </c>
      <c r="F99" s="98">
        <v>42430</v>
      </c>
      <c r="G99" s="98">
        <v>42795</v>
      </c>
      <c r="H99" s="98">
        <v>43160</v>
      </c>
      <c r="I99" s="98">
        <v>43525</v>
      </c>
      <c r="J99" s="98">
        <v>43891</v>
      </c>
      <c r="K99" s="98">
        <v>44256</v>
      </c>
      <c r="L99" s="98">
        <v>44621</v>
      </c>
      <c r="M99" s="98">
        <v>44986</v>
      </c>
    </row>
    <row r="100" spans="1:13" ht="14" x14ac:dyDescent="0.15">
      <c r="A100" s="93" t="s">
        <v>171</v>
      </c>
      <c r="B100" s="94">
        <v>-19381</v>
      </c>
      <c r="C100" s="94">
        <v>-5847</v>
      </c>
      <c r="D100" s="94">
        <v>4211</v>
      </c>
      <c r="E100" s="94">
        <v>-21281</v>
      </c>
      <c r="F100" s="94">
        <v>-34435</v>
      </c>
      <c r="G100" s="94">
        <v>17282</v>
      </c>
      <c r="H100" s="94">
        <v>17214</v>
      </c>
      <c r="I100" s="94">
        <v>-62872</v>
      </c>
      <c r="J100" s="94">
        <v>-16869</v>
      </c>
      <c r="K100" s="94">
        <v>42476</v>
      </c>
      <c r="L100" s="94">
        <v>-11960</v>
      </c>
      <c r="M100" s="94">
        <v>20814</v>
      </c>
    </row>
    <row r="101" spans="1:13" ht="14" x14ac:dyDescent="0.15">
      <c r="A101" s="93" t="s">
        <v>172</v>
      </c>
      <c r="B101" s="94">
        <v>10343</v>
      </c>
      <c r="C101" s="94">
        <v>12480</v>
      </c>
      <c r="D101" s="94">
        <v>15791</v>
      </c>
      <c r="E101" s="94">
        <v>19196</v>
      </c>
      <c r="F101" s="94">
        <v>23481</v>
      </c>
      <c r="G101" s="94">
        <v>28573</v>
      </c>
      <c r="H101" s="94">
        <v>36737</v>
      </c>
      <c r="I101" s="94">
        <v>44497</v>
      </c>
      <c r="J101" s="94">
        <v>54764</v>
      </c>
      <c r="K101" s="94">
        <v>65619</v>
      </c>
      <c r="L101" s="94">
        <v>70781</v>
      </c>
      <c r="M101" s="94">
        <v>79722</v>
      </c>
    </row>
    <row r="102" spans="1:13" ht="14" x14ac:dyDescent="0.15">
      <c r="A102" s="95" t="s">
        <v>173</v>
      </c>
      <c r="B102" s="92">
        <v>-39194</v>
      </c>
      <c r="C102" s="92">
        <v>-49718</v>
      </c>
      <c r="D102" s="92">
        <v>-70042</v>
      </c>
      <c r="E102" s="92">
        <v>-70356</v>
      </c>
      <c r="F102" s="92">
        <v>-106601</v>
      </c>
      <c r="G102" s="92">
        <v>-101890</v>
      </c>
      <c r="H102" s="92">
        <v>-120305</v>
      </c>
      <c r="I102" s="92">
        <v>-176608</v>
      </c>
      <c r="J102" s="92">
        <v>-185500</v>
      </c>
      <c r="K102" s="92">
        <v>-155681</v>
      </c>
      <c r="L102" s="92">
        <v>-248946</v>
      </c>
      <c r="M102" s="92">
        <v>-254569</v>
      </c>
    </row>
    <row r="103" spans="1:13" ht="14" x14ac:dyDescent="0.15">
      <c r="A103" s="95" t="s">
        <v>174</v>
      </c>
      <c r="B103" s="92">
        <v>-26777</v>
      </c>
      <c r="C103" s="92">
        <v>-14240</v>
      </c>
      <c r="D103" s="92">
        <v>-8677</v>
      </c>
      <c r="E103" s="92">
        <v>-45020</v>
      </c>
      <c r="F103" s="92">
        <v>-39116</v>
      </c>
      <c r="G103" s="92">
        <v>-17326</v>
      </c>
      <c r="H103" s="92">
        <v>-28231</v>
      </c>
      <c r="I103" s="92">
        <v>-51458</v>
      </c>
      <c r="J103" s="92">
        <v>-101070</v>
      </c>
      <c r="K103" s="92">
        <v>-50157</v>
      </c>
      <c r="L103" s="92">
        <v>-10849</v>
      </c>
      <c r="M103" s="92">
        <v>-64182</v>
      </c>
    </row>
    <row r="104" spans="1:13" ht="14" x14ac:dyDescent="0.15">
      <c r="A104" s="95" t="s">
        <v>175</v>
      </c>
      <c r="B104" s="92">
        <v>38252</v>
      </c>
      <c r="C104" s="92">
        <v>49552</v>
      </c>
      <c r="D104" s="92">
        <v>70989</v>
      </c>
      <c r="E104" s="92">
        <v>83203</v>
      </c>
      <c r="F104" s="92">
        <v>95590</v>
      </c>
      <c r="G104" s="92">
        <v>97261</v>
      </c>
      <c r="H104" s="92">
        <v>145241</v>
      </c>
      <c r="I104" s="92">
        <v>134128</v>
      </c>
      <c r="J104" s="92">
        <v>223704</v>
      </c>
      <c r="K104" s="92">
        <v>187514</v>
      </c>
      <c r="L104" s="92">
        <v>224282</v>
      </c>
      <c r="M104" s="92">
        <v>324660</v>
      </c>
    </row>
    <row r="105" spans="1:13" ht="14" x14ac:dyDescent="0.15">
      <c r="A105" s="95" t="s">
        <v>176</v>
      </c>
      <c r="B105" s="96">
        <v>815</v>
      </c>
      <c r="C105" s="96">
        <v>-87</v>
      </c>
      <c r="D105" s="96">
        <v>358</v>
      </c>
      <c r="E105" s="92">
        <v>-2656</v>
      </c>
      <c r="F105" s="96">
        <v>-716</v>
      </c>
      <c r="G105" s="92">
        <v>18348</v>
      </c>
      <c r="H105" s="92">
        <v>-6218</v>
      </c>
      <c r="I105" s="96">
        <v>-932</v>
      </c>
      <c r="J105" s="92">
        <v>2110</v>
      </c>
      <c r="K105" s="92">
        <v>8203</v>
      </c>
      <c r="L105" s="92">
        <v>-32389</v>
      </c>
      <c r="M105" s="92">
        <v>-48450</v>
      </c>
    </row>
    <row r="106" spans="1:13" ht="14" x14ac:dyDescent="0.15">
      <c r="A106" s="93" t="s">
        <v>177</v>
      </c>
      <c r="B106" s="94">
        <v>-26904</v>
      </c>
      <c r="C106" s="94">
        <v>-14493</v>
      </c>
      <c r="D106" s="94">
        <v>-7372</v>
      </c>
      <c r="E106" s="94">
        <v>-34829</v>
      </c>
      <c r="F106" s="94">
        <v>-50844</v>
      </c>
      <c r="G106" s="94">
        <v>-3607</v>
      </c>
      <c r="H106" s="94">
        <v>-9513</v>
      </c>
      <c r="I106" s="94">
        <v>-94870</v>
      </c>
      <c r="J106" s="94">
        <v>-60756</v>
      </c>
      <c r="K106" s="94">
        <v>-10121</v>
      </c>
      <c r="L106" s="94">
        <v>-67902</v>
      </c>
      <c r="M106" s="94">
        <v>-42541</v>
      </c>
    </row>
    <row r="107" spans="1:13" ht="14" x14ac:dyDescent="0.15">
      <c r="A107" s="95" t="s">
        <v>178</v>
      </c>
      <c r="B107" s="92">
        <v>-2820</v>
      </c>
      <c r="C107" s="92">
        <v>-3834</v>
      </c>
      <c r="D107" s="92">
        <v>-4209</v>
      </c>
      <c r="E107" s="92">
        <v>-5647</v>
      </c>
      <c r="F107" s="92">
        <v>-7073</v>
      </c>
      <c r="G107" s="92">
        <v>-7685</v>
      </c>
      <c r="H107" s="92">
        <v>-10010</v>
      </c>
      <c r="I107" s="92">
        <v>-12498</v>
      </c>
      <c r="J107" s="92">
        <v>-10877</v>
      </c>
      <c r="K107" s="92">
        <v>-13021</v>
      </c>
      <c r="L107" s="92">
        <v>-14838</v>
      </c>
      <c r="M107" s="92">
        <v>-16367</v>
      </c>
    </row>
    <row r="108" spans="1:13" ht="14" x14ac:dyDescent="0.15">
      <c r="A108" s="93" t="s">
        <v>179</v>
      </c>
      <c r="B108" s="99">
        <v>-662</v>
      </c>
      <c r="C108" s="99">
        <v>-902</v>
      </c>
      <c r="D108" s="94">
        <v>-1099</v>
      </c>
      <c r="E108" s="99">
        <v>-800</v>
      </c>
      <c r="F108" s="99">
        <v>-837</v>
      </c>
      <c r="G108" s="94">
        <v>-1146</v>
      </c>
      <c r="H108" s="99">
        <v>-842</v>
      </c>
      <c r="I108" s="94">
        <v>-1503</v>
      </c>
      <c r="J108" s="94">
        <v>-1403</v>
      </c>
      <c r="K108" s="94">
        <v>-1823</v>
      </c>
      <c r="L108" s="94">
        <v>-2051</v>
      </c>
      <c r="M108" s="94">
        <v>-2992</v>
      </c>
    </row>
    <row r="109" spans="1:13" ht="14" x14ac:dyDescent="0.15">
      <c r="A109" s="95" t="s">
        <v>180</v>
      </c>
      <c r="B109" s="96">
        <v>-689</v>
      </c>
      <c r="C109" s="96">
        <v>-911</v>
      </c>
      <c r="D109" s="96">
        <v>-853</v>
      </c>
      <c r="E109" s="96">
        <v>-772</v>
      </c>
      <c r="F109" s="96">
        <v>-877</v>
      </c>
      <c r="G109" s="92">
        <v>-1158</v>
      </c>
      <c r="H109" s="96">
        <v>-848</v>
      </c>
      <c r="I109" s="92">
        <v>-1621</v>
      </c>
      <c r="J109" s="92">
        <v>-1636</v>
      </c>
      <c r="K109" s="92">
        <v>-1696</v>
      </c>
      <c r="L109" s="92">
        <v>-2236</v>
      </c>
      <c r="M109" s="92">
        <v>-3467</v>
      </c>
    </row>
    <row r="110" spans="1:13" ht="14" x14ac:dyDescent="0.15">
      <c r="A110" s="95" t="s">
        <v>181</v>
      </c>
      <c r="B110" s="96">
        <v>5</v>
      </c>
      <c r="C110" s="96">
        <v>5</v>
      </c>
      <c r="D110" s="96">
        <v>13</v>
      </c>
      <c r="E110" s="96">
        <v>33</v>
      </c>
      <c r="F110" s="96">
        <v>12</v>
      </c>
      <c r="G110" s="96">
        <v>10</v>
      </c>
      <c r="H110" s="96">
        <v>10</v>
      </c>
      <c r="I110" s="96">
        <v>22</v>
      </c>
      <c r="J110" s="96">
        <v>19</v>
      </c>
      <c r="K110" s="96">
        <v>15</v>
      </c>
      <c r="L110" s="96">
        <v>20</v>
      </c>
      <c r="M110" s="96">
        <v>43</v>
      </c>
    </row>
    <row r="111" spans="1:13" ht="14" x14ac:dyDescent="0.15">
      <c r="A111" s="95" t="s">
        <v>182</v>
      </c>
      <c r="B111" s="96">
        <v>-3</v>
      </c>
      <c r="C111" s="96">
        <v>0</v>
      </c>
      <c r="D111" s="96">
        <v>-227</v>
      </c>
      <c r="E111" s="96">
        <v>-72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</row>
    <row r="112" spans="1:13" ht="14" x14ac:dyDescent="0.15">
      <c r="A112" s="95" t="s">
        <v>183</v>
      </c>
      <c r="B112" s="96">
        <v>0</v>
      </c>
      <c r="C112" s="96">
        <v>0</v>
      </c>
      <c r="D112" s="96">
        <v>0</v>
      </c>
      <c r="E112" s="96">
        <v>0</v>
      </c>
      <c r="F112" s="96">
        <v>0</v>
      </c>
      <c r="G112" s="96">
        <v>0</v>
      </c>
      <c r="H112" s="96">
        <v>-14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</row>
    <row r="113" spans="1:13" ht="14" x14ac:dyDescent="0.15">
      <c r="A113" s="95" t="s">
        <v>184</v>
      </c>
      <c r="B113" s="96">
        <v>25</v>
      </c>
      <c r="C113" s="96">
        <v>4</v>
      </c>
      <c r="D113" s="96">
        <v>-32</v>
      </c>
      <c r="E113" s="96">
        <v>11</v>
      </c>
      <c r="F113" s="96">
        <v>28</v>
      </c>
      <c r="G113" s="96">
        <v>1</v>
      </c>
      <c r="H113" s="96">
        <v>11</v>
      </c>
      <c r="I113" s="96">
        <v>95</v>
      </c>
      <c r="J113" s="96">
        <v>214</v>
      </c>
      <c r="K113" s="96">
        <v>-142</v>
      </c>
      <c r="L113" s="96">
        <v>165</v>
      </c>
      <c r="M113" s="96">
        <v>432</v>
      </c>
    </row>
    <row r="114" spans="1:13" ht="14" x14ac:dyDescent="0.15">
      <c r="A114" s="93" t="s">
        <v>185</v>
      </c>
      <c r="B114" s="94">
        <v>11380</v>
      </c>
      <c r="C114" s="94">
        <v>13105</v>
      </c>
      <c r="D114" s="94">
        <v>9270</v>
      </c>
      <c r="E114" s="94">
        <v>18694</v>
      </c>
      <c r="F114" s="94">
        <v>37815</v>
      </c>
      <c r="G114" s="94">
        <v>-5893</v>
      </c>
      <c r="H114" s="94">
        <v>57378</v>
      </c>
      <c r="I114" s="94">
        <v>23131</v>
      </c>
      <c r="J114" s="94">
        <v>24394</v>
      </c>
      <c r="K114" s="94">
        <v>-7321</v>
      </c>
      <c r="L114" s="94">
        <v>48124</v>
      </c>
      <c r="M114" s="94">
        <v>23941</v>
      </c>
    </row>
    <row r="115" spans="1:13" ht="14" x14ac:dyDescent="0.15">
      <c r="A115" s="95" t="s">
        <v>107</v>
      </c>
      <c r="B115" s="96">
        <v>0</v>
      </c>
      <c r="C115" s="96">
        <v>0</v>
      </c>
      <c r="D115" s="96">
        <v>0</v>
      </c>
      <c r="E115" s="92">
        <v>10718</v>
      </c>
      <c r="F115" s="92">
        <v>1223</v>
      </c>
      <c r="G115" s="92">
        <v>2262</v>
      </c>
      <c r="H115" s="92">
        <v>13006</v>
      </c>
      <c r="I115" s="92">
        <v>26690</v>
      </c>
      <c r="J115" s="92">
        <v>1849</v>
      </c>
      <c r="K115" s="92">
        <v>1760</v>
      </c>
      <c r="L115" s="92">
        <v>2610</v>
      </c>
      <c r="M115" s="92">
        <v>3416</v>
      </c>
    </row>
    <row r="116" spans="1:13" ht="14" x14ac:dyDescent="0.15">
      <c r="A116" s="95" t="s">
        <v>186</v>
      </c>
      <c r="B116" s="96">
        <v>0</v>
      </c>
      <c r="C116" s="96">
        <v>0</v>
      </c>
      <c r="D116" s="96">
        <v>0</v>
      </c>
      <c r="E116" s="96">
        <v>0</v>
      </c>
      <c r="F116" s="96">
        <v>0</v>
      </c>
      <c r="G116" s="96">
        <v>0</v>
      </c>
      <c r="H116" s="96">
        <v>0</v>
      </c>
      <c r="I116" s="96">
        <v>0</v>
      </c>
      <c r="J116" s="96">
        <v>744</v>
      </c>
      <c r="K116" s="96">
        <v>356</v>
      </c>
      <c r="L116" s="92">
        <v>8313</v>
      </c>
      <c r="M116" s="92">
        <v>23000</v>
      </c>
    </row>
    <row r="117" spans="1:13" ht="14" x14ac:dyDescent="0.15">
      <c r="A117" s="95" t="s">
        <v>187</v>
      </c>
      <c r="B117" s="96">
        <v>0</v>
      </c>
      <c r="C117" s="96">
        <v>0</v>
      </c>
      <c r="D117" s="96">
        <v>0</v>
      </c>
      <c r="E117" s="96">
        <v>0</v>
      </c>
      <c r="F117" s="96">
        <v>0</v>
      </c>
      <c r="G117" s="96">
        <v>0</v>
      </c>
      <c r="H117" s="96">
        <v>0</v>
      </c>
      <c r="I117" s="92">
        <v>-2875</v>
      </c>
      <c r="J117" s="96">
        <v>0</v>
      </c>
      <c r="K117" s="92">
        <v>-1105</v>
      </c>
      <c r="L117" s="92">
        <v>-3650</v>
      </c>
      <c r="M117" s="92">
        <v>-12077</v>
      </c>
    </row>
    <row r="118" spans="1:13" ht="14" x14ac:dyDescent="0.15">
      <c r="A118" s="95" t="s">
        <v>108</v>
      </c>
      <c r="B118" s="96">
        <v>0</v>
      </c>
      <c r="C118" s="96">
        <v>0</v>
      </c>
      <c r="D118" s="96">
        <v>0</v>
      </c>
      <c r="E118" s="96">
        <v>0</v>
      </c>
      <c r="F118" s="96">
        <v>0</v>
      </c>
      <c r="G118" s="96">
        <v>0</v>
      </c>
      <c r="H118" s="96">
        <v>0</v>
      </c>
      <c r="I118" s="92">
        <v>3266</v>
      </c>
      <c r="J118" s="92">
        <v>28358</v>
      </c>
      <c r="K118" s="96">
        <v>0</v>
      </c>
      <c r="L118" s="92">
        <v>44308</v>
      </c>
      <c r="M118" s="92">
        <v>18007</v>
      </c>
    </row>
    <row r="119" spans="1:13" ht="14" x14ac:dyDescent="0.15">
      <c r="A119" s="95" t="s">
        <v>109</v>
      </c>
      <c r="B119" s="96">
        <v>0</v>
      </c>
      <c r="C119" s="96">
        <v>0</v>
      </c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2">
        <v>-8389</v>
      </c>
      <c r="L119" s="96">
        <v>0</v>
      </c>
      <c r="M119" s="96">
        <v>0</v>
      </c>
    </row>
    <row r="120" spans="1:13" ht="14" x14ac:dyDescent="0.15">
      <c r="A120" s="95" t="s">
        <v>110</v>
      </c>
      <c r="B120" s="96">
        <v>-772</v>
      </c>
      <c r="C120" s="92">
        <v>-1014</v>
      </c>
      <c r="D120" s="92">
        <v>-1314</v>
      </c>
      <c r="E120" s="92">
        <v>-1649</v>
      </c>
      <c r="F120" s="92">
        <v>-2009</v>
      </c>
      <c r="G120" s="92">
        <v>-2408</v>
      </c>
      <c r="H120" s="92">
        <v>-2831</v>
      </c>
      <c r="I120" s="92">
        <v>-4096</v>
      </c>
      <c r="J120" s="92">
        <v>-6631</v>
      </c>
      <c r="K120" s="96">
        <v>0</v>
      </c>
      <c r="L120" s="92">
        <v>-3592</v>
      </c>
      <c r="M120" s="92">
        <v>-8605</v>
      </c>
    </row>
    <row r="121" spans="1:13" ht="14" x14ac:dyDescent="0.15">
      <c r="A121" s="95" t="s">
        <v>113</v>
      </c>
      <c r="B121" s="92">
        <v>12152</v>
      </c>
      <c r="C121" s="92">
        <v>14119</v>
      </c>
      <c r="D121" s="92">
        <v>10584</v>
      </c>
      <c r="E121" s="92">
        <v>9625</v>
      </c>
      <c r="F121" s="92">
        <v>38601</v>
      </c>
      <c r="G121" s="92">
        <v>-5746</v>
      </c>
      <c r="H121" s="92">
        <v>47203</v>
      </c>
      <c r="I121" s="96">
        <v>145</v>
      </c>
      <c r="J121" s="96">
        <v>75</v>
      </c>
      <c r="K121" s="96">
        <v>56</v>
      </c>
      <c r="L121" s="96">
        <v>136</v>
      </c>
      <c r="M121" s="96">
        <v>199</v>
      </c>
    </row>
    <row r="122" spans="1:13" ht="14" x14ac:dyDescent="0.15">
      <c r="A122" s="93" t="s">
        <v>58</v>
      </c>
      <c r="B122" s="94">
        <v>-8663</v>
      </c>
      <c r="C122" s="94">
        <v>6356</v>
      </c>
      <c r="D122" s="94">
        <v>12382</v>
      </c>
      <c r="E122" s="94">
        <v>-3387</v>
      </c>
      <c r="F122" s="94">
        <v>2542</v>
      </c>
      <c r="G122" s="94">
        <v>10242</v>
      </c>
      <c r="H122" s="94">
        <v>73750</v>
      </c>
      <c r="I122" s="94">
        <v>-41244</v>
      </c>
      <c r="J122" s="94">
        <v>6122</v>
      </c>
      <c r="K122" s="94">
        <v>33332</v>
      </c>
      <c r="L122" s="94">
        <v>34113</v>
      </c>
      <c r="M122" s="94">
        <v>41762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BCC48102-4B6E-4B0D-8DF9-A9093B5904A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 Company &amp; Analysis</vt:lpstr>
      <vt:lpstr>income statement </vt:lpstr>
      <vt:lpstr>balances sheet</vt:lpstr>
      <vt:lpstr>Cash Flow Statement </vt:lpstr>
      <vt:lpstr>Debt Sch</vt:lpstr>
      <vt:lpstr>PP&amp;E Sch</vt:lpstr>
      <vt:lpstr>Data Sheet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Deekshitha R</cp:lastModifiedBy>
  <dcterms:created xsi:type="dcterms:W3CDTF">2022-07-24T06:36:42Z</dcterms:created>
  <dcterms:modified xsi:type="dcterms:W3CDTF">2024-03-31T05:49:01Z</dcterms:modified>
</cp:coreProperties>
</file>