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kshithar/Downloads/internship/Archive/"/>
    </mc:Choice>
  </mc:AlternateContent>
  <xr:revisionPtr revIDLastSave="0" documentId="13_ncr:1_{7A940349-09CB-BA4D-AADF-FC50D7E6F2AA}" xr6:coauthVersionLast="47" xr6:coauthVersionMax="47" xr10:uidLastSave="{00000000-0000-0000-0000-000000000000}"/>
  <bookViews>
    <workbookView xWindow="0" yWindow="500" windowWidth="28800" windowHeight="15800" tabRatio="772" xr2:uid="{00C35B03-1FB5-47AD-AE0B-C640CDAE8AFD}"/>
  </bookViews>
  <sheets>
    <sheet name="About Company &amp; Analysis" sheetId="1" r:id="rId1"/>
    <sheet name="income statement " sheetId="2" r:id="rId2"/>
    <sheet name="balances sheet" sheetId="3" r:id="rId3"/>
    <sheet name="Cash Flow Statement " sheetId="6" r:id="rId4"/>
    <sheet name="Debt Sch" sheetId="7" r:id="rId5"/>
    <sheet name="PP&amp;E Sch" sheetId="8" r:id="rId6"/>
    <sheet name="Data Sheet" sheetId="9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6" l="1"/>
  <c r="C29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19" i="6"/>
  <c r="C19" i="6"/>
  <c r="O126" i="9"/>
  <c r="D17" i="6" s="1"/>
  <c r="N126" i="9"/>
  <c r="C17" i="6" s="1"/>
  <c r="C11" i="6"/>
  <c r="D11" i="6"/>
  <c r="C12" i="6"/>
  <c r="D12" i="6"/>
  <c r="C13" i="6"/>
  <c r="D13" i="6"/>
  <c r="S84" i="9"/>
  <c r="R84" i="9"/>
  <c r="D42" i="3"/>
  <c r="C42" i="3"/>
  <c r="D40" i="3"/>
  <c r="C40" i="3"/>
  <c r="D16" i="3"/>
  <c r="C16" i="3"/>
  <c r="D15" i="3"/>
  <c r="C15" i="3"/>
  <c r="D14" i="3"/>
  <c r="C14" i="3"/>
  <c r="C9" i="3"/>
  <c r="D9" i="3"/>
  <c r="D8" i="3"/>
  <c r="C8" i="3"/>
  <c r="D7" i="3"/>
  <c r="C7" i="3"/>
  <c r="C14" i="2"/>
  <c r="D32" i="2"/>
  <c r="C32" i="2"/>
  <c r="D24" i="2"/>
  <c r="C24" i="2"/>
  <c r="D20" i="2"/>
  <c r="C20" i="2"/>
  <c r="D19" i="2"/>
  <c r="C19" i="2"/>
  <c r="D14" i="2"/>
  <c r="D8" i="2"/>
  <c r="C8" i="2"/>
  <c r="D5" i="2"/>
  <c r="C5" i="2"/>
  <c r="E1" i="9"/>
  <c r="B6" i="9"/>
  <c r="K15" i="9"/>
  <c r="B32" i="9"/>
  <c r="C32" i="9"/>
  <c r="D32" i="9"/>
  <c r="E32" i="9"/>
  <c r="F32" i="9"/>
  <c r="G32" i="9"/>
  <c r="H32" i="9"/>
  <c r="I32" i="9"/>
  <c r="J32" i="9"/>
  <c r="K32" i="9"/>
  <c r="B34" i="9"/>
  <c r="B15" i="9" s="1"/>
  <c r="C34" i="9"/>
  <c r="D34" i="9"/>
  <c r="E34" i="9"/>
  <c r="F34" i="9"/>
  <c r="G34" i="9"/>
  <c r="H34" i="9"/>
  <c r="I34" i="9"/>
  <c r="J34" i="9"/>
  <c r="K34" i="9"/>
  <c r="B51" i="9"/>
  <c r="C51" i="9"/>
  <c r="D51" i="9"/>
  <c r="E51" i="9"/>
  <c r="F51" i="9"/>
  <c r="G51" i="9"/>
  <c r="H51" i="9"/>
  <c r="I51" i="9"/>
  <c r="J51" i="9"/>
  <c r="K51" i="9"/>
  <c r="H73" i="9"/>
  <c r="I73" i="9"/>
  <c r="J73" i="9"/>
  <c r="K73" i="9"/>
  <c r="E33" i="3" l="1"/>
  <c r="F33" i="3" s="1"/>
  <c r="E15" i="3"/>
  <c r="F15" i="3" s="1"/>
  <c r="C27" i="3"/>
  <c r="I29" i="6"/>
  <c r="H29" i="6"/>
  <c r="G29" i="6"/>
  <c r="F29" i="6"/>
  <c r="E29" i="6"/>
  <c r="E27" i="6"/>
  <c r="F27" i="6" s="1"/>
  <c r="G27" i="6" s="1"/>
  <c r="H27" i="6" s="1"/>
  <c r="I27" i="6" s="1"/>
  <c r="E26" i="6"/>
  <c r="F26" i="6" s="1"/>
  <c r="G26" i="6" s="1"/>
  <c r="H26" i="6" s="1"/>
  <c r="I26" i="6" s="1"/>
  <c r="E25" i="6"/>
  <c r="F25" i="6" s="1"/>
  <c r="G25" i="6" s="1"/>
  <c r="H25" i="6" s="1"/>
  <c r="I25" i="6" s="1"/>
  <c r="E24" i="6"/>
  <c r="F24" i="6" s="1"/>
  <c r="G24" i="6" s="1"/>
  <c r="H24" i="6" s="1"/>
  <c r="I24" i="6" s="1"/>
  <c r="E23" i="6"/>
  <c r="F23" i="6" s="1"/>
  <c r="G23" i="6" s="1"/>
  <c r="H23" i="6" s="1"/>
  <c r="I23" i="6" s="1"/>
  <c r="I22" i="6"/>
  <c r="H22" i="6"/>
  <c r="G22" i="6"/>
  <c r="F22" i="6"/>
  <c r="E22" i="6"/>
  <c r="D5" i="8"/>
  <c r="C8" i="8"/>
  <c r="B8" i="8"/>
  <c r="C9" i="8"/>
  <c r="B9" i="8"/>
  <c r="C3" i="8"/>
  <c r="D3" i="8" s="1"/>
  <c r="E3" i="8" s="1"/>
  <c r="F3" i="8" s="1"/>
  <c r="G3" i="8" s="1"/>
  <c r="H3" i="8" s="1"/>
  <c r="C6" i="8"/>
  <c r="D6" i="8" s="1"/>
  <c r="B6" i="8"/>
  <c r="E20" i="2"/>
  <c r="F20" i="2" s="1"/>
  <c r="G20" i="2" s="1"/>
  <c r="D9" i="8" l="1"/>
  <c r="E6" i="8"/>
  <c r="E17" i="6"/>
  <c r="E9" i="8"/>
  <c r="F9" i="8" s="1"/>
  <c r="G33" i="3"/>
  <c r="G15" i="3"/>
  <c r="H20" i="2"/>
  <c r="I20" i="2" s="1"/>
  <c r="D6" i="7"/>
  <c r="D33" i="6"/>
  <c r="C5" i="7"/>
  <c r="D5" i="7" s="1"/>
  <c r="E5" i="7" s="1"/>
  <c r="F5" i="7" s="1"/>
  <c r="G5" i="7" s="1"/>
  <c r="H5" i="7" s="1"/>
  <c r="E33" i="6"/>
  <c r="I30" i="6"/>
  <c r="H8" i="7" s="1"/>
  <c r="H30" i="6"/>
  <c r="G8" i="7" s="1"/>
  <c r="G30" i="6"/>
  <c r="F8" i="7" s="1"/>
  <c r="F30" i="6"/>
  <c r="E8" i="7" s="1"/>
  <c r="E30" i="6"/>
  <c r="D8" i="7" s="1"/>
  <c r="D30" i="6"/>
  <c r="C30" i="6"/>
  <c r="D18" i="6"/>
  <c r="C18" i="6"/>
  <c r="I9" i="6"/>
  <c r="H9" i="6"/>
  <c r="G9" i="6"/>
  <c r="F9" i="6"/>
  <c r="E9" i="6"/>
  <c r="D9" i="6"/>
  <c r="C9" i="6"/>
  <c r="D8" i="6"/>
  <c r="C8" i="6"/>
  <c r="D4" i="6"/>
  <c r="E4" i="6" s="1"/>
  <c r="F4" i="6" s="1"/>
  <c r="G4" i="6" s="1"/>
  <c r="H4" i="6" s="1"/>
  <c r="I4" i="6" s="1"/>
  <c r="D57" i="3"/>
  <c r="C57" i="3"/>
  <c r="D56" i="3"/>
  <c r="C56" i="3"/>
  <c r="D55" i="3"/>
  <c r="C55" i="3"/>
  <c r="E16" i="3"/>
  <c r="F16" i="3" s="1"/>
  <c r="G16" i="3" s="1"/>
  <c r="H16" i="3" s="1"/>
  <c r="I16" i="3" s="1"/>
  <c r="D52" i="3"/>
  <c r="C53" i="3"/>
  <c r="D53" i="3"/>
  <c r="C54" i="3"/>
  <c r="D54" i="3"/>
  <c r="C52" i="3"/>
  <c r="D4" i="3"/>
  <c r="E4" i="3" s="1"/>
  <c r="F4" i="3" s="1"/>
  <c r="G4" i="3" s="1"/>
  <c r="H4" i="3" s="1"/>
  <c r="I4" i="3" s="1"/>
  <c r="C29" i="3"/>
  <c r="F6" i="8" l="1"/>
  <c r="F17" i="6"/>
  <c r="E55" i="3"/>
  <c r="F55" i="3" s="1"/>
  <c r="G55" i="3" s="1"/>
  <c r="G9" i="8"/>
  <c r="H9" i="8" s="1"/>
  <c r="H33" i="3"/>
  <c r="I33" i="3" s="1"/>
  <c r="H15" i="3"/>
  <c r="I15" i="3" s="1"/>
  <c r="E54" i="3"/>
  <c r="E52" i="3"/>
  <c r="F52" i="3" s="1"/>
  <c r="G52" i="3" s="1"/>
  <c r="E56" i="3"/>
  <c r="F56" i="3" s="1"/>
  <c r="E57" i="3"/>
  <c r="F57" i="3" s="1"/>
  <c r="E53" i="3"/>
  <c r="E18" i="6"/>
  <c r="E19" i="6" s="1"/>
  <c r="G6" i="8" l="1"/>
  <c r="G17" i="6"/>
  <c r="F54" i="3"/>
  <c r="G54" i="3" s="1"/>
  <c r="G56" i="3"/>
  <c r="H56" i="3" s="1"/>
  <c r="F53" i="3"/>
  <c r="G57" i="3"/>
  <c r="F18" i="6"/>
  <c r="F19" i="6" s="1"/>
  <c r="H55" i="3"/>
  <c r="H52" i="3"/>
  <c r="H6" i="8" l="1"/>
  <c r="I17" i="6" s="1"/>
  <c r="H17" i="6"/>
  <c r="H54" i="3"/>
  <c r="I54" i="3" s="1"/>
  <c r="I56" i="3"/>
  <c r="G53" i="3"/>
  <c r="H53" i="3" s="1"/>
  <c r="H57" i="3"/>
  <c r="I55" i="3"/>
  <c r="G18" i="6"/>
  <c r="I52" i="3"/>
  <c r="H18" i="6" l="1"/>
  <c r="G19" i="6"/>
  <c r="I53" i="3"/>
  <c r="I57" i="3"/>
  <c r="I18" i="6" l="1"/>
  <c r="I19" i="6" s="1"/>
  <c r="H19" i="6"/>
  <c r="E5" i="2"/>
  <c r="D4" i="2"/>
  <c r="E4" i="2" s="1"/>
  <c r="F4" i="2" s="1"/>
  <c r="G4" i="2" s="1"/>
  <c r="H4" i="2" s="1"/>
  <c r="I4" i="2" s="1"/>
  <c r="D15" i="2"/>
  <c r="C15" i="2"/>
  <c r="E15" i="2" s="1"/>
  <c r="F15" i="2" s="1"/>
  <c r="C11" i="2"/>
  <c r="C12" i="2" s="1"/>
  <c r="D11" i="2"/>
  <c r="D17" i="2" s="1"/>
  <c r="D22" i="2" s="1"/>
  <c r="D27" i="2" s="1"/>
  <c r="D6" i="6" s="1"/>
  <c r="D14" i="6" s="1"/>
  <c r="D32" i="6" s="1"/>
  <c r="D9" i="2"/>
  <c r="C9" i="2"/>
  <c r="D6" i="2"/>
  <c r="E9" i="2" l="1"/>
  <c r="F9" i="2" s="1"/>
  <c r="F5" i="2"/>
  <c r="D8" i="8"/>
  <c r="E8" i="3"/>
  <c r="G15" i="2"/>
  <c r="H15" i="2" s="1"/>
  <c r="E24" i="2"/>
  <c r="F24" i="2" s="1"/>
  <c r="E14" i="2"/>
  <c r="D12" i="2"/>
  <c r="C17" i="2"/>
  <c r="C22" i="2" s="1"/>
  <c r="C27" i="2" s="1"/>
  <c r="C6" i="6" s="1"/>
  <c r="C14" i="6" s="1"/>
  <c r="C32" i="6" s="1"/>
  <c r="E8" i="2" l="1"/>
  <c r="E11" i="2" s="1"/>
  <c r="E17" i="2" s="1"/>
  <c r="G9" i="2"/>
  <c r="H9" i="2" s="1"/>
  <c r="I9" i="2" s="1"/>
  <c r="E8" i="8"/>
  <c r="F8" i="3"/>
  <c r="F11" i="6" s="1"/>
  <c r="F8" i="2"/>
  <c r="F9" i="3" s="1"/>
  <c r="G5" i="2"/>
  <c r="G14" i="2" s="1"/>
  <c r="E32" i="2"/>
  <c r="D11" i="8"/>
  <c r="E8" i="6"/>
  <c r="F14" i="2"/>
  <c r="F28" i="3" s="1"/>
  <c r="E11" i="6"/>
  <c r="E24" i="3"/>
  <c r="E34" i="3"/>
  <c r="E28" i="3"/>
  <c r="F11" i="2"/>
  <c r="F25" i="3"/>
  <c r="E25" i="3"/>
  <c r="E13" i="6" s="1"/>
  <c r="E9" i="3"/>
  <c r="E12" i="6" s="1"/>
  <c r="G24" i="2"/>
  <c r="H24" i="2" s="1"/>
  <c r="I24" i="2" s="1"/>
  <c r="I15" i="2"/>
  <c r="F17" i="2" l="1"/>
  <c r="E12" i="2"/>
  <c r="G8" i="2"/>
  <c r="G25" i="3" s="1"/>
  <c r="G13" i="6" s="1"/>
  <c r="F12" i="2"/>
  <c r="E14" i="3"/>
  <c r="E5" i="8"/>
  <c r="E11" i="8" s="1"/>
  <c r="F8" i="8"/>
  <c r="G8" i="3"/>
  <c r="G11" i="6" s="1"/>
  <c r="H5" i="2"/>
  <c r="I5" i="2" s="1"/>
  <c r="F34" i="3"/>
  <c r="F24" i="3"/>
  <c r="F32" i="2"/>
  <c r="F8" i="6"/>
  <c r="F12" i="6"/>
  <c r="F13" i="6"/>
  <c r="G11" i="2"/>
  <c r="G12" i="2" s="1"/>
  <c r="G9" i="3"/>
  <c r="G24" i="3"/>
  <c r="G28" i="3"/>
  <c r="G34" i="3"/>
  <c r="E31" i="2"/>
  <c r="E34" i="2"/>
  <c r="F34" i="2"/>
  <c r="F31" i="2"/>
  <c r="C43" i="3"/>
  <c r="D43" i="3"/>
  <c r="D11" i="3"/>
  <c r="C11" i="3"/>
  <c r="C34" i="2"/>
  <c r="D34" i="2"/>
  <c r="C17" i="3" l="1"/>
  <c r="D17" i="3"/>
  <c r="D18" i="3" s="1"/>
  <c r="D20" i="3" s="1"/>
  <c r="G17" i="2"/>
  <c r="G31" i="2" s="1"/>
  <c r="H8" i="8"/>
  <c r="I8" i="3"/>
  <c r="F5" i="8"/>
  <c r="F11" i="8" s="1"/>
  <c r="F14" i="3"/>
  <c r="G8" i="8"/>
  <c r="H8" i="3"/>
  <c r="G8" i="6"/>
  <c r="G32" i="2"/>
  <c r="H8" i="2"/>
  <c r="H9" i="3" s="1"/>
  <c r="H12" i="6" s="1"/>
  <c r="H14" i="2"/>
  <c r="H34" i="3" s="1"/>
  <c r="G12" i="6"/>
  <c r="H11" i="2"/>
  <c r="H12" i="2" s="1"/>
  <c r="I14" i="2"/>
  <c r="I8" i="2"/>
  <c r="I11" i="2" s="1"/>
  <c r="D31" i="2"/>
  <c r="C31" i="2"/>
  <c r="H25" i="3" l="1"/>
  <c r="H13" i="6" s="1"/>
  <c r="I11" i="6"/>
  <c r="E17" i="3"/>
  <c r="C18" i="3"/>
  <c r="C20" i="3" s="1"/>
  <c r="H28" i="3"/>
  <c r="G34" i="2"/>
  <c r="H24" i="3"/>
  <c r="H17" i="2"/>
  <c r="H31" i="2" s="1"/>
  <c r="I8" i="6"/>
  <c r="I32" i="2"/>
  <c r="H8" i="6"/>
  <c r="H32" i="2"/>
  <c r="G14" i="3"/>
  <c r="G5" i="8"/>
  <c r="G11" i="8" s="1"/>
  <c r="H11" i="6"/>
  <c r="I25" i="3"/>
  <c r="I9" i="3"/>
  <c r="I12" i="6" s="1"/>
  <c r="I24" i="3"/>
  <c r="I28" i="3"/>
  <c r="I34" i="3"/>
  <c r="I12" i="2"/>
  <c r="I17" i="2"/>
  <c r="I13" i="6" l="1"/>
  <c r="F17" i="3"/>
  <c r="E18" i="3"/>
  <c r="H34" i="2"/>
  <c r="H5" i="8"/>
  <c r="H11" i="8" s="1"/>
  <c r="I14" i="3" s="1"/>
  <c r="H14" i="3"/>
  <c r="I31" i="2"/>
  <c r="I34" i="2"/>
  <c r="D29" i="3"/>
  <c r="B15" i="7"/>
  <c r="C16" i="7" s="1"/>
  <c r="C35" i="3"/>
  <c r="C37" i="3" s="1"/>
  <c r="C46" i="3" s="1"/>
  <c r="C48" i="3" s="1"/>
  <c r="D35" i="3"/>
  <c r="C15" i="7"/>
  <c r="G17" i="3" l="1"/>
  <c r="H17" i="3" s="1"/>
  <c r="H18" i="3" s="1"/>
  <c r="F18" i="3"/>
  <c r="D37" i="3"/>
  <c r="D46" i="3" s="1"/>
  <c r="D15" i="7"/>
  <c r="E32" i="3" s="1"/>
  <c r="D16" i="7"/>
  <c r="E27" i="3" s="1"/>
  <c r="E29" i="3" s="1"/>
  <c r="I17" i="3" l="1"/>
  <c r="I18" i="3" s="1"/>
  <c r="G18" i="3"/>
  <c r="D48" i="3"/>
  <c r="E15" i="7"/>
  <c r="E35" i="3"/>
  <c r="E37" i="3" s="1"/>
  <c r="E16" i="7"/>
  <c r="F27" i="3" s="1"/>
  <c r="F29" i="3" s="1"/>
  <c r="D22" i="7"/>
  <c r="D23" i="7" s="1"/>
  <c r="E19" i="2" s="1"/>
  <c r="E22" i="2" s="1"/>
  <c r="E27" i="2" s="1"/>
  <c r="E22" i="7" l="1"/>
  <c r="E23" i="7" s="1"/>
  <c r="F19" i="2" s="1"/>
  <c r="F22" i="2" s="1"/>
  <c r="F27" i="2" s="1"/>
  <c r="F6" i="6" s="1"/>
  <c r="F14" i="6" s="1"/>
  <c r="F32" i="6" s="1"/>
  <c r="F32" i="3"/>
  <c r="F35" i="3" s="1"/>
  <c r="F37" i="3" s="1"/>
  <c r="E6" i="6"/>
  <c r="E14" i="6" s="1"/>
  <c r="E42" i="3"/>
  <c r="F15" i="7"/>
  <c r="G32" i="3" s="1"/>
  <c r="G35" i="3" s="1"/>
  <c r="F16" i="7"/>
  <c r="G27" i="3" s="1"/>
  <c r="G29" i="3" s="1"/>
  <c r="E7" i="7" l="1"/>
  <c r="G37" i="3"/>
  <c r="F22" i="7"/>
  <c r="F23" i="7" s="1"/>
  <c r="G19" i="2" s="1"/>
  <c r="G22" i="2" s="1"/>
  <c r="G27" i="2" s="1"/>
  <c r="G6" i="6" s="1"/>
  <c r="G14" i="6" s="1"/>
  <c r="F7" i="7" s="1"/>
  <c r="G15" i="7"/>
  <c r="H32" i="3" s="1"/>
  <c r="H35" i="3" s="1"/>
  <c r="G16" i="7"/>
  <c r="H27" i="3" s="1"/>
  <c r="H29" i="3" s="1"/>
  <c r="E43" i="3"/>
  <c r="E46" i="3" s="1"/>
  <c r="F42" i="3"/>
  <c r="E32" i="6"/>
  <c r="E34" i="6" s="1"/>
  <c r="D7" i="7"/>
  <c r="D10" i="7" s="1"/>
  <c r="E6" i="7" s="1"/>
  <c r="G22" i="7" l="1"/>
  <c r="G23" i="7" s="1"/>
  <c r="H19" i="2" s="1"/>
  <c r="H22" i="2" s="1"/>
  <c r="H27" i="2" s="1"/>
  <c r="H6" i="6" s="1"/>
  <c r="H14" i="6" s="1"/>
  <c r="H32" i="6" s="1"/>
  <c r="E10" i="7"/>
  <c r="F6" i="7" s="1"/>
  <c r="F10" i="7" s="1"/>
  <c r="G6" i="7" s="1"/>
  <c r="H37" i="3"/>
  <c r="G32" i="6"/>
  <c r="F43" i="3"/>
  <c r="F46" i="3" s="1"/>
  <c r="G42" i="3"/>
  <c r="F33" i="6"/>
  <c r="F34" i="6" s="1"/>
  <c r="E7" i="3"/>
  <c r="E11" i="3" s="1"/>
  <c r="E20" i="3" s="1"/>
  <c r="E48" i="3" s="1"/>
  <c r="G7" i="7"/>
  <c r="H15" i="7"/>
  <c r="H16" i="7"/>
  <c r="I27" i="3" s="1"/>
  <c r="I29" i="3" s="1"/>
  <c r="H22" i="7" l="1"/>
  <c r="H23" i="7" s="1"/>
  <c r="I19" i="2" s="1"/>
  <c r="I22" i="2" s="1"/>
  <c r="I27" i="2" s="1"/>
  <c r="I6" i="6" s="1"/>
  <c r="I14" i="6" s="1"/>
  <c r="I32" i="6" s="1"/>
  <c r="I32" i="3"/>
  <c r="I35" i="3" s="1"/>
  <c r="I37" i="3" s="1"/>
  <c r="F7" i="3"/>
  <c r="F11" i="3" s="1"/>
  <c r="F20" i="3" s="1"/>
  <c r="F48" i="3" s="1"/>
  <c r="G33" i="6"/>
  <c r="G34" i="6" s="1"/>
  <c r="H42" i="3"/>
  <c r="G43" i="3"/>
  <c r="G46" i="3" s="1"/>
  <c r="G10" i="7"/>
  <c r="H6" i="7" s="1"/>
  <c r="H7" i="7" l="1"/>
  <c r="H10" i="7" s="1"/>
  <c r="H43" i="3"/>
  <c r="H46" i="3" s="1"/>
  <c r="I42" i="3"/>
  <c r="I43" i="3" s="1"/>
  <c r="I46" i="3" s="1"/>
  <c r="G7" i="3"/>
  <c r="G11" i="3" s="1"/>
  <c r="G20" i="3" s="1"/>
  <c r="G48" i="3" s="1"/>
  <c r="H33" i="6"/>
  <c r="H34" i="6" s="1"/>
  <c r="I33" i="6" l="1"/>
  <c r="I34" i="6" s="1"/>
  <c r="I7" i="3" s="1"/>
  <c r="I11" i="3" s="1"/>
  <c r="I20" i="3" s="1"/>
  <c r="I48" i="3" s="1"/>
  <c r="H7" i="3"/>
  <c r="H11" i="3" s="1"/>
  <c r="H20" i="3" s="1"/>
  <c r="H48" i="3" s="1"/>
</calcChain>
</file>

<file path=xl/sharedStrings.xml><?xml version="1.0" encoding="utf-8"?>
<sst xmlns="http://schemas.openxmlformats.org/spreadsheetml/2006/main" count="295" uniqueCount="220">
  <si>
    <t xml:space="preserve">Company Name </t>
  </si>
  <si>
    <t xml:space="preserve">History </t>
  </si>
  <si>
    <t>Charts</t>
  </si>
  <si>
    <t>Sales Growth (Revenue)</t>
  </si>
  <si>
    <t>Profit Growth(GP)</t>
  </si>
  <si>
    <t>Cash flow Growth (Current Assets)</t>
  </si>
  <si>
    <t>Assets Division (Total Assets)</t>
  </si>
  <si>
    <t xml:space="preserve">COGS </t>
  </si>
  <si>
    <t>Operating Expenses</t>
  </si>
  <si>
    <t>Operating Income</t>
  </si>
  <si>
    <t>INCOME STATEMENT</t>
  </si>
  <si>
    <t>Revenue</t>
  </si>
  <si>
    <t>Growth (%)</t>
  </si>
  <si>
    <t>NA</t>
  </si>
  <si>
    <t>% of Sales</t>
  </si>
  <si>
    <t>Operating Income (EBIT)</t>
  </si>
  <si>
    <t>Interest Expense</t>
  </si>
  <si>
    <t>Income Tax Expense</t>
  </si>
  <si>
    <t>Tax Rate</t>
  </si>
  <si>
    <t>Net Income</t>
  </si>
  <si>
    <t xml:space="preserve">Depreciation </t>
  </si>
  <si>
    <t>Amortization</t>
  </si>
  <si>
    <t>EBITDA</t>
  </si>
  <si>
    <t>Gross Profit (Revenue-COGS)</t>
  </si>
  <si>
    <t>Less :Cost of Goods Sold (COGS)</t>
  </si>
  <si>
    <t>Less :Operating Expenses (SG&amp;A)</t>
  </si>
  <si>
    <t>Pretax Income(EBT)</t>
  </si>
  <si>
    <t>Less: Interest Expense</t>
  </si>
  <si>
    <t>Net Income (EAT)</t>
  </si>
  <si>
    <t>Caliculation of EBITDA- Earnings Before Interest, Tax, Depreciation, Amortization</t>
  </si>
  <si>
    <t>ASSETS</t>
  </si>
  <si>
    <t>Current Assets</t>
  </si>
  <si>
    <t>Inventory</t>
  </si>
  <si>
    <t>Current Liabilities</t>
  </si>
  <si>
    <t>Accounts Payable</t>
  </si>
  <si>
    <t>Line of Credit</t>
  </si>
  <si>
    <t>Current Maturities of Long Term Debt</t>
  </si>
  <si>
    <t>Long Term Debt, Net of Current Maturities</t>
  </si>
  <si>
    <t>EQUITY</t>
  </si>
  <si>
    <t>Common Stock</t>
  </si>
  <si>
    <t>TOTAL EQUITY</t>
  </si>
  <si>
    <t>TOTAL LIABILITIES &amp; EQUITY</t>
  </si>
  <si>
    <t>Add:Accounts Receivable</t>
  </si>
  <si>
    <t>Add:Inventory</t>
  </si>
  <si>
    <t>Add:Prepaid Expenses</t>
  </si>
  <si>
    <t>Total Current Assets (TCA)</t>
  </si>
  <si>
    <t xml:space="preserve"> Cash</t>
  </si>
  <si>
    <t>Total Current Liabilities (TCL)</t>
  </si>
  <si>
    <t>Add: Retained Earnings</t>
  </si>
  <si>
    <t>Add:Additional Paid In Capital</t>
  </si>
  <si>
    <t>Historical</t>
  </si>
  <si>
    <t>Projected</t>
  </si>
  <si>
    <t>BALANCE SHEET ASSUMPTIONS</t>
  </si>
  <si>
    <t>CASH FLOW FROM OPERATING ACTIVITIES</t>
  </si>
  <si>
    <t>Add Back Non-Cash Items</t>
  </si>
  <si>
    <t>Changes in Working Capital</t>
  </si>
  <si>
    <t>CASH FLOW FROM INVESTING ACTIVITIES</t>
  </si>
  <si>
    <t>CASH FLOW FROM FINANCING ACTIVITIES</t>
  </si>
  <si>
    <t>Net Cash Flow</t>
  </si>
  <si>
    <t>Cash Balance @ Beg of Year (End of Last Year)</t>
  </si>
  <si>
    <t>Plus: Free Cash Flow from Operations and Investing</t>
  </si>
  <si>
    <t>Plus: Free Cash Flow from Financing (BEFORE L.O.C.)</t>
  </si>
  <si>
    <t>Less: Minimum Cash Balance</t>
  </si>
  <si>
    <t>Total Cash Available or (Required) from L.O.C.</t>
  </si>
  <si>
    <t>Debt</t>
  </si>
  <si>
    <t>Current Portion of Long Term Debt</t>
  </si>
  <si>
    <t>Interest Rate on Long Term Debt</t>
  </si>
  <si>
    <t>Interest Rate on Line of Credit</t>
  </si>
  <si>
    <t>Interest Expense on Long Term Debt</t>
  </si>
  <si>
    <t>Interest Expense on Line of Credit</t>
  </si>
  <si>
    <t>Total Interest Expense</t>
  </si>
  <si>
    <t>PP&amp;E SCHEDULE</t>
  </si>
  <si>
    <t>Beg: PP&amp;E, Net of Accum. Depreciation</t>
  </si>
  <si>
    <t>Plus: Capital Expenditures</t>
  </si>
  <si>
    <t>Less: Depreciation</t>
  </si>
  <si>
    <t>Depreciation as % of Revenues</t>
  </si>
  <si>
    <t>End: PP&amp;E, Net of Accum. Depreciation</t>
  </si>
  <si>
    <t xml:space="preserve">Accounts Receivable </t>
  </si>
  <si>
    <t xml:space="preserve">add: Interest Income </t>
  </si>
  <si>
    <t xml:space="preserve">add: Depreciation </t>
  </si>
  <si>
    <t>add: Amortization</t>
  </si>
  <si>
    <t>Capital Work in Progress</t>
  </si>
  <si>
    <t>Investments</t>
  </si>
  <si>
    <t>Other Assets</t>
  </si>
  <si>
    <t xml:space="preserve">short term borrowing </t>
  </si>
  <si>
    <t>Other Current Liabilities:</t>
  </si>
  <si>
    <t>Long-Term Debt:</t>
  </si>
  <si>
    <t xml:space="preserve">non controling interest </t>
  </si>
  <si>
    <t>Other Long-Term Liabilities:</t>
  </si>
  <si>
    <t>Total Non-Current Liabilities:</t>
  </si>
  <si>
    <t>Total Liabilities:</t>
  </si>
  <si>
    <t>Non-Current Assets:</t>
  </si>
  <si>
    <t xml:space="preserve">Fixed Aseets Net Block </t>
  </si>
  <si>
    <t>Total Non-Current Assets:</t>
  </si>
  <si>
    <t>Total asset</t>
  </si>
  <si>
    <t>Check (Total Assets=Total Liabilities&amp; Equity)</t>
  </si>
  <si>
    <t xml:space="preserve">BALANCESHEET </t>
  </si>
  <si>
    <t xml:space="preserve"> LIABILITIES &amp; EQUITY</t>
  </si>
  <si>
    <t xml:space="preserve"> Non-Current Liabilities:</t>
  </si>
  <si>
    <t xml:space="preserve">Inventory Days </t>
  </si>
  <si>
    <t xml:space="preserve">Account Receivable Days </t>
  </si>
  <si>
    <t xml:space="preserve">Accounts Payable Days </t>
  </si>
  <si>
    <t xml:space="preserve"> Line of Credit</t>
  </si>
  <si>
    <t>Accrued Expenses % SG&amp;A:</t>
  </si>
  <si>
    <t>Other Current Liabilities % SG&amp;A:</t>
  </si>
  <si>
    <t>Other Long-Term Liabilities % SG&amp;A:</t>
  </si>
  <si>
    <t xml:space="preserve">CASH FLOW STATEMENT </t>
  </si>
  <si>
    <t>Net Cash Provided by Operating ActivitiY)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</si>
  <si>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</si>
  <si>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</si>
  <si>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</si>
  <si>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</si>
  <si>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</si>
  <si>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</si>
  <si>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Share application money</t>
  </si>
  <si>
    <t>Other financing items</t>
  </si>
  <si>
    <t xml:space="preserve">Capital expenditure </t>
  </si>
  <si>
    <t xml:space="preserve">Net Cash flow by Investment Activities </t>
  </si>
  <si>
    <t xml:space="preserve">other investment items </t>
  </si>
  <si>
    <t xml:space="preserve">Net Cash flow byFinancing Activities </t>
  </si>
  <si>
    <t>Beginning Cah Flow</t>
  </si>
  <si>
    <t xml:space="preserve">Ending Cash Flow </t>
  </si>
  <si>
    <t xml:space="preserve">DEBT SECHEDULE </t>
  </si>
  <si>
    <t>Adjusted Equity Shares in Cr</t>
  </si>
  <si>
    <t>DERIVED:</t>
  </si>
  <si>
    <t>PRICE: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</si>
  <si>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</si>
  <si>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</si>
  <si>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</si>
  <si>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</si>
  <si>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</si>
  <si>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</si>
  <si>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</si>
  <si>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</si>
  <si>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Cash &amp; Bank</t>
  </si>
  <si>
    <t>Receivables</t>
  </si>
  <si>
    <t>Total</t>
  </si>
  <si>
    <t>Net Block</t>
  </si>
  <si>
    <t>Other Liabilities</t>
  </si>
  <si>
    <t>Borrowings</t>
  </si>
  <si>
    <t>Reserves</t>
  </si>
  <si>
    <t>Equity Share Capital</t>
  </si>
  <si>
    <t>BALANCE SHEET</t>
  </si>
  <si>
    <t>Operating Profit</t>
  </si>
  <si>
    <t>Net profit</t>
  </si>
  <si>
    <t>Tax</t>
  </si>
  <si>
    <t>Profit before tax</t>
  </si>
  <si>
    <t>Interest</t>
  </si>
  <si>
    <t>Depreciation</t>
  </si>
  <si>
    <t>Other Income</t>
  </si>
  <si>
    <t>Expenses</t>
  </si>
  <si>
    <t>Sales</t>
  </si>
  <si>
    <t>Quarters</t>
  </si>
  <si>
    <t>Effective Tax Rate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</si>
  <si>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</si>
  <si>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</si>
  <si>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</si>
  <si>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</si>
  <si>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</si>
  <si>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</si>
  <si>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</si>
  <si>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</si>
  <si>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</si>
  <si>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Market Capitalization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</si>
  <si>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</si>
  <si>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</si>
  <si>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</si>
  <si>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</si>
  <si>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</si>
  <si>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</si>
  <si>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</si>
  <si>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HINDUSTAN UNILEVER LTD</t>
  </si>
  <si>
    <t>COMPANY NAME</t>
  </si>
  <si>
    <t>Equity Capital</t>
  </si>
  <si>
    <t>Borrowings -</t>
  </si>
  <si>
    <t>Long term Borrowings</t>
  </si>
  <si>
    <t>Short term Borrowings</t>
  </si>
  <si>
    <t>Lease Liabilities</t>
  </si>
  <si>
    <t>Other Liabilities -</t>
  </si>
  <si>
    <t>Non controlling int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</si>
  <si>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</si>
  <si>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</si>
  <si>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</si>
  <si>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</si>
  <si>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</si>
  <si>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</si>
  <si>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</si>
  <si>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</si>
  <si>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</si>
  <si>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Furniture n fittings</t>
  </si>
  <si>
    <t>Railway sidings</t>
  </si>
  <si>
    <t>Vehicles</t>
  </si>
  <si>
    <t>Intangible Assets</t>
  </si>
  <si>
    <t>Other fixed assets</t>
  </si>
  <si>
    <t>Cash Flows</t>
  </si>
  <si>
    <t>Consolidated Figures in Rs. Crores / View Standalone</t>
  </si>
  <si>
    <t>Cash from Operating Activity -</t>
  </si>
  <si>
    <t>Profit from operations</t>
  </si>
  <si>
    <t>Payables</t>
  </si>
  <si>
    <t>Loans Advances</t>
  </si>
  <si>
    <t>Deposits</t>
  </si>
  <si>
    <t>Other WC items</t>
  </si>
  <si>
    <t>Working capital changes</t>
  </si>
  <si>
    <t>Direct taxes</t>
  </si>
  <si>
    <t>Other operating items</t>
  </si>
  <si>
    <t>Exceptional CF items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</si>
  <si>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</si>
  <si>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</si>
  <si>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</si>
  <si>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</si>
  <si>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</si>
  <si>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</si>
  <si>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</si>
  <si>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</si>
  <si>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Loans to subsidiaries</t>
  </si>
  <si>
    <t>Redemp n Canc of Shares</t>
  </si>
  <si>
    <t>Acquisition of companies</t>
  </si>
  <si>
    <t>Other investing items</t>
  </si>
  <si>
    <t>Cash from Financing Activity -</t>
  </si>
  <si>
    <t>Hindustan Unilever is in the FMCG business comprising primarily of Home Care, Beauty &amp; Personal Care and Foods &amp; Refreshment segments. The Company has manufacturing facilities across the country and sells primarily in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</si>
</sst>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);[Red]\(#,##0.0\)"/>
    <numFmt numFmtId="165" formatCode="_(* #,##0.0_);_(* \(#,##0.0\);_(* &quot;-&quot;?_);_(@_)"/>
    <numFmt numFmtId="166" formatCode="0.00_);\(0.00\)"/>
    <numFmt numFmtId="167" formatCode="_ * #,##0.00_ ;_ * \-#,##0.00_ ;_ * &quot;-&quot;??_ ;_ @_ "/>
    <numFmt numFmtId="168" formatCode="[$-409]mmm\-yy;@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theme="2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22222F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8"/>
      <color rgb="FF22222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FCC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7" fillId="0" borderId="0"/>
    <xf numFmtId="9" fontId="3" fillId="0" borderId="0" applyFont="0" applyFill="0" applyBorder="0" applyAlignment="0" applyProtection="0"/>
    <xf numFmtId="0" fontId="11" fillId="8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38" fontId="0" fillId="4" borderId="0" xfId="0" applyNumberFormat="1" applyFill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1" fillId="4" borderId="0" xfId="0" applyFont="1" applyFill="1"/>
    <xf numFmtId="0" fontId="6" fillId="4" borderId="0" xfId="0" applyFont="1" applyFill="1" applyAlignment="1">
      <alignment horizontal="left" indent="1"/>
    </xf>
    <xf numFmtId="165" fontId="6" fillId="4" borderId="0" xfId="0" applyNumberFormat="1" applyFont="1" applyFill="1" applyAlignment="1">
      <alignment horizontal="right"/>
    </xf>
    <xf numFmtId="10" fontId="6" fillId="4" borderId="0" xfId="0" applyNumberFormat="1" applyFont="1" applyFill="1"/>
    <xf numFmtId="0" fontId="7" fillId="4" borderId="0" xfId="0" applyFont="1" applyFill="1" applyAlignment="1">
      <alignment horizontal="left" indent="1"/>
    </xf>
    <xf numFmtId="10" fontId="7" fillId="4" borderId="0" xfId="0" applyNumberFormat="1" applyFont="1" applyFill="1"/>
    <xf numFmtId="40" fontId="8" fillId="4" borderId="0" xfId="0" applyNumberFormat="1" applyFont="1" applyFill="1"/>
    <xf numFmtId="166" fontId="8" fillId="0" borderId="0" xfId="0" applyNumberFormat="1" applyFont="1"/>
    <xf numFmtId="0" fontId="1" fillId="4" borderId="3" xfId="0" applyFont="1" applyFill="1" applyBorder="1"/>
    <xf numFmtId="10" fontId="6" fillId="6" borderId="0" xfId="0" applyNumberFormat="1" applyFont="1" applyFill="1"/>
    <xf numFmtId="10" fontId="7" fillId="6" borderId="0" xfId="0" applyNumberFormat="1" applyFont="1" applyFill="1"/>
    <xf numFmtId="0" fontId="0" fillId="6" borderId="0" xfId="0" applyFill="1"/>
    <xf numFmtId="10" fontId="7" fillId="4" borderId="0" xfId="0" applyNumberFormat="1" applyFont="1" applyFill="1" applyAlignment="1">
      <alignment horizontal="right"/>
    </xf>
    <xf numFmtId="0" fontId="1" fillId="0" borderId="0" xfId="0" applyFont="1" applyAlignment="1">
      <alignment horizontal="left" indent="1"/>
    </xf>
    <xf numFmtId="0" fontId="0" fillId="4" borderId="0" xfId="0" applyFill="1" applyAlignment="1">
      <alignment horizontal="left" indent="1"/>
    </xf>
    <xf numFmtId="167" fontId="5" fillId="0" borderId="0" xfId="3" applyFont="1" applyBorder="1"/>
    <xf numFmtId="0" fontId="12" fillId="4" borderId="0" xfId="0" applyFont="1" applyFill="1"/>
    <xf numFmtId="0" fontId="1" fillId="4" borderId="0" xfId="0" applyFont="1" applyFill="1" applyAlignment="1">
      <alignment horizontal="left" indent="1"/>
    </xf>
    <xf numFmtId="2" fontId="0" fillId="4" borderId="0" xfId="0" applyNumberFormat="1" applyFill="1"/>
    <xf numFmtId="0" fontId="4" fillId="5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38" fontId="0" fillId="4" borderId="0" xfId="0" applyNumberFormat="1" applyFill="1" applyAlignment="1">
      <alignment horizontal="right"/>
    </xf>
    <xf numFmtId="0" fontId="8" fillId="0" borderId="0" xfId="0" applyFont="1" applyAlignment="1">
      <alignment horizontal="right"/>
    </xf>
    <xf numFmtId="38" fontId="8" fillId="4" borderId="0" xfId="0" applyNumberFormat="1" applyFont="1" applyFill="1" applyAlignment="1">
      <alignment horizontal="right"/>
    </xf>
    <xf numFmtId="38" fontId="9" fillId="4" borderId="0" xfId="0" applyNumberFormat="1" applyFont="1" applyFill="1" applyAlignment="1">
      <alignment horizontal="right"/>
    </xf>
    <xf numFmtId="164" fontId="0" fillId="4" borderId="0" xfId="0" applyNumberForma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9" fontId="0" fillId="4" borderId="0" xfId="0" applyNumberFormat="1" applyFill="1" applyAlignment="1">
      <alignment horizontal="right"/>
    </xf>
    <xf numFmtId="0" fontId="4" fillId="5" borderId="0" xfId="0" applyFont="1" applyFill="1" applyAlignment="1">
      <alignment horizontal="left"/>
    </xf>
    <xf numFmtId="165" fontId="8" fillId="4" borderId="0" xfId="0" applyNumberFormat="1" applyFont="1" applyFill="1" applyAlignment="1">
      <alignment horizontal="right"/>
    </xf>
    <xf numFmtId="2" fontId="0" fillId="4" borderId="0" xfId="2" applyNumberFormat="1" applyFont="1" applyFill="1"/>
    <xf numFmtId="0" fontId="0" fillId="2" borderId="4" xfId="0" applyFill="1" applyBorder="1" applyAlignment="1">
      <alignment horizontal="center"/>
    </xf>
    <xf numFmtId="2" fontId="0" fillId="6" borderId="0" xfId="0" applyNumberFormat="1" applyFill="1" applyAlignment="1">
      <alignment horizontal="right"/>
    </xf>
    <xf numFmtId="2" fontId="0" fillId="6" borderId="0" xfId="0" applyNumberFormat="1" applyFill="1"/>
    <xf numFmtId="2" fontId="0" fillId="0" borderId="0" xfId="0" applyNumberFormat="1"/>
    <xf numFmtId="0" fontId="1" fillId="4" borderId="0" xfId="0" applyFont="1" applyFill="1" applyAlignment="1">
      <alignment horizontal="left"/>
    </xf>
    <xf numFmtId="0" fontId="13" fillId="7" borderId="0" xfId="0" applyFont="1" applyFill="1" applyAlignment="1">
      <alignment horizontal="left" vertical="center"/>
    </xf>
    <xf numFmtId="40" fontId="1" fillId="4" borderId="3" xfId="0" applyNumberFormat="1" applyFont="1" applyFill="1" applyBorder="1" applyAlignment="1">
      <alignment horizontal="right"/>
    </xf>
    <xf numFmtId="40" fontId="0" fillId="4" borderId="0" xfId="0" applyNumberFormat="1" applyFill="1"/>
    <xf numFmtId="40" fontId="5" fillId="0" borderId="0" xfId="1" applyNumberFormat="1" applyFont="1" applyAlignment="1">
      <alignment horizontal="right"/>
    </xf>
    <xf numFmtId="39" fontId="0" fillId="4" borderId="0" xfId="0" applyNumberFormat="1" applyFill="1" applyAlignment="1">
      <alignment horizontal="right"/>
    </xf>
    <xf numFmtId="39" fontId="8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39" fontId="0" fillId="0" borderId="0" xfId="0" applyNumberFormat="1"/>
    <xf numFmtId="165" fontId="0" fillId="0" borderId="0" xfId="0" applyNumberFormat="1"/>
    <xf numFmtId="9" fontId="0" fillId="6" borderId="0" xfId="0" applyNumberFormat="1" applyFill="1"/>
    <xf numFmtId="2" fontId="1" fillId="0" borderId="2" xfId="0" applyNumberFormat="1" applyFont="1" applyBorder="1"/>
    <xf numFmtId="0" fontId="11" fillId="4" borderId="0" xfId="0" applyFont="1" applyFill="1"/>
    <xf numFmtId="39" fontId="1" fillId="0" borderId="2" xfId="0" applyNumberFormat="1" applyFont="1" applyBorder="1"/>
    <xf numFmtId="2" fontId="0" fillId="3" borderId="0" xfId="0" applyNumberFormat="1" applyFill="1"/>
    <xf numFmtId="40" fontId="0" fillId="0" borderId="0" xfId="0" applyNumberFormat="1"/>
    <xf numFmtId="2" fontId="8" fillId="0" borderId="0" xfId="0" applyNumberFormat="1" applyFont="1"/>
    <xf numFmtId="2" fontId="9" fillId="4" borderId="1" xfId="0" applyNumberFormat="1" applyFont="1" applyFill="1" applyBorder="1"/>
    <xf numFmtId="2" fontId="1" fillId="4" borderId="1" xfId="0" applyNumberFormat="1" applyFont="1" applyFill="1" applyBorder="1"/>
    <xf numFmtId="2" fontId="10" fillId="0" borderId="0" xfId="1" applyNumberFormat="1" applyFont="1"/>
    <xf numFmtId="2" fontId="9" fillId="4" borderId="3" xfId="0" applyNumberFormat="1" applyFont="1" applyFill="1" applyBorder="1"/>
    <xf numFmtId="2" fontId="1" fillId="4" borderId="3" xfId="0" applyNumberFormat="1" applyFont="1" applyFill="1" applyBorder="1"/>
    <xf numFmtId="2" fontId="10" fillId="0" borderId="0" xfId="1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2" fontId="8" fillId="4" borderId="0" xfId="0" applyNumberFormat="1" applyFont="1" applyFill="1" applyAlignment="1">
      <alignment horizontal="right"/>
    </xf>
    <xf numFmtId="2" fontId="9" fillId="4" borderId="3" xfId="0" applyNumberFormat="1" applyFont="1" applyFill="1" applyBorder="1" applyAlignment="1">
      <alignment horizontal="right"/>
    </xf>
    <xf numFmtId="2" fontId="1" fillId="4" borderId="3" xfId="0" applyNumberFormat="1" applyFont="1" applyFill="1" applyBorder="1" applyAlignment="1">
      <alignment horizontal="right"/>
    </xf>
    <xf numFmtId="2" fontId="8" fillId="3" borderId="0" xfId="0" applyNumberFormat="1" applyFont="1" applyFill="1"/>
    <xf numFmtId="40" fontId="9" fillId="4" borderId="0" xfId="0" applyNumberFormat="1" applyFont="1" applyFill="1" applyAlignment="1">
      <alignment horizontal="right"/>
    </xf>
    <xf numFmtId="40" fontId="1" fillId="4" borderId="0" xfId="0" applyNumberFormat="1" applyFont="1" applyFill="1" applyAlignment="1">
      <alignment horizontal="right"/>
    </xf>
    <xf numFmtId="40" fontId="8" fillId="4" borderId="0" xfId="0" applyNumberFormat="1" applyFont="1" applyFill="1" applyAlignment="1">
      <alignment horizontal="right"/>
    </xf>
    <xf numFmtId="40" fontId="10" fillId="0" borderId="0" xfId="1" applyNumberFormat="1" applyFont="1" applyAlignment="1">
      <alignment horizontal="right"/>
    </xf>
    <xf numFmtId="40" fontId="9" fillId="4" borderId="3" xfId="0" applyNumberFormat="1" applyFont="1" applyFill="1" applyBorder="1" applyAlignment="1">
      <alignment horizontal="right"/>
    </xf>
    <xf numFmtId="2" fontId="0" fillId="6" borderId="0" xfId="2" applyNumberFormat="1" applyFont="1" applyFill="1" applyAlignment="1">
      <alignment horizontal="right"/>
    </xf>
    <xf numFmtId="165" fontId="0" fillId="4" borderId="0" xfId="0" applyNumberFormat="1" applyFill="1" applyAlignment="1">
      <alignment horizontal="right"/>
    </xf>
    <xf numFmtId="39" fontId="9" fillId="4" borderId="3" xfId="0" applyNumberFormat="1" applyFont="1" applyFill="1" applyBorder="1" applyAlignment="1">
      <alignment horizontal="right"/>
    </xf>
    <xf numFmtId="39" fontId="1" fillId="4" borderId="3" xfId="0" applyNumberFormat="1" applyFont="1" applyFill="1" applyBorder="1" applyAlignment="1">
      <alignment horizontal="right"/>
    </xf>
    <xf numFmtId="165" fontId="9" fillId="4" borderId="3" xfId="0" applyNumberFormat="1" applyFont="1" applyFill="1" applyBorder="1" applyAlignment="1">
      <alignment horizontal="right"/>
    </xf>
    <xf numFmtId="43" fontId="5" fillId="0" borderId="0" xfId="3" applyNumberFormat="1" applyFont="1" applyBorder="1"/>
    <xf numFmtId="167" fontId="14" fillId="0" borderId="0" xfId="3" applyFont="1" applyBorder="1"/>
    <xf numFmtId="0" fontId="5" fillId="0" borderId="0" xfId="1" applyFont="1"/>
    <xf numFmtId="168" fontId="15" fillId="0" borderId="0" xfId="3" applyNumberFormat="1" applyFont="1" applyFill="1" applyBorder="1"/>
    <xf numFmtId="168" fontId="16" fillId="9" borderId="0" xfId="1" applyNumberFormat="1" applyFont="1" applyFill="1" applyAlignment="1">
      <alignment horizontal="center"/>
    </xf>
    <xf numFmtId="168" fontId="16" fillId="9" borderId="0" xfId="3" applyNumberFormat="1" applyFont="1" applyFill="1" applyBorder="1"/>
    <xf numFmtId="0" fontId="17" fillId="0" borderId="0" xfId="4"/>
    <xf numFmtId="0" fontId="3" fillId="0" borderId="0" xfId="1"/>
    <xf numFmtId="9" fontId="5" fillId="0" borderId="0" xfId="5" applyFont="1" applyBorder="1"/>
    <xf numFmtId="0" fontId="0" fillId="7" borderId="0" xfId="0" applyFill="1"/>
    <xf numFmtId="0" fontId="21" fillId="7" borderId="0" xfId="0" applyFont="1" applyFill="1" applyAlignment="1">
      <alignment horizontal="left" vertical="center"/>
    </xf>
    <xf numFmtId="0" fontId="21" fillId="7" borderId="0" xfId="0" applyFont="1" applyFill="1" applyAlignment="1">
      <alignment horizontal="right" vertical="center" wrapText="1"/>
    </xf>
    <xf numFmtId="3" fontId="21" fillId="7" borderId="0" xfId="0" applyNumberFormat="1" applyFont="1" applyFill="1" applyAlignment="1">
      <alignment horizontal="right" vertical="center" wrapText="1"/>
    </xf>
    <xf numFmtId="0" fontId="22" fillId="7" borderId="0" xfId="0" applyFont="1" applyFill="1" applyAlignment="1">
      <alignment horizontal="left" vertical="center"/>
    </xf>
    <xf numFmtId="3" fontId="22" fillId="7" borderId="0" xfId="0" applyNumberFormat="1" applyFont="1" applyFill="1" applyAlignment="1">
      <alignment horizontal="right" vertical="center" wrapText="1"/>
    </xf>
    <xf numFmtId="17" fontId="23" fillId="7" borderId="0" xfId="0" applyNumberFormat="1" applyFont="1" applyFill="1" applyAlignment="1">
      <alignment horizontal="right" vertical="center" wrapText="1"/>
    </xf>
    <xf numFmtId="0" fontId="24" fillId="0" borderId="0" xfId="0" applyFont="1" applyAlignment="1">
      <alignment vertical="center" wrapText="1"/>
    </xf>
    <xf numFmtId="0" fontId="20" fillId="0" borderId="0" xfId="8" applyAlignment="1">
      <alignment vertical="center" wrapText="1"/>
    </xf>
    <xf numFmtId="0" fontId="25" fillId="0" borderId="0" xfId="0" applyFont="1" applyAlignment="1">
      <alignment horizontal="left" vertical="center"/>
    </xf>
    <xf numFmtId="17" fontId="25" fillId="0" borderId="0" xfId="0" applyNumberFormat="1" applyFont="1" applyAlignment="1">
      <alignment horizontal="right" vertical="center" wrapText="1"/>
    </xf>
    <xf numFmtId="0" fontId="26" fillId="0" borderId="0" xfId="0" applyFont="1" applyAlignment="1">
      <alignment horizontal="left" vertical="center"/>
    </xf>
    <xf numFmtId="3" fontId="26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0" fontId="26" fillId="0" borderId="0" xfId="0" applyFont="1" applyAlignment="1">
      <alignment horizontal="right" vertical="center" wrapText="1"/>
    </xf>
    <xf numFmtId="3" fontId="27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left"/>
    </xf>
    <xf numFmtId="0" fontId="28" fillId="5" borderId="0" xfId="0" applyFont="1" applyFill="1" applyAlignment="1">
      <alignment horizontal="center"/>
    </xf>
    <xf numFmtId="167" fontId="19" fillId="0" borderId="0" xfId="7" applyNumberFormat="1" applyFont="1" applyBorder="1" applyAlignment="1" applyProtection="1">
      <alignment horizontal="center"/>
    </xf>
    <xf numFmtId="167" fontId="16" fillId="8" borderId="0" xfId="6" applyNumberFormat="1" applyFont="1" applyBorder="1" applyAlignment="1">
      <alignment horizontal="center"/>
    </xf>
  </cellXfs>
  <cellStyles count="9">
    <cellStyle name="Accent6 2" xfId="6" xr:uid="{737567C5-D621-438A-BD2A-449AA9089B54}"/>
    <cellStyle name="Comma 2" xfId="3" xr:uid="{A31A553E-596A-42AB-A629-0F304E0F8E69}"/>
    <cellStyle name="Hyperlink" xfId="8" builtinId="8"/>
    <cellStyle name="Hyperlink 2" xfId="7" xr:uid="{BD284F76-86CF-4271-8286-BA7A14F2CB22}"/>
    <cellStyle name="Normal" xfId="0" builtinId="0"/>
    <cellStyle name="Normal 2" xfId="4" xr:uid="{DE32BD2D-0A93-40CD-ACA7-03E8AD6EEBB7}"/>
    <cellStyle name="Normal 3" xfId="1" xr:uid="{B1B2BAB4-16BC-466C-AEDB-1E382C13A388}"/>
    <cellStyle name="Per cent" xfId="2" builtinId="5"/>
    <cellStyle name="Percent 3" xfId="5" xr:uid="{E038AA21-174B-4F36-BCEB-632455559ECF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0000FF"/>
      <color rgb="FFDFCCF8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'!$C$5:$I$5</c:f>
              <c:numCache>
                <c:formatCode>#,##0.00_);[Red]\(#,##0.00\)</c:formatCode>
                <c:ptCount val="7"/>
                <c:pt idx="0">
                  <c:v>52446</c:v>
                </c:pt>
                <c:pt idx="1">
                  <c:v>60580</c:v>
                </c:pt>
                <c:pt idx="2">
                  <c:v>72696</c:v>
                </c:pt>
                <c:pt idx="3">
                  <c:v>87235.199999999997</c:v>
                </c:pt>
                <c:pt idx="4">
                  <c:v>104682.23999999999</c:v>
                </c:pt>
                <c:pt idx="5">
                  <c:v>125618.68799999998</c:v>
                </c:pt>
                <c:pt idx="6">
                  <c:v>150742.42559999996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6-424A-888B-EAD25206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39416"/>
        <c:axId val="618642584"/>
      </c:lineChart>
      <c:catAx>
        <c:axId val="6186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42584"/>
        <c:crosses val="autoZero"/>
        <c:auto val="1"/>
        <c:lblAlgn val="ctr"/>
        <c:lblOffset val="100"/>
        <c:noMultiLvlLbl val="0"/>
      </c:catAx>
      <c:valAx>
        <c:axId val="6186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3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'income statement '!$C$27:$I$27</c:f>
              <c:numCache>
                <c:formatCode>0.00</c:formatCode>
                <c:ptCount val="7"/>
                <c:pt idx="0">
                  <c:v>10151</c:v>
                </c:pt>
                <c:pt idx="1">
                  <c:v>11358</c:v>
                </c:pt>
                <c:pt idx="2">
                  <c:v>16491.572869236927</c:v>
                </c:pt>
                <c:pt idx="3">
                  <c:v>20443.791221542149</c:v>
                </c:pt>
                <c:pt idx="4">
                  <c:v>24932.629823775878</c:v>
                </c:pt>
                <c:pt idx="5">
                  <c:v>29873.796492525857</c:v>
                </c:pt>
                <c:pt idx="6">
                  <c:v>35869.489990196664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1-4AA5-932A-0E6DD2D2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579184"/>
        <c:axId val="469579536"/>
      </c:barChart>
      <c:catAx>
        <c:axId val="4695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79536"/>
        <c:crosses val="autoZero"/>
        <c:auto val="1"/>
        <c:lblAlgn val="ctr"/>
        <c:lblOffset val="100"/>
        <c:noMultiLvlLbl val="0"/>
      </c:catAx>
      <c:valAx>
        <c:axId val="4695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'balances sheet'!$C$18:$I$18</c:f>
              <c:numCache>
                <c:formatCode>0.00</c:formatCode>
                <c:ptCount val="7"/>
                <c:pt idx="0">
                  <c:v>60328</c:v>
                </c:pt>
                <c:pt idx="1">
                  <c:v>61069</c:v>
                </c:pt>
                <c:pt idx="2">
                  <c:v>87885.17378446403</c:v>
                </c:pt>
                <c:pt idx="3">
                  <c:v>116392.40555514242</c:v>
                </c:pt>
                <c:pt idx="4">
                  <c:v>146585.75861736355</c:v>
                </c:pt>
                <c:pt idx="5">
                  <c:v>178670.57577333471</c:v>
                </c:pt>
                <c:pt idx="6">
                  <c:v>212783.63674390409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C-4C31-B86D-EA3F5A4E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34552"/>
        <c:axId val="501532440"/>
      </c:lineChart>
      <c:catAx>
        <c:axId val="5015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32440"/>
        <c:crosses val="autoZero"/>
        <c:auto val="1"/>
        <c:lblAlgn val="ctr"/>
        <c:lblOffset val="100"/>
        <c:noMultiLvlLbl val="0"/>
      </c:catAx>
      <c:valAx>
        <c:axId val="5015324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3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'balances sheet'!$C$11:$I$11</c:f>
              <c:numCache>
                <c:formatCode>0.00</c:formatCode>
                <c:ptCount val="7"/>
                <c:pt idx="0">
                  <c:v>10178</c:v>
                </c:pt>
                <c:pt idx="1">
                  <c:v>12008</c:v>
                </c:pt>
                <c:pt idx="2">
                  <c:v>97185.725024712825</c:v>
                </c:pt>
                <c:pt idx="3">
                  <c:v>114061.27641424476</c:v>
                </c:pt>
                <c:pt idx="4">
                  <c:v>138164.35719375586</c:v>
                </c:pt>
                <c:pt idx="5">
                  <c:v>164412.3626403251</c:v>
                </c:pt>
                <c:pt idx="6">
                  <c:v>196846.37625115953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D-4ECE-8A32-D0EC5340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649272"/>
        <c:axId val="618645048"/>
      </c:barChart>
      <c:catAx>
        <c:axId val="6186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45048"/>
        <c:crosses val="autoZero"/>
        <c:auto val="1"/>
        <c:lblAlgn val="ctr"/>
        <c:lblOffset val="100"/>
        <c:noMultiLvlLbl val="0"/>
      </c:catAx>
      <c:valAx>
        <c:axId val="6186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'!$C$11:$I$11</c:f>
              <c:numCache>
                <c:formatCode>0.00</c:formatCode>
                <c:ptCount val="7"/>
                <c:pt idx="0">
                  <c:v>23336</c:v>
                </c:pt>
                <c:pt idx="1">
                  <c:v>25049</c:v>
                </c:pt>
                <c:pt idx="2">
                  <c:v>31202.548152385309</c:v>
                </c:pt>
                <c:pt idx="3">
                  <c:v>36756.808891431181</c:v>
                </c:pt>
                <c:pt idx="4">
                  <c:v>44519.920004576132</c:v>
                </c:pt>
                <c:pt idx="5">
                  <c:v>53176.854404576108</c:v>
                </c:pt>
                <c:pt idx="6">
                  <c:v>63960.455046040486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2-4516-AD6A-A9B9A769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32088"/>
        <c:axId val="501532792"/>
      </c:lineChart>
      <c:catAx>
        <c:axId val="5015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32792"/>
        <c:crosses val="autoZero"/>
        <c:auto val="1"/>
        <c:lblAlgn val="ctr"/>
        <c:lblOffset val="100"/>
        <c:noMultiLvlLbl val="0"/>
      </c:catAx>
      <c:valAx>
        <c:axId val="5015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3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'!$C$14:$I$14</c:f>
              <c:numCache>
                <c:formatCode>0.00</c:formatCode>
                <c:ptCount val="7"/>
                <c:pt idx="0">
                  <c:v>10523</c:v>
                </c:pt>
                <c:pt idx="1">
                  <c:v>11051</c:v>
                </c:pt>
                <c:pt idx="2">
                  <c:v>13923.625283148383</c:v>
                </c:pt>
                <c:pt idx="3">
                  <c:v>16310.895169889031</c:v>
                </c:pt>
                <c:pt idx="4">
                  <c:v>19811.547305800254</c:v>
                </c:pt>
                <c:pt idx="5">
                  <c:v>23630.772905800251</c:v>
                </c:pt>
                <c:pt idx="6">
                  <c:v>28442.777803656329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6-4996-833D-447FDB93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80920"/>
        <c:axId val="625879160"/>
      </c:lineChart>
      <c:catAx>
        <c:axId val="62588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79160"/>
        <c:crosses val="autoZero"/>
        <c:auto val="1"/>
        <c:lblAlgn val="ctr"/>
        <c:lblOffset val="100"/>
        <c:noMultiLvlLbl val="0"/>
      </c:catAx>
      <c:valAx>
        <c:axId val="6258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8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'!$C$17:$I$17</c:f>
              <c:numCache>
                <c:formatCode>0.00</c:formatCode>
                <c:ptCount val="7"/>
                <c:pt idx="0">
                  <c:v>12813</c:v>
                </c:pt>
                <c:pt idx="1">
                  <c:v>13998</c:v>
                </c:pt>
                <c:pt idx="2">
                  <c:v>17278.922869236925</c:v>
                </c:pt>
                <c:pt idx="3">
                  <c:v>20445.913721542151</c:v>
                </c:pt>
                <c:pt idx="4">
                  <c:v>24708.372698775878</c:v>
                </c:pt>
                <c:pt idx="5">
                  <c:v>29546.081498775857</c:v>
                </c:pt>
                <c:pt idx="6">
                  <c:v>35517.677242384161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2-43A0-B8C8-6E1174D5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82328"/>
        <c:axId val="625877400"/>
      </c:lineChart>
      <c:catAx>
        <c:axId val="62588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77400"/>
        <c:crosses val="autoZero"/>
        <c:auto val="1"/>
        <c:lblAlgn val="ctr"/>
        <c:lblOffset val="100"/>
        <c:noMultiLvlLbl val="0"/>
      </c:catAx>
      <c:valAx>
        <c:axId val="62587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8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</xdr:col>
      <xdr:colOff>4107180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105B5-3B34-47B2-828F-245A4AB46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</xdr:col>
      <xdr:colOff>4572000</xdr:colOff>
      <xdr:row>32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EC0984-2501-4902-94DE-04664C7BB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</xdr:col>
      <xdr:colOff>4572000</xdr:colOff>
      <xdr:row>43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18D87E-FEAD-41B3-9D70-2232A1ADD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2065020</xdr:colOff>
      <xdr:row>45</xdr:row>
      <xdr:rowOff>83820</xdr:rowOff>
    </xdr:from>
    <xdr:to>
      <xdr:col>1</xdr:col>
      <xdr:colOff>4564380</xdr:colOff>
      <xdr:row>60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777A20-3676-4634-B661-96AF2B911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</xdr:col>
      <xdr:colOff>4572000</xdr:colOff>
      <xdr:row>73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B48978-324E-4084-A5BC-F5B8783F4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</xdr:col>
      <xdr:colOff>4572000</xdr:colOff>
      <xdr:row>87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40194E-D796-4712-A76B-2D9CA976F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</xdr:col>
      <xdr:colOff>4572000</xdr:colOff>
      <xdr:row>102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5F5A2F-9907-4BF3-A77A-6DA270AEF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creener.in/company/HINDUNILVR/" TargetMode="External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BE80-F67D-49C4-A5D2-326E8E0A0FD5}">
  <sheetPr>
    <tabColor theme="5" tint="-0.249977111117893"/>
  </sheetPr>
  <dimension ref="A1:D9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8.83203125" defaultRowHeight="15" x14ac:dyDescent="0.2"/>
  <cols>
    <col min="1" max="1" width="30.1640625" bestFit="1" customWidth="1"/>
    <col min="2" max="2" width="71.5" customWidth="1"/>
  </cols>
  <sheetData>
    <row r="1" spans="1:4" x14ac:dyDescent="0.2">
      <c r="A1" s="1" t="s">
        <v>0</v>
      </c>
      <c r="B1" s="84" t="s">
        <v>171</v>
      </c>
      <c r="C1" s="84"/>
      <c r="D1" s="84"/>
    </row>
    <row r="4" spans="1:4" ht="48" x14ac:dyDescent="0.2">
      <c r="A4" s="109" t="s">
        <v>1</v>
      </c>
      <c r="B4" s="110" t="s">
        <v>219</v>
      </c>
    </row>
    <row r="6" spans="1:4" x14ac:dyDescent="0.2">
      <c r="A6" s="8" t="s">
        <v>2</v>
      </c>
    </row>
    <row r="8" spans="1:4" x14ac:dyDescent="0.2">
      <c r="A8" s="1" t="s">
        <v>3</v>
      </c>
    </row>
    <row r="16" spans="1:4" x14ac:dyDescent="0.2">
      <c r="A16" s="1"/>
    </row>
    <row r="21" spans="1:1" x14ac:dyDescent="0.2">
      <c r="A21" s="1" t="s">
        <v>4</v>
      </c>
    </row>
    <row r="30" spans="1:1" x14ac:dyDescent="0.2">
      <c r="A30" s="1"/>
    </row>
    <row r="34" spans="1:1" x14ac:dyDescent="0.2">
      <c r="A34" s="1" t="s">
        <v>5</v>
      </c>
    </row>
    <row r="45" spans="1:1" x14ac:dyDescent="0.2">
      <c r="A45" s="1" t="s">
        <v>6</v>
      </c>
    </row>
    <row r="51" spans="1:1" x14ac:dyDescent="0.2">
      <c r="A51" s="1"/>
    </row>
    <row r="63" spans="1:1" x14ac:dyDescent="0.2">
      <c r="A63" s="1" t="s">
        <v>7</v>
      </c>
    </row>
    <row r="74" spans="1:1" x14ac:dyDescent="0.2">
      <c r="A74" s="1"/>
    </row>
    <row r="77" spans="1:1" x14ac:dyDescent="0.2">
      <c r="A77" s="1" t="s">
        <v>8</v>
      </c>
    </row>
    <row r="90" spans="1:1" x14ac:dyDescent="0.2">
      <c r="A90" s="1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D55C-7B8B-4071-878A-979F944C165A}">
  <sheetPr>
    <tabColor theme="4" tint="-0.249977111117893"/>
  </sheetPr>
  <dimension ref="B2:M34"/>
  <sheetViews>
    <sheetView showGridLines="0" topLeftCell="B1" workbookViewId="0">
      <pane ySplit="4" topLeftCell="A6" activePane="bottomLeft" state="frozen"/>
      <selection pane="bottomLeft" activeCell="B2" sqref="B2:I2"/>
    </sheetView>
  </sheetViews>
  <sheetFormatPr baseColWidth="10" defaultColWidth="8.83203125" defaultRowHeight="15" x14ac:dyDescent="0.2"/>
  <cols>
    <col min="1" max="1" width="1.83203125" customWidth="1"/>
    <col min="2" max="2" width="34.1640625" style="5" bestFit="1" customWidth="1"/>
    <col min="3" max="4" width="12.83203125" style="5" customWidth="1"/>
    <col min="5" max="5" width="11.83203125" style="5" customWidth="1"/>
    <col min="6" max="6" width="13.1640625" style="5" bestFit="1" customWidth="1"/>
    <col min="7" max="7" width="12" style="5" bestFit="1" customWidth="1"/>
    <col min="8" max="9" width="12" bestFit="1" customWidth="1"/>
  </cols>
  <sheetData>
    <row r="2" spans="2:13" ht="21" x14ac:dyDescent="0.25">
      <c r="B2" s="112" t="s">
        <v>171</v>
      </c>
      <c r="C2" s="112"/>
      <c r="D2" s="112"/>
      <c r="E2" s="112"/>
      <c r="F2" s="112"/>
      <c r="G2" s="112"/>
      <c r="H2" s="112"/>
      <c r="I2" s="112"/>
    </row>
    <row r="3" spans="2:13" x14ac:dyDescent="0.2">
      <c r="B3" s="8"/>
      <c r="C3" s="9" t="s">
        <v>50</v>
      </c>
      <c r="D3" s="9" t="s">
        <v>50</v>
      </c>
      <c r="E3" s="9" t="s">
        <v>51</v>
      </c>
      <c r="F3" s="9" t="s">
        <v>51</v>
      </c>
      <c r="G3" s="9" t="s">
        <v>51</v>
      </c>
      <c r="H3" s="9" t="s">
        <v>51</v>
      </c>
      <c r="I3" s="9" t="s">
        <v>51</v>
      </c>
    </row>
    <row r="4" spans="2:13" x14ac:dyDescent="0.2">
      <c r="B4" s="8" t="s">
        <v>10</v>
      </c>
      <c r="C4" s="9">
        <v>2022</v>
      </c>
      <c r="D4" s="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13" x14ac:dyDescent="0.2">
      <c r="B5" s="5" t="s">
        <v>11</v>
      </c>
      <c r="C5" s="16">
        <f>'Data Sheet'!J17</f>
        <v>52446</v>
      </c>
      <c r="D5" s="16">
        <f>'Data Sheet'!K17</f>
        <v>60580</v>
      </c>
      <c r="E5" s="48">
        <f>D5*(1+E6)</f>
        <v>72696</v>
      </c>
      <c r="F5" s="48">
        <f t="shared" ref="F5:I5" si="1">E5*(1+F6)</f>
        <v>87235.199999999997</v>
      </c>
      <c r="G5" s="48">
        <f t="shared" si="1"/>
        <v>104682.23999999999</v>
      </c>
      <c r="H5" s="48">
        <f t="shared" si="1"/>
        <v>125618.68799999998</v>
      </c>
      <c r="I5" s="48">
        <f t="shared" si="1"/>
        <v>150742.42559999996</v>
      </c>
    </row>
    <row r="6" spans="2:13" s="2" customFormat="1" x14ac:dyDescent="0.2">
      <c r="B6" s="11" t="s">
        <v>12</v>
      </c>
      <c r="C6" s="12">
        <v>0</v>
      </c>
      <c r="D6" s="13">
        <f>D5/C5-1</f>
        <v>0.15509285741524614</v>
      </c>
      <c r="E6" s="19">
        <v>0.2</v>
      </c>
      <c r="F6" s="19">
        <v>0.2</v>
      </c>
      <c r="G6" s="19">
        <v>0.2</v>
      </c>
      <c r="H6" s="19">
        <v>0.2</v>
      </c>
      <c r="I6" s="19">
        <v>0.2</v>
      </c>
    </row>
    <row r="7" spans="2:13" x14ac:dyDescent="0.2">
      <c r="C7" s="7"/>
      <c r="D7" s="7"/>
    </row>
    <row r="8" spans="2:13" x14ac:dyDescent="0.2">
      <c r="B8" s="5" t="s">
        <v>24</v>
      </c>
      <c r="C8" s="16">
        <f>SUM('Data Sheet'!J18:J22)</f>
        <v>29110</v>
      </c>
      <c r="D8" s="16">
        <f>SUM('Data Sheet'!K18:K22)</f>
        <v>35531</v>
      </c>
      <c r="E8" s="28">
        <f>E5*E9</f>
        <v>41493.451847614691</v>
      </c>
      <c r="F8" s="28">
        <f t="shared" ref="F8:I8" si="2">F5*F9</f>
        <v>50478.391108568816</v>
      </c>
      <c r="G8" s="28">
        <f t="shared" si="2"/>
        <v>60162.319995423859</v>
      </c>
      <c r="H8" s="28">
        <f t="shared" si="2"/>
        <v>72441.833595423872</v>
      </c>
      <c r="I8" s="28">
        <f t="shared" si="2"/>
        <v>86781.970553959472</v>
      </c>
    </row>
    <row r="9" spans="2:13" s="2" customFormat="1" x14ac:dyDescent="0.2">
      <c r="B9" s="14" t="s">
        <v>14</v>
      </c>
      <c r="C9" s="15">
        <f>C8/C5</f>
        <v>0.55504709606071001</v>
      </c>
      <c r="D9" s="15">
        <f t="shared" ref="D9" si="3">D8/D5</f>
        <v>0.58651370089138333</v>
      </c>
      <c r="E9" s="20">
        <f>(C9+D9)/2</f>
        <v>0.57078039847604667</v>
      </c>
      <c r="F9" s="20">
        <f t="shared" ref="F9:I9" si="4">(D9+E9)/2</f>
        <v>0.57864704968371505</v>
      </c>
      <c r="G9" s="20">
        <f t="shared" si="4"/>
        <v>0.57471372407988086</v>
      </c>
      <c r="H9" s="20">
        <f t="shared" si="4"/>
        <v>0.57668038688179801</v>
      </c>
      <c r="I9" s="20">
        <f t="shared" si="4"/>
        <v>0.57569705548083938</v>
      </c>
    </row>
    <row r="10" spans="2:13" x14ac:dyDescent="0.2">
      <c r="C10" s="7"/>
      <c r="D10" s="7"/>
      <c r="M10" s="44"/>
    </row>
    <row r="11" spans="2:13" x14ac:dyDescent="0.2">
      <c r="B11" s="10" t="s">
        <v>23</v>
      </c>
      <c r="C11" s="62">
        <f>C5-C8</f>
        <v>23336</v>
      </c>
      <c r="D11" s="62">
        <f t="shared" ref="D11:I11" si="5">D5-D8</f>
        <v>25049</v>
      </c>
      <c r="E11" s="63">
        <f t="shared" si="5"/>
        <v>31202.548152385309</v>
      </c>
      <c r="F11" s="63">
        <f t="shared" si="5"/>
        <v>36756.808891431181</v>
      </c>
      <c r="G11" s="63">
        <f t="shared" si="5"/>
        <v>44519.920004576132</v>
      </c>
      <c r="H11" s="63">
        <f t="shared" si="5"/>
        <v>53176.854404576108</v>
      </c>
      <c r="I11" s="63">
        <f t="shared" si="5"/>
        <v>63960.455046040486</v>
      </c>
    </row>
    <row r="12" spans="2:13" s="2" customFormat="1" x14ac:dyDescent="0.2">
      <c r="B12" s="14" t="s">
        <v>14</v>
      </c>
      <c r="C12" s="13">
        <f>C11/C5</f>
        <v>0.44495290393928993</v>
      </c>
      <c r="D12" s="13">
        <f t="shared" ref="D12:I12" si="6">D11/D5</f>
        <v>0.41348629910861673</v>
      </c>
      <c r="E12" s="13">
        <f t="shared" si="6"/>
        <v>0.42921960152395328</v>
      </c>
      <c r="F12" s="13">
        <f t="shared" si="6"/>
        <v>0.42135295031628495</v>
      </c>
      <c r="G12" s="13">
        <f t="shared" si="6"/>
        <v>0.42528627592011919</v>
      </c>
      <c r="H12" s="13">
        <f t="shared" si="6"/>
        <v>0.42331961311820193</v>
      </c>
      <c r="I12" s="13">
        <f t="shared" si="6"/>
        <v>0.42430294451916067</v>
      </c>
    </row>
    <row r="13" spans="2:13" x14ac:dyDescent="0.2">
      <c r="C13" s="7"/>
      <c r="D13" s="7"/>
    </row>
    <row r="14" spans="2:13" x14ac:dyDescent="0.2">
      <c r="B14" s="5" t="s">
        <v>25</v>
      </c>
      <c r="C14" s="61">
        <f>SUM('Data Sheet'!J23:J24)</f>
        <v>10523</v>
      </c>
      <c r="D14" s="61">
        <f>SUM('Data Sheet'!K23:K24)</f>
        <v>11051</v>
      </c>
      <c r="E14" s="28">
        <f>E5*E15</f>
        <v>13923.625283148383</v>
      </c>
      <c r="F14" s="28">
        <f t="shared" ref="F14:I14" si="7">F5*F15</f>
        <v>16310.895169889031</v>
      </c>
      <c r="G14" s="28">
        <f t="shared" si="7"/>
        <v>19811.547305800254</v>
      </c>
      <c r="H14" s="28">
        <f t="shared" si="7"/>
        <v>23630.772905800251</v>
      </c>
      <c r="I14" s="28">
        <f t="shared" si="7"/>
        <v>28442.777803656329</v>
      </c>
    </row>
    <row r="15" spans="2:13" s="2" customFormat="1" x14ac:dyDescent="0.2">
      <c r="B15" s="14" t="s">
        <v>14</v>
      </c>
      <c r="C15" s="15">
        <f>C14/C5</f>
        <v>0.20064447240971667</v>
      </c>
      <c r="D15" s="15">
        <f t="shared" ref="D15" si="8">D14/D5</f>
        <v>0.18241994057444702</v>
      </c>
      <c r="E15" s="20">
        <f>AVERAGE(C15:D15)</f>
        <v>0.19153220649208186</v>
      </c>
      <c r="F15" s="20">
        <f t="shared" ref="F15:I15" si="9">AVERAGE(D15:E15)</f>
        <v>0.18697607353326445</v>
      </c>
      <c r="G15" s="20">
        <f>AVERAGE(E15:F15)</f>
        <v>0.18925414001267316</v>
      </c>
      <c r="H15" s="20">
        <f t="shared" si="9"/>
        <v>0.1881151067729688</v>
      </c>
      <c r="I15" s="20">
        <f t="shared" si="9"/>
        <v>0.18868462339282099</v>
      </c>
    </row>
    <row r="16" spans="2:13" x14ac:dyDescent="0.2">
      <c r="C16" s="7"/>
      <c r="D16" s="7"/>
    </row>
    <row r="17" spans="2:9" x14ac:dyDescent="0.2">
      <c r="B17" s="10" t="s">
        <v>15</v>
      </c>
      <c r="C17" s="62">
        <f>C11-C14</f>
        <v>12813</v>
      </c>
      <c r="D17" s="62">
        <f t="shared" ref="D17:I17" si="10">D11-D14</f>
        <v>13998</v>
      </c>
      <c r="E17" s="63">
        <f t="shared" si="10"/>
        <v>17278.922869236925</v>
      </c>
      <c r="F17" s="63">
        <f t="shared" si="10"/>
        <v>20445.913721542151</v>
      </c>
      <c r="G17" s="63">
        <f t="shared" si="10"/>
        <v>24708.372698775878</v>
      </c>
      <c r="H17" s="63">
        <f t="shared" si="10"/>
        <v>29546.081498775857</v>
      </c>
      <c r="I17" s="63">
        <f t="shared" si="10"/>
        <v>35517.677242384161</v>
      </c>
    </row>
    <row r="18" spans="2:9" x14ac:dyDescent="0.2">
      <c r="C18" s="7"/>
      <c r="D18" s="7"/>
    </row>
    <row r="19" spans="2:9" x14ac:dyDescent="0.2">
      <c r="B19" s="5" t="s">
        <v>27</v>
      </c>
      <c r="C19" s="17">
        <f>'Data Sheet'!J27</f>
        <v>106</v>
      </c>
      <c r="D19" s="17">
        <f>'Data Sheet'!K27</f>
        <v>114</v>
      </c>
      <c r="E19" s="17">
        <f>-'Debt Sch'!D23</f>
        <v>0</v>
      </c>
      <c r="F19" s="17">
        <f>-'Debt Sch'!E23</f>
        <v>0</v>
      </c>
      <c r="G19" s="17">
        <f>-'Debt Sch'!F23</f>
        <v>0</v>
      </c>
      <c r="H19" s="17">
        <f>-'Debt Sch'!G23</f>
        <v>0</v>
      </c>
      <c r="I19" s="17">
        <f>-'Debt Sch'!H23</f>
        <v>0</v>
      </c>
    </row>
    <row r="20" spans="2:9" x14ac:dyDescent="0.2">
      <c r="B20" s="5" t="s">
        <v>78</v>
      </c>
      <c r="C20" s="61">
        <f>'Data Sheet'!J25</f>
        <v>219</v>
      </c>
      <c r="D20" s="61">
        <f>'Data Sheet'!K25</f>
        <v>447</v>
      </c>
      <c r="E20" s="28">
        <f>AVERAGE(C20:D20)</f>
        <v>333</v>
      </c>
      <c r="F20" s="28">
        <f t="shared" ref="F20:I20" si="11">AVERAGE(D20:E20)</f>
        <v>390</v>
      </c>
      <c r="G20" s="28">
        <f t="shared" si="11"/>
        <v>361.5</v>
      </c>
      <c r="H20" s="28">
        <f t="shared" si="11"/>
        <v>375.75</v>
      </c>
      <c r="I20" s="28">
        <f t="shared" si="11"/>
        <v>368.625</v>
      </c>
    </row>
    <row r="21" spans="2:9" x14ac:dyDescent="0.2">
      <c r="C21" s="44"/>
      <c r="D21" s="44"/>
      <c r="E21" s="28"/>
      <c r="F21" s="28"/>
      <c r="G21" s="28"/>
      <c r="H21" s="44"/>
      <c r="I21" s="44"/>
    </row>
    <row r="22" spans="2:9" x14ac:dyDescent="0.2">
      <c r="B22" s="10" t="s">
        <v>26</v>
      </c>
      <c r="C22" s="62">
        <f>C17+C19+C20</f>
        <v>13138</v>
      </c>
      <c r="D22" s="62">
        <f t="shared" ref="D22:I22" si="12">D17+D19+D20</f>
        <v>14559</v>
      </c>
      <c r="E22" s="63">
        <f t="shared" si="12"/>
        <v>17611.922869236925</v>
      </c>
      <c r="F22" s="63">
        <f t="shared" si="12"/>
        <v>20835.913721542151</v>
      </c>
      <c r="G22" s="63">
        <f t="shared" si="12"/>
        <v>25069.872698775878</v>
      </c>
      <c r="H22" s="63">
        <f t="shared" si="12"/>
        <v>29921.831498775857</v>
      </c>
      <c r="I22" s="63">
        <f t="shared" si="12"/>
        <v>35886.302242384161</v>
      </c>
    </row>
    <row r="23" spans="2:9" x14ac:dyDescent="0.2">
      <c r="C23" s="28"/>
      <c r="D23" s="28"/>
      <c r="E23" s="28"/>
      <c r="F23" s="28"/>
      <c r="G23" s="28"/>
      <c r="H23" s="44"/>
      <c r="I23" s="44"/>
    </row>
    <row r="24" spans="2:9" x14ac:dyDescent="0.2">
      <c r="B24" s="5" t="s">
        <v>17</v>
      </c>
      <c r="C24" s="64">
        <f>'Data Sheet'!J29</f>
        <v>2987</v>
      </c>
      <c r="D24" s="64">
        <f>'Data Sheet'!K29</f>
        <v>3201</v>
      </c>
      <c r="E24" s="28">
        <f>D24*E25</f>
        <v>1120.3499999999999</v>
      </c>
      <c r="F24" s="28">
        <f t="shared" ref="F24:I24" si="13">E24*F25</f>
        <v>392.12249999999995</v>
      </c>
      <c r="G24" s="28">
        <f t="shared" si="13"/>
        <v>137.24287499999997</v>
      </c>
      <c r="H24" s="28">
        <f t="shared" si="13"/>
        <v>48.035006249999988</v>
      </c>
      <c r="I24" s="28">
        <f t="shared" si="13"/>
        <v>16.812252187499993</v>
      </c>
    </row>
    <row r="25" spans="2:9" x14ac:dyDescent="0.2">
      <c r="B25" s="15" t="s">
        <v>18</v>
      </c>
      <c r="C25" s="22" t="s">
        <v>13</v>
      </c>
      <c r="D25" s="22" t="s">
        <v>13</v>
      </c>
      <c r="E25" s="20">
        <v>0.35</v>
      </c>
      <c r="F25" s="20">
        <v>0.35</v>
      </c>
      <c r="G25" s="20">
        <v>0.35</v>
      </c>
      <c r="H25" s="20">
        <v>0.35</v>
      </c>
      <c r="I25" s="20">
        <v>0.35</v>
      </c>
    </row>
    <row r="26" spans="2:9" x14ac:dyDescent="0.2">
      <c r="C26" s="7"/>
      <c r="D26" s="7"/>
    </row>
    <row r="27" spans="2:9" x14ac:dyDescent="0.2">
      <c r="B27" s="10" t="s">
        <v>28</v>
      </c>
      <c r="C27" s="65">
        <f>C22-C24</f>
        <v>10151</v>
      </c>
      <c r="D27" s="65">
        <f t="shared" ref="D27:I27" si="14">D22-D24</f>
        <v>11358</v>
      </c>
      <c r="E27" s="66">
        <f t="shared" si="14"/>
        <v>16491.572869236927</v>
      </c>
      <c r="F27" s="66">
        <f t="shared" si="14"/>
        <v>20443.791221542149</v>
      </c>
      <c r="G27" s="66">
        <f t="shared" si="14"/>
        <v>24932.629823775878</v>
      </c>
      <c r="H27" s="66">
        <f t="shared" si="14"/>
        <v>29873.796492525857</v>
      </c>
      <c r="I27" s="66">
        <f t="shared" si="14"/>
        <v>35869.489990196664</v>
      </c>
    </row>
    <row r="28" spans="2:9" x14ac:dyDescent="0.2">
      <c r="C28" s="7"/>
      <c r="D28" s="7"/>
    </row>
    <row r="29" spans="2:9" x14ac:dyDescent="0.2">
      <c r="B29" s="111" t="s">
        <v>29</v>
      </c>
      <c r="C29" s="111"/>
      <c r="D29" s="111"/>
      <c r="E29" s="111"/>
      <c r="F29" s="111"/>
      <c r="G29" s="111"/>
    </row>
    <row r="30" spans="2:9" x14ac:dyDescent="0.2">
      <c r="B30" s="6"/>
      <c r="C30" s="6"/>
      <c r="D30" s="6"/>
      <c r="E30" s="6"/>
      <c r="F30" s="6"/>
      <c r="G30" s="6"/>
    </row>
    <row r="31" spans="2:9" x14ac:dyDescent="0.2">
      <c r="B31" s="5" t="s">
        <v>15</v>
      </c>
      <c r="C31" s="28">
        <f>C17</f>
        <v>12813</v>
      </c>
      <c r="D31" s="28">
        <f>D17</f>
        <v>13998</v>
      </c>
      <c r="E31" s="28">
        <f t="shared" ref="E31:I31" si="15">E17</f>
        <v>17278.922869236925</v>
      </c>
      <c r="F31" s="28">
        <f t="shared" si="15"/>
        <v>20445.913721542151</v>
      </c>
      <c r="G31" s="28">
        <f t="shared" si="15"/>
        <v>24708.372698775878</v>
      </c>
      <c r="H31" s="28">
        <f t="shared" si="15"/>
        <v>29546.081498775857</v>
      </c>
      <c r="I31" s="28">
        <f t="shared" si="15"/>
        <v>35517.677242384161</v>
      </c>
    </row>
    <row r="32" spans="2:9" x14ac:dyDescent="0.2">
      <c r="B32" s="5" t="s">
        <v>79</v>
      </c>
      <c r="C32" s="44">
        <f>'Data Sheet'!J26</f>
        <v>1091</v>
      </c>
      <c r="D32" s="44">
        <f>'Data Sheet'!K26</f>
        <v>1137</v>
      </c>
      <c r="E32" s="59">
        <f>'PP&amp;E Sch'!D8</f>
        <v>1438.3237844640203</v>
      </c>
      <c r="F32" s="59">
        <f>'PP&amp;E Sch'!E8</f>
        <v>1681.6342706784121</v>
      </c>
      <c r="G32" s="59">
        <f>'PP&amp;E Sch'!F8</f>
        <v>2044.5736872211414</v>
      </c>
      <c r="H32" s="59">
        <f>'PP&amp;E Sch'!G8</f>
        <v>2437.5208872211415</v>
      </c>
      <c r="I32" s="59">
        <f>'PP&amp;E Sch'!H8</f>
        <v>2934.6055871319063</v>
      </c>
    </row>
    <row r="33" spans="2:9" x14ac:dyDescent="0.2">
      <c r="B33" s="5" t="s">
        <v>80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</row>
    <row r="34" spans="2:9" x14ac:dyDescent="0.2">
      <c r="B34" s="18" t="s">
        <v>22</v>
      </c>
      <c r="C34" s="66">
        <f>C17+C32</f>
        <v>13904</v>
      </c>
      <c r="D34" s="66">
        <f>D17+D32</f>
        <v>15135</v>
      </c>
      <c r="E34" s="66">
        <f t="shared" ref="E34:I34" si="16">E17+E32</f>
        <v>18717.246653700946</v>
      </c>
      <c r="F34" s="66">
        <f t="shared" si="16"/>
        <v>22127.547992220563</v>
      </c>
      <c r="G34" s="66">
        <f t="shared" si="16"/>
        <v>26752.94638599702</v>
      </c>
      <c r="H34" s="66">
        <f t="shared" si="16"/>
        <v>31983.602385996997</v>
      </c>
      <c r="I34" s="66">
        <f t="shared" si="16"/>
        <v>38452.282829516065</v>
      </c>
    </row>
  </sheetData>
  <mergeCells count="2">
    <mergeCell ref="B29:G29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8E07-8A71-4619-A946-A4727BD5D3C6}">
  <sheetPr>
    <tabColor theme="4" tint="-0.249977111117893"/>
  </sheetPr>
  <dimension ref="B2:L57"/>
  <sheetViews>
    <sheetView showGridLines="0" workbookViewId="0">
      <pane ySplit="4" topLeftCell="A5" activePane="bottomLeft" state="frozen"/>
      <selection pane="bottomLeft" activeCell="B2" sqref="B2:I2"/>
    </sheetView>
  </sheetViews>
  <sheetFormatPr baseColWidth="10" defaultColWidth="8.83203125" defaultRowHeight="15" x14ac:dyDescent="0.2"/>
  <cols>
    <col min="1" max="1" width="1.83203125" customWidth="1"/>
    <col min="2" max="2" width="43.1640625" style="5" customWidth="1"/>
    <col min="3" max="4" width="12.83203125" style="30" bestFit="1" customWidth="1"/>
    <col min="5" max="5" width="12.83203125" style="5" bestFit="1" customWidth="1"/>
    <col min="6" max="6" width="12.33203125" bestFit="1" customWidth="1"/>
    <col min="7" max="8" width="12.5" bestFit="1" customWidth="1"/>
    <col min="9" max="9" width="13.1640625" customWidth="1"/>
  </cols>
  <sheetData>
    <row r="2" spans="2:9" ht="21" x14ac:dyDescent="0.25">
      <c r="B2" s="112" t="s">
        <v>171</v>
      </c>
      <c r="C2" s="112"/>
      <c r="D2" s="112"/>
      <c r="E2" s="112"/>
      <c r="F2" s="112"/>
      <c r="G2" s="112"/>
      <c r="H2" s="112"/>
      <c r="I2" s="112"/>
    </row>
    <row r="3" spans="2:9" x14ac:dyDescent="0.2">
      <c r="B3" s="8"/>
      <c r="C3" s="29" t="s">
        <v>50</v>
      </c>
      <c r="D3" s="29" t="s">
        <v>50</v>
      </c>
      <c r="E3" s="9" t="s">
        <v>51</v>
      </c>
      <c r="F3" s="9" t="s">
        <v>51</v>
      </c>
      <c r="G3" s="9" t="s">
        <v>51</v>
      </c>
      <c r="H3" s="9" t="s">
        <v>51</v>
      </c>
      <c r="I3" s="9" t="s">
        <v>51</v>
      </c>
    </row>
    <row r="4" spans="2:9" x14ac:dyDescent="0.2">
      <c r="B4" s="8" t="s">
        <v>96</v>
      </c>
      <c r="C4" s="29">
        <v>2022</v>
      </c>
      <c r="D4" s="2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9" x14ac:dyDescent="0.2">
      <c r="B5" s="26" t="s">
        <v>30</v>
      </c>
    </row>
    <row r="6" spans="2:9" x14ac:dyDescent="0.2">
      <c r="B6" s="27" t="s">
        <v>31</v>
      </c>
      <c r="C6" s="31"/>
      <c r="D6" s="31"/>
    </row>
    <row r="7" spans="2:9" x14ac:dyDescent="0.2">
      <c r="B7" s="24" t="s">
        <v>46</v>
      </c>
      <c r="C7" s="67">
        <f>'Data Sheet'!J69</f>
        <v>3846</v>
      </c>
      <c r="D7" s="67">
        <f>'Data Sheet'!K69</f>
        <v>4678</v>
      </c>
      <c r="E7" s="28">
        <f>'Cash Flow Statement '!E34</f>
        <v>88387.249337204426</v>
      </c>
      <c r="F7" s="28">
        <f>'Cash Flow Statement '!F34</f>
        <v>103500.97693065478</v>
      </c>
      <c r="G7" s="28">
        <f>'Cash Flow Statement '!G34</f>
        <v>125492.19078727035</v>
      </c>
      <c r="H7" s="28">
        <f>'Cash Flow Statement '!H34</f>
        <v>149205.32190185136</v>
      </c>
      <c r="I7" s="28">
        <f>'Cash Flow Statement '!I34</f>
        <v>178598.09441548644</v>
      </c>
    </row>
    <row r="8" spans="2:9" x14ac:dyDescent="0.2">
      <c r="B8" s="24" t="s">
        <v>42</v>
      </c>
      <c r="C8" s="68">
        <f>'Data Sheet'!J67</f>
        <v>2236</v>
      </c>
      <c r="D8" s="68">
        <f>'Data Sheet'!K67</f>
        <v>3079</v>
      </c>
      <c r="E8" s="28">
        <f>E52/365*'income statement '!E5</f>
        <v>3397.0725775082942</v>
      </c>
      <c r="F8" s="28">
        <f>F52/365*'income statement '!F5</f>
        <v>4255.1235465049767</v>
      </c>
      <c r="G8" s="28">
        <f>G52/365*'income statement '!G5</f>
        <v>4998.9663837089565</v>
      </c>
      <c r="H8" s="28">
        <f>H52/365*'income statement '!H5</f>
        <v>6063.0687837089563</v>
      </c>
      <c r="I8" s="28">
        <f>I52/365*'income statement '!I5</f>
        <v>7237.0970664958213</v>
      </c>
    </row>
    <row r="9" spans="2:9" x14ac:dyDescent="0.2">
      <c r="B9" s="24" t="s">
        <v>43</v>
      </c>
      <c r="C9" s="68">
        <f>'Data Sheet'!J68</f>
        <v>4096</v>
      </c>
      <c r="D9" s="68">
        <f>'Data Sheet'!K68</f>
        <v>4251</v>
      </c>
      <c r="E9" s="28">
        <f>E53/365*'income statement '!E8</f>
        <v>5401.4031100001084</v>
      </c>
      <c r="F9" s="28">
        <f>F53/365*'income statement '!F8</f>
        <v>6305.175937084985</v>
      </c>
      <c r="G9" s="28">
        <f>G53/365*'income statement '!G8</f>
        <v>7673.2000227765448</v>
      </c>
      <c r="H9" s="28">
        <f>H53/365*'income statement '!H8</f>
        <v>9143.9719547647601</v>
      </c>
      <c r="I9" s="28">
        <f>I53/365*'income statement '!I8</f>
        <v>11011.184769177258</v>
      </c>
    </row>
    <row r="10" spans="2:9" x14ac:dyDescent="0.2">
      <c r="B10" s="24" t="s">
        <v>44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</row>
    <row r="11" spans="2:9" x14ac:dyDescent="0.2">
      <c r="B11" s="27" t="s">
        <v>45</v>
      </c>
      <c r="C11" s="70">
        <f>SUM(C7:C10)</f>
        <v>10178</v>
      </c>
      <c r="D11" s="70">
        <f>SUM(D7:D10)</f>
        <v>12008</v>
      </c>
      <c r="E11" s="71">
        <f t="shared" ref="E11:I11" si="1">SUM(E7:E10)</f>
        <v>97185.725024712825</v>
      </c>
      <c r="F11" s="71">
        <f t="shared" si="1"/>
        <v>114061.27641424476</v>
      </c>
      <c r="G11" s="71">
        <f t="shared" si="1"/>
        <v>138164.35719375586</v>
      </c>
      <c r="H11" s="71">
        <f t="shared" si="1"/>
        <v>164412.3626403251</v>
      </c>
      <c r="I11" s="71">
        <f t="shared" si="1"/>
        <v>196846.37625115953</v>
      </c>
    </row>
    <row r="12" spans="2:9" x14ac:dyDescent="0.2">
      <c r="C12" s="33"/>
      <c r="D12" s="33"/>
    </row>
    <row r="13" spans="2:9" x14ac:dyDescent="0.2">
      <c r="B13" s="23" t="s">
        <v>91</v>
      </c>
      <c r="C13" s="32"/>
      <c r="D13" s="32"/>
    </row>
    <row r="14" spans="2:9" x14ac:dyDescent="0.2">
      <c r="B14" s="3" t="s">
        <v>92</v>
      </c>
      <c r="C14" s="68">
        <f>'Data Sheet'!J62</f>
        <v>51473</v>
      </c>
      <c r="D14" s="68">
        <f>'Data Sheet'!K62</f>
        <v>52678</v>
      </c>
      <c r="E14" s="72">
        <f>'PP&amp;E Sch'!D11</f>
        <v>79149.373784464027</v>
      </c>
      <c r="F14" s="72">
        <f>'PP&amp;E Sch'!E11</f>
        <v>107115.71055514243</v>
      </c>
      <c r="G14" s="72">
        <f>'PP&amp;E Sch'!F11</f>
        <v>136759.22186736355</v>
      </c>
      <c r="H14" s="72">
        <f>'PP&amp;E Sch'!G11</f>
        <v>168175.62726083471</v>
      </c>
      <c r="I14" s="72">
        <f>'PP&amp;E Sch'!H11</f>
        <v>201538.06157952911</v>
      </c>
    </row>
    <row r="15" spans="2:9" x14ac:dyDescent="0.2">
      <c r="B15" s="3" t="s">
        <v>81</v>
      </c>
      <c r="C15" s="68">
        <f>'Data Sheet'!J63</f>
        <v>1313</v>
      </c>
      <c r="D15" s="68">
        <f>'Data Sheet'!K63</f>
        <v>1132</v>
      </c>
      <c r="E15" s="28">
        <f>AVERAGE(C15:D15)</f>
        <v>1222.5</v>
      </c>
      <c r="F15" s="28">
        <f t="shared" ref="F15:I15" si="2">AVERAGE(D15:E15)</f>
        <v>1177.25</v>
      </c>
      <c r="G15" s="28">
        <f t="shared" si="2"/>
        <v>1199.875</v>
      </c>
      <c r="H15" s="28">
        <f t="shared" si="2"/>
        <v>1188.5625</v>
      </c>
      <c r="I15" s="28">
        <f t="shared" si="2"/>
        <v>1194.21875</v>
      </c>
    </row>
    <row r="16" spans="2:9" x14ac:dyDescent="0.2">
      <c r="B16" s="3" t="s">
        <v>82</v>
      </c>
      <c r="C16" s="68">
        <f>'Data Sheet'!J64</f>
        <v>3521</v>
      </c>
      <c r="D16" s="68">
        <f>'Data Sheet'!K64</f>
        <v>2882</v>
      </c>
      <c r="E16" s="28">
        <f>D16*(1.15)</f>
        <v>3314.2999999999997</v>
      </c>
      <c r="F16" s="28">
        <f t="shared" ref="F16:I16" si="3">E16*(1.15)</f>
        <v>3811.4449999999993</v>
      </c>
      <c r="G16" s="28">
        <f t="shared" si="3"/>
        <v>4383.1617499999984</v>
      </c>
      <c r="H16" s="28">
        <f t="shared" si="3"/>
        <v>5040.6360124999974</v>
      </c>
      <c r="I16" s="28">
        <f t="shared" si="3"/>
        <v>5796.7314143749963</v>
      </c>
    </row>
    <row r="17" spans="2:9" x14ac:dyDescent="0.2">
      <c r="B17" s="3" t="s">
        <v>83</v>
      </c>
      <c r="C17" s="68">
        <f>'Data Sheet'!J65-C11</f>
        <v>4021</v>
      </c>
      <c r="D17" s="68">
        <f>'Data Sheet'!K65-D11</f>
        <v>4377</v>
      </c>
      <c r="E17" s="28">
        <f>AVERAGE(C17:D17)</f>
        <v>4199</v>
      </c>
      <c r="F17" s="28">
        <f t="shared" ref="F17:I17" si="4">AVERAGE(D17:E17)</f>
        <v>4288</v>
      </c>
      <c r="G17" s="28">
        <f t="shared" si="4"/>
        <v>4243.5</v>
      </c>
      <c r="H17" s="28">
        <f t="shared" si="4"/>
        <v>4265.75</v>
      </c>
      <c r="I17" s="28">
        <f t="shared" si="4"/>
        <v>4254.625</v>
      </c>
    </row>
    <row r="18" spans="2:9" x14ac:dyDescent="0.2">
      <c r="B18" s="23" t="s">
        <v>93</v>
      </c>
      <c r="C18" s="70">
        <f>SUM(C14:C17)</f>
        <v>60328</v>
      </c>
      <c r="D18" s="70">
        <f t="shared" ref="D18" si="5">SUM(D14:D17)</f>
        <v>61069</v>
      </c>
      <c r="E18" s="71">
        <f t="shared" ref="E18" si="6">SUM(E14:E17)</f>
        <v>87885.17378446403</v>
      </c>
      <c r="F18" s="71">
        <f t="shared" ref="F18" si="7">SUM(F14:F17)</f>
        <v>116392.40555514242</v>
      </c>
      <c r="G18" s="71">
        <f t="shared" ref="G18" si="8">SUM(G14:G17)</f>
        <v>146585.75861736355</v>
      </c>
      <c r="H18" s="71">
        <f t="shared" ref="H18" si="9">SUM(H14:H17)</f>
        <v>178670.57577333471</v>
      </c>
      <c r="I18" s="71">
        <f t="shared" ref="I18" si="10">SUM(I14:I17)</f>
        <v>212783.63674390409</v>
      </c>
    </row>
    <row r="19" spans="2:9" x14ac:dyDescent="0.2">
      <c r="B19"/>
      <c r="C19" s="33"/>
      <c r="D19" s="33"/>
    </row>
    <row r="20" spans="2:9" ht="16.5" customHeight="1" x14ac:dyDescent="0.2">
      <c r="B20" s="10" t="s">
        <v>94</v>
      </c>
      <c r="C20" s="73">
        <f>C18+C11</f>
        <v>70506</v>
      </c>
      <c r="D20" s="73">
        <f t="shared" ref="D20:I20" si="11">D18+D11</f>
        <v>73077</v>
      </c>
      <c r="E20" s="74">
        <f t="shared" si="11"/>
        <v>185070.89880917687</v>
      </c>
      <c r="F20" s="74">
        <f t="shared" si="11"/>
        <v>230453.68196938717</v>
      </c>
      <c r="G20" s="74">
        <f t="shared" si="11"/>
        <v>284750.11581111944</v>
      </c>
      <c r="H20" s="74">
        <f t="shared" si="11"/>
        <v>343082.93841365981</v>
      </c>
      <c r="I20" s="74">
        <f t="shared" si="11"/>
        <v>409630.01299506362</v>
      </c>
    </row>
    <row r="21" spans="2:9" ht="16.5" customHeight="1" x14ac:dyDescent="0.2">
      <c r="B21" s="10"/>
      <c r="C21" s="34"/>
      <c r="D21" s="34"/>
    </row>
    <row r="22" spans="2:9" ht="16.5" customHeight="1" x14ac:dyDescent="0.2">
      <c r="B22" s="26" t="s">
        <v>97</v>
      </c>
      <c r="C22" s="33"/>
      <c r="D22" s="33"/>
    </row>
    <row r="23" spans="2:9" x14ac:dyDescent="0.2">
      <c r="B23" s="27" t="s">
        <v>33</v>
      </c>
      <c r="C23" s="33"/>
      <c r="D23" s="33"/>
    </row>
    <row r="24" spans="2:9" x14ac:dyDescent="0.2">
      <c r="B24" s="3" t="s">
        <v>84</v>
      </c>
      <c r="C24" s="68">
        <v>0</v>
      </c>
      <c r="D24" s="68">
        <v>98</v>
      </c>
      <c r="E24" s="40">
        <f>E55*'income statement '!E14</f>
        <v>61.737185673176249</v>
      </c>
      <c r="F24" s="40">
        <f>F55*'income statement '!F14</f>
        <v>108.48346710585861</v>
      </c>
      <c r="G24" s="40">
        <f>G55*'income statement '!G14</f>
        <v>109.80520065878794</v>
      </c>
      <c r="H24" s="40">
        <f>H55*'income statement '!H14</f>
        <v>144.07052072466669</v>
      </c>
      <c r="I24" s="40">
        <f>I55*'income statement '!I14</f>
        <v>165.52584811308003</v>
      </c>
    </row>
    <row r="25" spans="2:9" x14ac:dyDescent="0.2">
      <c r="B25" s="24" t="s">
        <v>34</v>
      </c>
      <c r="C25" s="68">
        <v>9068</v>
      </c>
      <c r="D25" s="68">
        <v>9574</v>
      </c>
      <c r="E25" s="28">
        <f>E54/365*'income statement '!E8</f>
        <v>12053.078371011883</v>
      </c>
      <c r="F25" s="28">
        <f>F54/365*'income statement '!F8</f>
        <v>14132.341768323235</v>
      </c>
      <c r="G25" s="28">
        <f>G54/365*'income statement '!G8</f>
        <v>17159.785911837324</v>
      </c>
      <c r="H25" s="28">
        <f>H54/365*'income statement '!H8</f>
        <v>20471.806947409576</v>
      </c>
      <c r="I25" s="28">
        <f>I54/365*'income statement '!I8</f>
        <v>24638.324823102947</v>
      </c>
    </row>
    <row r="26" spans="2:9" x14ac:dyDescent="0.2">
      <c r="B26" s="24" t="s">
        <v>102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</row>
    <row r="27" spans="2:9" x14ac:dyDescent="0.2">
      <c r="B27" s="24" t="s">
        <v>36</v>
      </c>
      <c r="C27" s="39">
        <f>'Debt Sch'!B16</f>
        <v>0</v>
      </c>
      <c r="D27" s="39">
        <v>0</v>
      </c>
      <c r="E27" s="39">
        <f>'Debt Sch'!D16</f>
        <v>0</v>
      </c>
      <c r="F27" s="39">
        <f>'Debt Sch'!E16</f>
        <v>0</v>
      </c>
      <c r="G27" s="39">
        <f>'Debt Sch'!F16</f>
        <v>0</v>
      </c>
      <c r="H27" s="39">
        <f>'Debt Sch'!G16</f>
        <v>0</v>
      </c>
      <c r="I27" s="39">
        <f>'Debt Sch'!H16</f>
        <v>0</v>
      </c>
    </row>
    <row r="28" spans="2:9" x14ac:dyDescent="0.2">
      <c r="B28" s="3" t="s">
        <v>85</v>
      </c>
      <c r="C28" s="68">
        <v>11308</v>
      </c>
      <c r="D28" s="68">
        <v>11762</v>
      </c>
      <c r="E28" s="28">
        <f>E56*'income statement '!E14</f>
        <v>14890.875635008075</v>
      </c>
      <c r="F28" s="28">
        <f>F56*'income statement '!F14</f>
        <v>17402.145865809976</v>
      </c>
      <c r="G28" s="28">
        <f>G56*'income statement '!G14</f>
        <v>21162.412122133341</v>
      </c>
      <c r="H28" s="28">
        <f>H56*'income statement '!H14</f>
        <v>25226.900540295646</v>
      </c>
      <c r="I28" s="28">
        <f>I56*'income statement '!I14</f>
        <v>30373.049525203121</v>
      </c>
    </row>
    <row r="29" spans="2:9" x14ac:dyDescent="0.2">
      <c r="B29" s="27" t="s">
        <v>47</v>
      </c>
      <c r="C29" s="70">
        <f t="shared" ref="C29:I29" si="12">SUM(C24:C28)</f>
        <v>20376</v>
      </c>
      <c r="D29" s="70">
        <f t="shared" si="12"/>
        <v>21434</v>
      </c>
      <c r="E29" s="71">
        <f t="shared" si="12"/>
        <v>27005.691191693135</v>
      </c>
      <c r="F29" s="71">
        <f t="shared" si="12"/>
        <v>31642.971101239069</v>
      </c>
      <c r="G29" s="71">
        <f t="shared" si="12"/>
        <v>38432.003234629454</v>
      </c>
      <c r="H29" s="71">
        <f t="shared" si="12"/>
        <v>45842.778008429887</v>
      </c>
      <c r="I29" s="71">
        <f t="shared" si="12"/>
        <v>55176.900196419148</v>
      </c>
    </row>
    <row r="30" spans="2:9" x14ac:dyDescent="0.2">
      <c r="B30" s="27"/>
      <c r="C30" s="34"/>
      <c r="D30" s="34"/>
    </row>
    <row r="31" spans="2:9" ht="14" customHeight="1" x14ac:dyDescent="0.2">
      <c r="B31" s="27" t="s">
        <v>98</v>
      </c>
      <c r="C31" s="33"/>
      <c r="D31" s="33"/>
    </row>
    <row r="32" spans="2:9" ht="14" customHeight="1" x14ac:dyDescent="0.2">
      <c r="B32" s="3" t="s">
        <v>86</v>
      </c>
      <c r="C32" s="68">
        <v>0</v>
      </c>
      <c r="D32" s="68">
        <v>0</v>
      </c>
      <c r="E32" s="59">
        <f>'Debt Sch'!D15</f>
        <v>0</v>
      </c>
      <c r="F32" s="59">
        <f>'Debt Sch'!E15</f>
        <v>0</v>
      </c>
      <c r="G32" s="59">
        <f>'Debt Sch'!F15</f>
        <v>0</v>
      </c>
      <c r="H32" s="59">
        <f>'Debt Sch'!G15</f>
        <v>0</v>
      </c>
      <c r="I32" s="59">
        <f>'Debt Sch'!H15</f>
        <v>0</v>
      </c>
    </row>
    <row r="33" spans="2:12" x14ac:dyDescent="0.2">
      <c r="B33" s="3" t="s">
        <v>87</v>
      </c>
      <c r="C33" s="68">
        <v>26</v>
      </c>
      <c r="D33" s="68">
        <v>218</v>
      </c>
      <c r="E33" s="28">
        <f>AVERAGE(C33:D33)</f>
        <v>122</v>
      </c>
      <c r="F33" s="28">
        <f t="shared" ref="F33:I33" si="13">AVERAGE(D33:E33)</f>
        <v>170</v>
      </c>
      <c r="G33" s="28">
        <f t="shared" si="13"/>
        <v>146</v>
      </c>
      <c r="H33" s="28">
        <f t="shared" si="13"/>
        <v>158</v>
      </c>
      <c r="I33" s="28">
        <f t="shared" si="13"/>
        <v>152</v>
      </c>
    </row>
    <row r="34" spans="2:12" x14ac:dyDescent="0.2">
      <c r="B34" s="3" t="s">
        <v>88</v>
      </c>
      <c r="C34" s="68">
        <v>1043</v>
      </c>
      <c r="D34" s="68">
        <v>1121</v>
      </c>
      <c r="E34" s="28">
        <f>E57*'income statement '!E14</f>
        <v>1396.226372135475</v>
      </c>
      <c r="F34" s="28">
        <f>F57*'income statement '!F14</f>
        <v>1645.0866018707891</v>
      </c>
      <c r="G34" s="28">
        <f>G57*'income statement '!G14</f>
        <v>1992.4041826368664</v>
      </c>
      <c r="H34" s="28">
        <f>H57*'income statement '!H14</f>
        <v>2379.9256330021431</v>
      </c>
      <c r="I34" s="28">
        <f>I57*'income statement '!I14</f>
        <v>2862.4926223217462</v>
      </c>
    </row>
    <row r="35" spans="2:12" x14ac:dyDescent="0.2">
      <c r="B35" s="23" t="s">
        <v>89</v>
      </c>
      <c r="C35" s="70">
        <f>SUM(C32:C34)</f>
        <v>1069</v>
      </c>
      <c r="D35" s="70">
        <f t="shared" ref="D35" si="14">SUM(D32:D34)</f>
        <v>1339</v>
      </c>
      <c r="E35" s="71">
        <f t="shared" ref="E35" si="15">SUM(E32:E34)</f>
        <v>1518.226372135475</v>
      </c>
      <c r="F35" s="71">
        <f t="shared" ref="F35" si="16">SUM(F32:F34)</f>
        <v>1815.0866018707891</v>
      </c>
      <c r="G35" s="71">
        <f t="shared" ref="G35" si="17">SUM(G32:G34)</f>
        <v>2138.4041826368666</v>
      </c>
      <c r="H35" s="71">
        <f t="shared" ref="H35" si="18">SUM(H32:H34)</f>
        <v>2537.9256330021431</v>
      </c>
      <c r="I35" s="71">
        <f t="shared" ref="I35" si="19">SUM(I32:I34)</f>
        <v>3014.4926223217462</v>
      </c>
      <c r="K35" s="60"/>
      <c r="L35" s="60"/>
    </row>
    <row r="36" spans="2:12" x14ac:dyDescent="0.2">
      <c r="B36"/>
      <c r="C36" s="33"/>
      <c r="D36" s="33"/>
    </row>
    <row r="37" spans="2:12" ht="11.5" customHeight="1" x14ac:dyDescent="0.2">
      <c r="B37" s="23" t="s">
        <v>90</v>
      </c>
      <c r="C37" s="73">
        <f>C29+C35</f>
        <v>21445</v>
      </c>
      <c r="D37" s="73">
        <f t="shared" ref="D37:I37" si="20">D29+D35</f>
        <v>22773</v>
      </c>
      <c r="E37" s="74">
        <f>E29+E35</f>
        <v>28523.917563828611</v>
      </c>
      <c r="F37" s="74">
        <f t="shared" si="20"/>
        <v>33458.057703109858</v>
      </c>
      <c r="G37" s="74">
        <f t="shared" si="20"/>
        <v>40570.407417266324</v>
      </c>
      <c r="H37" s="74">
        <f t="shared" si="20"/>
        <v>48380.703641432032</v>
      </c>
      <c r="I37" s="74">
        <f t="shared" si="20"/>
        <v>58191.392818740896</v>
      </c>
    </row>
    <row r="38" spans="2:12" ht="11.5" customHeight="1" x14ac:dyDescent="0.2">
      <c r="B38"/>
      <c r="C38" s="73"/>
      <c r="D38" s="73"/>
      <c r="E38" s="48"/>
      <c r="F38" s="60"/>
      <c r="G38" s="60"/>
      <c r="H38" s="60"/>
      <c r="I38" s="60"/>
    </row>
    <row r="39" spans="2:12" x14ac:dyDescent="0.2">
      <c r="B39" s="27" t="s">
        <v>38</v>
      </c>
      <c r="C39" s="75"/>
      <c r="D39" s="75"/>
      <c r="E39" s="48"/>
      <c r="F39" s="60"/>
      <c r="G39" s="60"/>
      <c r="H39" s="60"/>
      <c r="I39" s="60"/>
    </row>
    <row r="40" spans="2:12" x14ac:dyDescent="0.2">
      <c r="B40" s="24" t="s">
        <v>39</v>
      </c>
      <c r="C40" s="76">
        <f>'Data Sheet'!J57</f>
        <v>235</v>
      </c>
      <c r="D40" s="76">
        <f>'Data Sheet'!K57</f>
        <v>235</v>
      </c>
      <c r="E40" s="49">
        <v>6766</v>
      </c>
      <c r="F40" s="49">
        <v>6766</v>
      </c>
      <c r="G40" s="49">
        <v>6766</v>
      </c>
      <c r="H40" s="49">
        <v>6766</v>
      </c>
      <c r="I40" s="49">
        <v>6766</v>
      </c>
    </row>
    <row r="41" spans="2:12" x14ac:dyDescent="0.2">
      <c r="B41" s="24" t="s">
        <v>49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</row>
    <row r="42" spans="2:12" x14ac:dyDescent="0.2">
      <c r="B42" s="24" t="s">
        <v>48</v>
      </c>
      <c r="C42" s="76">
        <f>'Data Sheet'!J58</f>
        <v>48826</v>
      </c>
      <c r="D42" s="76">
        <f>'Data Sheet'!K58</f>
        <v>50069</v>
      </c>
      <c r="E42" s="48">
        <f>D42+'income statement '!E27</f>
        <v>66560.57286923693</v>
      </c>
      <c r="F42" s="48">
        <f>E42+'income statement '!F27</f>
        <v>87004.364090779083</v>
      </c>
      <c r="G42" s="48">
        <f>F42+'income statement '!G27</f>
        <v>111936.99391455496</v>
      </c>
      <c r="H42" s="48">
        <f>G42+'income statement '!H27</f>
        <v>141810.79040708081</v>
      </c>
      <c r="I42" s="48">
        <f>H42+'income statement '!I27</f>
        <v>177680.28039727747</v>
      </c>
    </row>
    <row r="43" spans="2:12" x14ac:dyDescent="0.2">
      <c r="B43" s="27" t="s">
        <v>40</v>
      </c>
      <c r="C43" s="77">
        <f>SUM(C40:C42)</f>
        <v>49061</v>
      </c>
      <c r="D43" s="77">
        <f>SUM(D40:D42)</f>
        <v>50304</v>
      </c>
      <c r="E43" s="47">
        <f t="shared" ref="E43:I43" si="21">SUM(E40:E42)</f>
        <v>73326.57286923693</v>
      </c>
      <c r="F43" s="47">
        <f t="shared" si="21"/>
        <v>93770.364090779083</v>
      </c>
      <c r="G43" s="47">
        <f t="shared" si="21"/>
        <v>118702.99391455496</v>
      </c>
      <c r="H43" s="47">
        <f t="shared" si="21"/>
        <v>148576.79040708081</v>
      </c>
      <c r="I43" s="47">
        <f t="shared" si="21"/>
        <v>184446.28039727747</v>
      </c>
    </row>
    <row r="44" spans="2:12" x14ac:dyDescent="0.2">
      <c r="B44" s="27"/>
      <c r="C44" s="34"/>
      <c r="D44" s="34"/>
    </row>
    <row r="45" spans="2:12" ht="3" customHeight="1" x14ac:dyDescent="0.2">
      <c r="C45" s="33"/>
      <c r="D45" s="33"/>
    </row>
    <row r="46" spans="2:12" x14ac:dyDescent="0.2">
      <c r="B46" s="10" t="s">
        <v>41</v>
      </c>
      <c r="C46" s="73">
        <f>C43+C37</f>
        <v>70506</v>
      </c>
      <c r="D46" s="73">
        <f t="shared" ref="D46:I46" si="22">D43+D37</f>
        <v>73077</v>
      </c>
      <c r="E46" s="74">
        <f t="shared" si="22"/>
        <v>101850.49043306554</v>
      </c>
      <c r="F46" s="74">
        <f t="shared" si="22"/>
        <v>127228.42179388893</v>
      </c>
      <c r="G46" s="74">
        <f t="shared" si="22"/>
        <v>159273.40133182128</v>
      </c>
      <c r="H46" s="74">
        <f t="shared" si="22"/>
        <v>196957.49404851283</v>
      </c>
      <c r="I46" s="74">
        <f t="shared" si="22"/>
        <v>242637.67321601836</v>
      </c>
    </row>
    <row r="47" spans="2:12" x14ac:dyDescent="0.2">
      <c r="C47" s="35"/>
      <c r="D47" s="35"/>
    </row>
    <row r="48" spans="2:12" x14ac:dyDescent="0.2">
      <c r="B48" s="5" t="s">
        <v>95</v>
      </c>
      <c r="C48" s="36" t="b">
        <f t="shared" ref="C48:I48" si="23">C46=C20</f>
        <v>1</v>
      </c>
      <c r="D48" s="36" t="b">
        <f t="shared" si="23"/>
        <v>1</v>
      </c>
      <c r="E48" s="36" t="b">
        <f t="shared" si="23"/>
        <v>0</v>
      </c>
      <c r="F48" s="36" t="b">
        <f t="shared" si="23"/>
        <v>0</v>
      </c>
      <c r="G48" s="36" t="b">
        <f t="shared" si="23"/>
        <v>0</v>
      </c>
      <c r="H48" s="36" t="b">
        <f t="shared" si="23"/>
        <v>0</v>
      </c>
      <c r="I48" s="36" t="b">
        <f t="shared" si="23"/>
        <v>0</v>
      </c>
    </row>
    <row r="49" spans="2:9" x14ac:dyDescent="0.2">
      <c r="C49" s="37"/>
      <c r="D49" s="37"/>
    </row>
    <row r="51" spans="2:9" x14ac:dyDescent="0.2">
      <c r="B51" s="10" t="s">
        <v>52</v>
      </c>
    </row>
    <row r="52" spans="2:9" x14ac:dyDescent="0.2">
      <c r="B52" s="5" t="s">
        <v>100</v>
      </c>
      <c r="C52" s="42">
        <f>C8/('income statement '!C5/365)</f>
        <v>15.56152995461999</v>
      </c>
      <c r="D52" s="42">
        <f>D8/('income statement '!D5/365)</f>
        <v>18.551254539451964</v>
      </c>
      <c r="E52" s="43">
        <f>AVERAGE(C52:D52)</f>
        <v>17.056392247035976</v>
      </c>
      <c r="F52" s="43">
        <f t="shared" ref="F52:I52" si="24">AVERAGE(D52:E52)</f>
        <v>17.80382339324397</v>
      </c>
      <c r="G52" s="43">
        <f t="shared" si="24"/>
        <v>17.430107820139973</v>
      </c>
      <c r="H52" s="43">
        <f t="shared" si="24"/>
        <v>17.61696560669197</v>
      </c>
      <c r="I52" s="43">
        <f t="shared" si="24"/>
        <v>17.523536713415972</v>
      </c>
    </row>
    <row r="53" spans="2:9" x14ac:dyDescent="0.2">
      <c r="B53" s="5" t="s">
        <v>99</v>
      </c>
      <c r="C53" s="42">
        <f>C9/('income statement '!C8/365)</f>
        <v>51.358296118172447</v>
      </c>
      <c r="D53" s="42">
        <f>D9/('income statement '!D8/365)</f>
        <v>43.669331006726523</v>
      </c>
      <c r="E53" s="43">
        <f t="shared" ref="E53:I53" si="25">AVERAGE(C53:D53)</f>
        <v>47.513813562449485</v>
      </c>
      <c r="F53" s="43">
        <f t="shared" si="25"/>
        <v>45.591572284588004</v>
      </c>
      <c r="G53" s="43">
        <f t="shared" si="25"/>
        <v>46.552692923518748</v>
      </c>
      <c r="H53" s="43">
        <f t="shared" si="25"/>
        <v>46.07213260405338</v>
      </c>
      <c r="I53" s="43">
        <f t="shared" si="25"/>
        <v>46.312412763786064</v>
      </c>
    </row>
    <row r="54" spans="2:9" x14ac:dyDescent="0.2">
      <c r="B54" s="5" t="s">
        <v>101</v>
      </c>
      <c r="C54" s="42">
        <f>C25/('income statement '!C8/365)</f>
        <v>113.70044658193059</v>
      </c>
      <c r="D54" s="42">
        <f>D25/('income statement '!D8/365)</f>
        <v>98.351017421406667</v>
      </c>
      <c r="E54" s="43">
        <f t="shared" ref="E54:I54" si="26">AVERAGE(C54:D54)</f>
        <v>106.02573200166863</v>
      </c>
      <c r="F54" s="43">
        <f t="shared" si="26"/>
        <v>102.18837471153765</v>
      </c>
      <c r="G54" s="43">
        <f t="shared" si="26"/>
        <v>104.10705335660313</v>
      </c>
      <c r="H54" s="43">
        <f t="shared" si="26"/>
        <v>103.14771403407039</v>
      </c>
      <c r="I54" s="43">
        <f t="shared" si="26"/>
        <v>103.62738369533676</v>
      </c>
    </row>
    <row r="55" spans="2:9" x14ac:dyDescent="0.2">
      <c r="B55" t="s">
        <v>103</v>
      </c>
      <c r="C55" s="78">
        <f>C24/'income statement '!C14</f>
        <v>0</v>
      </c>
      <c r="D55" s="78">
        <f>D24/'income statement '!D14</f>
        <v>8.8679757488010127E-3</v>
      </c>
      <c r="E55" s="43">
        <f>AVERAGE(C55:D55)</f>
        <v>4.4339878744005063E-3</v>
      </c>
      <c r="F55" s="43">
        <f t="shared" ref="F55:I55" si="27">AVERAGE(D55:E55)</f>
        <v>6.6509818116007591E-3</v>
      </c>
      <c r="G55" s="43">
        <f t="shared" si="27"/>
        <v>5.5424848430006331E-3</v>
      </c>
      <c r="H55" s="43">
        <f t="shared" si="27"/>
        <v>6.0967333273006961E-3</v>
      </c>
      <c r="I55" s="43">
        <f t="shared" si="27"/>
        <v>5.8196090851506642E-3</v>
      </c>
    </row>
    <row r="56" spans="2:9" x14ac:dyDescent="0.2">
      <c r="B56" t="s">
        <v>104</v>
      </c>
      <c r="C56" s="78">
        <f>C28/'income statement '!C14</f>
        <v>1.074598498527036</v>
      </c>
      <c r="D56" s="78">
        <f>D28/'income statement '!D14</f>
        <v>1.064338068953036</v>
      </c>
      <c r="E56" s="78">
        <f>AVERAGE(C56:D56)</f>
        <v>1.069468283740036</v>
      </c>
      <c r="F56" s="78">
        <f t="shared" ref="F56:I56" si="28">AVERAGE(D56:E56)</f>
        <v>1.066903176346536</v>
      </c>
      <c r="G56" s="78">
        <f t="shared" si="28"/>
        <v>1.068185730043286</v>
      </c>
      <c r="H56" s="78">
        <f t="shared" si="28"/>
        <v>1.067544453194911</v>
      </c>
      <c r="I56" s="78">
        <f t="shared" si="28"/>
        <v>1.0678650916190984</v>
      </c>
    </row>
    <row r="57" spans="2:9" x14ac:dyDescent="0.2">
      <c r="B57" t="s">
        <v>105</v>
      </c>
      <c r="C57" s="78">
        <f>C34/'income statement '!C14</f>
        <v>9.9116221609807084E-2</v>
      </c>
      <c r="D57" s="78">
        <f>D34/'income statement '!D14</f>
        <v>0.10143878382046874</v>
      </c>
      <c r="E57" s="43">
        <f>AVERAGE(C57:D57)</f>
        <v>0.10027750271513791</v>
      </c>
      <c r="F57" s="43">
        <f t="shared" ref="F57:I57" si="29">AVERAGE(D57:E57)</f>
        <v>0.10085814326780332</v>
      </c>
      <c r="G57" s="43">
        <f t="shared" si="29"/>
        <v>0.10056782299147062</v>
      </c>
      <c r="H57" s="43">
        <f t="shared" si="29"/>
        <v>0.10071298312963697</v>
      </c>
      <c r="I57" s="43">
        <f t="shared" si="29"/>
        <v>0.1006404030605538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AF4B-CC34-450D-95BB-74E73F1439DD}">
  <sheetPr>
    <tabColor rgb="FF7030A0"/>
  </sheetPr>
  <dimension ref="B2:L60"/>
  <sheetViews>
    <sheetView showGridLines="0" workbookViewId="0">
      <pane ySplit="4" topLeftCell="A5" activePane="bottomLeft" state="frozen"/>
      <selection pane="bottomLeft" activeCell="B2" sqref="B2:I2"/>
    </sheetView>
  </sheetViews>
  <sheetFormatPr baseColWidth="10" defaultColWidth="8.83203125" defaultRowHeight="15" x14ac:dyDescent="0.2"/>
  <cols>
    <col min="1" max="1" width="1.83203125" customWidth="1"/>
    <col min="2" max="2" width="43.83203125" style="6" customWidth="1"/>
    <col min="3" max="3" width="11.83203125" style="30" bestFit="1" customWidth="1"/>
    <col min="4" max="4" width="13.1640625" style="30" customWidth="1"/>
    <col min="5" max="5" width="11.1640625" style="5" bestFit="1" customWidth="1"/>
    <col min="6" max="6" width="11.5" style="5" bestFit="1" customWidth="1"/>
    <col min="7" max="7" width="12.5" style="5" customWidth="1"/>
    <col min="8" max="8" width="11.5" style="5" customWidth="1"/>
    <col min="9" max="9" width="11.5" style="5" bestFit="1" customWidth="1"/>
    <col min="10" max="10" width="31" customWidth="1"/>
  </cols>
  <sheetData>
    <row r="2" spans="2:10" ht="21" x14ac:dyDescent="0.25">
      <c r="B2" s="112" t="s">
        <v>171</v>
      </c>
      <c r="C2" s="112"/>
      <c r="D2" s="112"/>
      <c r="E2" s="112"/>
      <c r="F2" s="112"/>
      <c r="G2" s="112"/>
      <c r="H2" s="112"/>
      <c r="I2" s="112"/>
    </row>
    <row r="3" spans="2:10" x14ac:dyDescent="0.2">
      <c r="B3" s="8"/>
      <c r="C3" s="29" t="s">
        <v>50</v>
      </c>
      <c r="D3" s="29" t="s">
        <v>50</v>
      </c>
      <c r="E3" s="9" t="s">
        <v>51</v>
      </c>
      <c r="F3" s="9" t="s">
        <v>51</v>
      </c>
      <c r="G3" s="9" t="s">
        <v>51</v>
      </c>
      <c r="H3" s="9" t="s">
        <v>51</v>
      </c>
      <c r="I3" s="9" t="s">
        <v>51</v>
      </c>
      <c r="J3" s="41"/>
    </row>
    <row r="4" spans="2:10" x14ac:dyDescent="0.2">
      <c r="B4" s="38" t="s">
        <v>106</v>
      </c>
      <c r="C4" s="29">
        <v>2022</v>
      </c>
      <c r="D4" s="2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10" x14ac:dyDescent="0.2">
      <c r="B5" s="6" t="s">
        <v>53</v>
      </c>
    </row>
    <row r="6" spans="2:10" x14ac:dyDescent="0.2">
      <c r="B6" s="45" t="s">
        <v>19</v>
      </c>
      <c r="C6" s="51">
        <f>'income statement '!C27</f>
        <v>10151</v>
      </c>
      <c r="D6" s="51">
        <f>'income statement '!D27</f>
        <v>11358</v>
      </c>
      <c r="E6" s="50">
        <f>'income statement '!E27</f>
        <v>16491.572869236927</v>
      </c>
      <c r="F6" s="50">
        <f>'income statement '!F27</f>
        <v>20443.791221542149</v>
      </c>
      <c r="G6" s="50">
        <f>'income statement '!G27</f>
        <v>24932.629823775878</v>
      </c>
      <c r="H6" s="50">
        <f>'income statement '!H27</f>
        <v>29873.796492525857</v>
      </c>
      <c r="I6" s="50">
        <f>'income statement '!I27</f>
        <v>35869.489990196664</v>
      </c>
    </row>
    <row r="7" spans="2:10" x14ac:dyDescent="0.2">
      <c r="B7" s="6" t="s">
        <v>54</v>
      </c>
      <c r="C7" s="51"/>
      <c r="D7" s="51"/>
      <c r="E7" s="50"/>
      <c r="F7" s="50"/>
      <c r="G7" s="50"/>
      <c r="H7" s="50"/>
      <c r="I7" s="50"/>
    </row>
    <row r="8" spans="2:10" x14ac:dyDescent="0.2">
      <c r="B8" s="6" t="s">
        <v>20</v>
      </c>
      <c r="C8" s="51">
        <f>'income statement '!C32</f>
        <v>1091</v>
      </c>
      <c r="D8" s="51">
        <f>'income statement '!D32</f>
        <v>1137</v>
      </c>
      <c r="E8" s="50">
        <f>'PP&amp;E Sch'!D8</f>
        <v>1438.3237844640203</v>
      </c>
      <c r="F8" s="50">
        <f>'PP&amp;E Sch'!E8</f>
        <v>1681.6342706784121</v>
      </c>
      <c r="G8" s="50">
        <f>'PP&amp;E Sch'!F8</f>
        <v>2044.5736872211414</v>
      </c>
      <c r="H8" s="50">
        <f>'PP&amp;E Sch'!G8</f>
        <v>2437.5208872211415</v>
      </c>
      <c r="I8" s="50">
        <f>'PP&amp;E Sch'!H8</f>
        <v>2934.6055871319063</v>
      </c>
    </row>
    <row r="9" spans="2:10" x14ac:dyDescent="0.2">
      <c r="B9" s="6" t="s">
        <v>21</v>
      </c>
      <c r="C9" s="39">
        <f>'income statement '!C33</f>
        <v>0</v>
      </c>
      <c r="D9" s="39">
        <f>'income statement '!D33</f>
        <v>0</v>
      </c>
      <c r="E9" s="79">
        <f>'income statement '!E33</f>
        <v>0</v>
      </c>
      <c r="F9" s="79">
        <f>'income statement '!F33</f>
        <v>0</v>
      </c>
      <c r="G9" s="79">
        <f>'income statement '!G33</f>
        <v>0</v>
      </c>
      <c r="H9" s="79">
        <f>'income statement '!H33</f>
        <v>0</v>
      </c>
      <c r="I9" s="79">
        <f>'income statement '!I33</f>
        <v>0</v>
      </c>
    </row>
    <row r="10" spans="2:10" x14ac:dyDescent="0.2">
      <c r="B10" s="45" t="s">
        <v>55</v>
      </c>
      <c r="C10" s="51"/>
      <c r="D10" s="51"/>
      <c r="E10" s="50"/>
      <c r="F10" s="50"/>
      <c r="G10" s="50"/>
      <c r="H10" s="50"/>
      <c r="I10" s="50"/>
    </row>
    <row r="11" spans="2:10" x14ac:dyDescent="0.2">
      <c r="B11" s="6" t="s">
        <v>77</v>
      </c>
      <c r="C11" s="39">
        <f>'Data Sheet'!L112</f>
        <v>0</v>
      </c>
      <c r="D11" s="39">
        <f>'Data Sheet'!M112</f>
        <v>0</v>
      </c>
      <c r="E11" s="50">
        <f>'balances sheet'!D8-'balances sheet'!E8</f>
        <v>-318.07257750829422</v>
      </c>
      <c r="F11" s="50">
        <f>'balances sheet'!E8-'balances sheet'!F8</f>
        <v>-858.05096899668251</v>
      </c>
      <c r="G11" s="50">
        <f>'balances sheet'!F8-'balances sheet'!G8</f>
        <v>-743.8428372039798</v>
      </c>
      <c r="H11" s="50">
        <f>'balances sheet'!G8-'balances sheet'!H8</f>
        <v>-1064.1023999999998</v>
      </c>
      <c r="I11" s="50">
        <f>'balances sheet'!H8-'balances sheet'!I8</f>
        <v>-1174.028282786865</v>
      </c>
    </row>
    <row r="12" spans="2:10" x14ac:dyDescent="0.2">
      <c r="B12" s="6" t="s">
        <v>32</v>
      </c>
      <c r="C12" s="51">
        <f>'Data Sheet'!L113</f>
        <v>-758</v>
      </c>
      <c r="D12" s="51">
        <f>'Data Sheet'!M113</f>
        <v>-339</v>
      </c>
      <c r="E12" s="50">
        <f>'balances sheet'!D9-'balances sheet'!E9</f>
        <v>-1150.4031100001084</v>
      </c>
      <c r="F12" s="50">
        <f>'balances sheet'!E9-'balances sheet'!F9</f>
        <v>-903.77282708487655</v>
      </c>
      <c r="G12" s="50">
        <f>'balances sheet'!F9-'balances sheet'!G9</f>
        <v>-1368.0240856915598</v>
      </c>
      <c r="H12" s="50">
        <f>'balances sheet'!G9-'balances sheet'!H9</f>
        <v>-1470.7719319882153</v>
      </c>
      <c r="I12" s="50">
        <f>'balances sheet'!H9-'balances sheet'!I9</f>
        <v>-1867.2128144124981</v>
      </c>
    </row>
    <row r="13" spans="2:10" x14ac:dyDescent="0.2">
      <c r="B13" s="6" t="s">
        <v>34</v>
      </c>
      <c r="C13" s="39">
        <f>'Data Sheet'!L114</f>
        <v>0</v>
      </c>
      <c r="D13" s="39">
        <f>'Data Sheet'!M114</f>
        <v>0</v>
      </c>
      <c r="E13" s="50">
        <f>'balances sheet'!E25-'balances sheet'!D25</f>
        <v>2479.0783710118831</v>
      </c>
      <c r="F13" s="50">
        <f>'balances sheet'!F25-'balances sheet'!E25</f>
        <v>2079.2633973113516</v>
      </c>
      <c r="G13" s="50">
        <f>'balances sheet'!G25-'balances sheet'!F25</f>
        <v>3027.4441435140889</v>
      </c>
      <c r="H13" s="50">
        <f>'balances sheet'!H25-'balances sheet'!G25</f>
        <v>3312.021035572252</v>
      </c>
      <c r="I13" s="50">
        <f>'balances sheet'!I25-'balances sheet'!H25</f>
        <v>4166.517875693371</v>
      </c>
    </row>
    <row r="14" spans="2:10" x14ac:dyDescent="0.2">
      <c r="B14" s="45" t="s">
        <v>107</v>
      </c>
      <c r="C14" s="80">
        <f>SUM(C6:C13)</f>
        <v>10484</v>
      </c>
      <c r="D14" s="80">
        <f t="shared" ref="D14:I14" si="1">SUM(D6:D13)</f>
        <v>12156</v>
      </c>
      <c r="E14" s="81">
        <f t="shared" si="1"/>
        <v>18940.499337204426</v>
      </c>
      <c r="F14" s="81">
        <f t="shared" si="1"/>
        <v>22442.865093450357</v>
      </c>
      <c r="G14" s="81">
        <f t="shared" si="1"/>
        <v>27892.780731615567</v>
      </c>
      <c r="H14" s="81">
        <f t="shared" si="1"/>
        <v>33088.464083331033</v>
      </c>
      <c r="I14" s="81">
        <f t="shared" si="1"/>
        <v>39929.372355822576</v>
      </c>
    </row>
    <row r="15" spans="2:10" x14ac:dyDescent="0.2">
      <c r="C15" s="51"/>
      <c r="D15" s="51"/>
      <c r="E15" s="50"/>
      <c r="F15" s="50"/>
      <c r="G15" s="50"/>
      <c r="H15" s="50"/>
      <c r="I15" s="50"/>
    </row>
    <row r="16" spans="2:10" x14ac:dyDescent="0.2">
      <c r="B16" s="6" t="s">
        <v>56</v>
      </c>
      <c r="C16" s="51"/>
      <c r="D16" s="51"/>
      <c r="E16" s="50"/>
      <c r="F16" s="50"/>
      <c r="G16" s="50"/>
      <c r="H16" s="50"/>
      <c r="I16" s="50"/>
    </row>
    <row r="17" spans="2:12" x14ac:dyDescent="0.2">
      <c r="B17" s="6" t="s">
        <v>116</v>
      </c>
      <c r="C17" s="51">
        <f>'Data Sheet'!N126</f>
        <v>-49750</v>
      </c>
      <c r="D17" s="51">
        <f>'Data Sheet'!O126</f>
        <v>-23841</v>
      </c>
      <c r="E17" s="50">
        <f>-'PP&amp;E Sch'!D6</f>
        <v>-25033.05</v>
      </c>
      <c r="F17" s="50">
        <f>-'PP&amp;E Sch'!E6</f>
        <v>-26284.702499999999</v>
      </c>
      <c r="G17" s="50">
        <f>-'PP&amp;E Sch'!F6</f>
        <v>-27598.937625000002</v>
      </c>
      <c r="H17" s="50">
        <f>-'PP&amp;E Sch'!G6</f>
        <v>-28978.884506250004</v>
      </c>
      <c r="I17" s="50">
        <f>-'PP&amp;E Sch'!H6</f>
        <v>-30427.828731562506</v>
      </c>
      <c r="J17" s="25"/>
      <c r="K17" s="25"/>
      <c r="L17" s="25"/>
    </row>
    <row r="18" spans="2:12" x14ac:dyDescent="0.2">
      <c r="B18" s="6" t="s">
        <v>118</v>
      </c>
      <c r="C18" s="51">
        <f>C19-C17</f>
        <v>48022</v>
      </c>
      <c r="D18" s="51">
        <f t="shared" ref="D18" si="2">D19-D17</f>
        <v>22357</v>
      </c>
      <c r="E18" s="50">
        <f>AVERAGE(C18:D18)</f>
        <v>35189.5</v>
      </c>
      <c r="F18" s="50">
        <f t="shared" ref="F18:I18" si="3">AVERAGE(D18:E18)</f>
        <v>28773.25</v>
      </c>
      <c r="G18" s="50">
        <f t="shared" si="3"/>
        <v>31981.375</v>
      </c>
      <c r="H18" s="50">
        <f t="shared" si="3"/>
        <v>30377.3125</v>
      </c>
      <c r="I18" s="50">
        <f t="shared" si="3"/>
        <v>31179.34375</v>
      </c>
    </row>
    <row r="19" spans="2:12" x14ac:dyDescent="0.2">
      <c r="B19" s="45" t="s">
        <v>117</v>
      </c>
      <c r="C19" s="80">
        <f>'Data Sheet'!L122</f>
        <v>-1728</v>
      </c>
      <c r="D19" s="80">
        <f>'Data Sheet'!M122</f>
        <v>-1484</v>
      </c>
      <c r="E19" s="81">
        <f>SUM(E17:E18)</f>
        <v>10156.450000000001</v>
      </c>
      <c r="F19" s="81">
        <f t="shared" ref="F19:I19" si="4">SUM(F17:F18)</f>
        <v>2488.5475000000006</v>
      </c>
      <c r="G19" s="81">
        <f t="shared" si="4"/>
        <v>4382.4373749999977</v>
      </c>
      <c r="H19" s="81">
        <f t="shared" si="4"/>
        <v>1398.4279937499959</v>
      </c>
      <c r="I19" s="81">
        <f t="shared" si="4"/>
        <v>751.51501843749429</v>
      </c>
    </row>
    <row r="20" spans="2:12" x14ac:dyDescent="0.2">
      <c r="C20" s="51"/>
      <c r="D20" s="51"/>
      <c r="E20" s="50"/>
      <c r="F20" s="50"/>
      <c r="G20" s="50"/>
      <c r="H20" s="50"/>
      <c r="I20" s="50"/>
      <c r="J20" s="25"/>
    </row>
    <row r="21" spans="2:12" x14ac:dyDescent="0.2">
      <c r="B21" s="6" t="s">
        <v>57</v>
      </c>
      <c r="C21" s="51"/>
      <c r="D21" s="51"/>
      <c r="E21" s="50"/>
      <c r="F21" s="50"/>
      <c r="G21" s="50"/>
      <c r="H21" s="50"/>
      <c r="I21" s="50"/>
    </row>
    <row r="22" spans="2:12" x14ac:dyDescent="0.2">
      <c r="B22" s="46" t="s">
        <v>108</v>
      </c>
      <c r="C22" s="51">
        <f>'Data Sheet'!L135</f>
        <v>0</v>
      </c>
      <c r="D22" s="51">
        <f>'Data Sheet'!M135</f>
        <v>0</v>
      </c>
      <c r="E22" s="39">
        <f>'income statement '!E46</f>
        <v>0</v>
      </c>
      <c r="F22" s="39">
        <f>'income statement '!F46</f>
        <v>0</v>
      </c>
      <c r="G22" s="39">
        <f>'income statement '!G46</f>
        <v>0</v>
      </c>
      <c r="H22" s="39">
        <f>'income statement '!H46</f>
        <v>0</v>
      </c>
      <c r="I22" s="39">
        <f>'income statement '!I46</f>
        <v>0</v>
      </c>
    </row>
    <row r="23" spans="2:12" x14ac:dyDescent="0.2">
      <c r="B23" s="46" t="s">
        <v>109</v>
      </c>
      <c r="C23" s="51">
        <f>'Data Sheet'!L136</f>
        <v>55</v>
      </c>
      <c r="D23" s="51">
        <f>'Data Sheet'!M136</f>
        <v>286</v>
      </c>
      <c r="E23" s="50">
        <f>D23*(1-0.1)</f>
        <v>257.40000000000003</v>
      </c>
      <c r="F23" s="50">
        <f t="shared" ref="F23:I23" si="5">E23*(1-0.1)</f>
        <v>231.66000000000003</v>
      </c>
      <c r="G23" s="50">
        <f t="shared" si="5"/>
        <v>208.49400000000003</v>
      </c>
      <c r="H23" s="50">
        <f t="shared" si="5"/>
        <v>187.64460000000003</v>
      </c>
      <c r="I23" s="50">
        <f t="shared" si="5"/>
        <v>168.88014000000004</v>
      </c>
    </row>
    <row r="24" spans="2:12" x14ac:dyDescent="0.2">
      <c r="B24" s="46" t="s">
        <v>110</v>
      </c>
      <c r="C24" s="51">
        <f>'Data Sheet'!L137</f>
        <v>-55</v>
      </c>
      <c r="D24" s="51">
        <f>'Data Sheet'!M137</f>
        <v>-208</v>
      </c>
      <c r="E24" s="50">
        <f t="shared" ref="E24:I24" si="6">D24*(1-0.1)</f>
        <v>-187.20000000000002</v>
      </c>
      <c r="F24" s="50">
        <f t="shared" si="6"/>
        <v>-168.48000000000002</v>
      </c>
      <c r="G24" s="50">
        <f t="shared" si="6"/>
        <v>-151.63200000000003</v>
      </c>
      <c r="H24" s="50">
        <f t="shared" si="6"/>
        <v>-136.46880000000004</v>
      </c>
      <c r="I24" s="50">
        <f t="shared" si="6"/>
        <v>-122.82192000000005</v>
      </c>
    </row>
    <row r="25" spans="2:12" x14ac:dyDescent="0.2">
      <c r="B25" s="46" t="s">
        <v>111</v>
      </c>
      <c r="C25" s="51">
        <f>'Data Sheet'!L138</f>
        <v>-82</v>
      </c>
      <c r="D25" s="51">
        <f>'Data Sheet'!M138</f>
        <v>-88</v>
      </c>
      <c r="E25" s="50">
        <f t="shared" ref="E25:I25" si="7">D25*(1-0.1)</f>
        <v>-79.2</v>
      </c>
      <c r="F25" s="50">
        <f t="shared" si="7"/>
        <v>-71.28</v>
      </c>
      <c r="G25" s="50">
        <f t="shared" si="7"/>
        <v>-64.152000000000001</v>
      </c>
      <c r="H25" s="50">
        <f t="shared" si="7"/>
        <v>-57.736800000000002</v>
      </c>
      <c r="I25" s="50">
        <f t="shared" si="7"/>
        <v>-51.963120000000004</v>
      </c>
    </row>
    <row r="26" spans="2:12" x14ac:dyDescent="0.2">
      <c r="B26" s="46" t="s">
        <v>112</v>
      </c>
      <c r="C26" s="51">
        <f>'Data Sheet'!L139</f>
        <v>-7526</v>
      </c>
      <c r="D26" s="51">
        <f>'Data Sheet'!M139</f>
        <v>-8474</v>
      </c>
      <c r="E26" s="50">
        <f>D26*(1.05)</f>
        <v>-8897.7000000000007</v>
      </c>
      <c r="F26" s="50">
        <f t="shared" ref="F26:I26" si="8">E26*(1.05)</f>
        <v>-9342.5850000000009</v>
      </c>
      <c r="G26" s="50">
        <f t="shared" si="8"/>
        <v>-9809.7142500000009</v>
      </c>
      <c r="H26" s="50">
        <f t="shared" si="8"/>
        <v>-10300.199962500001</v>
      </c>
      <c r="I26" s="50">
        <f t="shared" si="8"/>
        <v>-10815.209960625001</v>
      </c>
    </row>
    <row r="27" spans="2:12" x14ac:dyDescent="0.2">
      <c r="B27" s="46" t="s">
        <v>113</v>
      </c>
      <c r="C27" s="51">
        <f>'Data Sheet'!L140</f>
        <v>-407</v>
      </c>
      <c r="D27" s="51">
        <f>'Data Sheet'!M140</f>
        <v>-467</v>
      </c>
      <c r="E27" s="50">
        <f>D27</f>
        <v>-467</v>
      </c>
      <c r="F27" s="50">
        <f t="shared" ref="F27:I27" si="9">E27</f>
        <v>-467</v>
      </c>
      <c r="G27" s="50">
        <f t="shared" si="9"/>
        <v>-467</v>
      </c>
      <c r="H27" s="50">
        <f t="shared" si="9"/>
        <v>-467</v>
      </c>
      <c r="I27" s="50">
        <f t="shared" si="9"/>
        <v>-467</v>
      </c>
    </row>
    <row r="28" spans="2:12" x14ac:dyDescent="0.2">
      <c r="B28" s="46" t="s">
        <v>114</v>
      </c>
      <c r="C28" s="39">
        <f>'Data Sheet'!L141</f>
        <v>0</v>
      </c>
      <c r="D28" s="39">
        <v>0</v>
      </c>
      <c r="E28" s="50"/>
      <c r="F28" s="50"/>
      <c r="G28" s="50"/>
      <c r="H28" s="50"/>
      <c r="I28" s="50"/>
    </row>
    <row r="29" spans="2:12" x14ac:dyDescent="0.2">
      <c r="B29" s="46" t="s">
        <v>115</v>
      </c>
      <c r="C29" s="51">
        <f>'Data Sheet'!L141</f>
        <v>0</v>
      </c>
      <c r="D29" s="51">
        <f>'Data Sheet'!M141</f>
        <v>-2</v>
      </c>
      <c r="E29" s="39">
        <f>'income statement '!E53</f>
        <v>0</v>
      </c>
      <c r="F29" s="39">
        <f>'income statement '!F53</f>
        <v>0</v>
      </c>
      <c r="G29" s="39">
        <f>'income statement '!G53</f>
        <v>0</v>
      </c>
      <c r="H29" s="39">
        <f>'income statement '!H53</f>
        <v>0</v>
      </c>
      <c r="I29" s="39">
        <f>'income statement '!I53</f>
        <v>0</v>
      </c>
    </row>
    <row r="30" spans="2:12" x14ac:dyDescent="0.2">
      <c r="B30" s="45" t="s">
        <v>119</v>
      </c>
      <c r="C30" s="80">
        <f>SUM(C22:C29)</f>
        <v>-8015</v>
      </c>
      <c r="D30" s="80">
        <f t="shared" ref="D30:I30" si="10">SUM(D22:D29)</f>
        <v>-8953</v>
      </c>
      <c r="E30" s="82">
        <f t="shared" si="10"/>
        <v>-9373.7000000000007</v>
      </c>
      <c r="F30" s="82">
        <f t="shared" si="10"/>
        <v>-9817.6850000000013</v>
      </c>
      <c r="G30" s="82">
        <f t="shared" si="10"/>
        <v>-10284.004250000002</v>
      </c>
      <c r="H30" s="82">
        <f t="shared" si="10"/>
        <v>-10773.7609625</v>
      </c>
      <c r="I30" s="82">
        <f t="shared" si="10"/>
        <v>-11288.114860625001</v>
      </c>
    </row>
    <row r="31" spans="2:12" x14ac:dyDescent="0.2">
      <c r="C31" s="51"/>
      <c r="D31" s="51"/>
      <c r="E31" s="50"/>
      <c r="F31" s="50"/>
      <c r="G31" s="50"/>
      <c r="H31" s="50"/>
      <c r="I31" s="50"/>
    </row>
    <row r="32" spans="2:12" x14ac:dyDescent="0.2">
      <c r="B32" s="46" t="s">
        <v>58</v>
      </c>
      <c r="C32" s="51">
        <f>C14+C19+C30</f>
        <v>741</v>
      </c>
      <c r="D32" s="51">
        <f t="shared" ref="D32:I32" si="11">D14+D19+D30</f>
        <v>1719</v>
      </c>
      <c r="E32" s="50">
        <f t="shared" si="11"/>
        <v>19723.249337204426</v>
      </c>
      <c r="F32" s="50">
        <f t="shared" si="11"/>
        <v>15113.727593450356</v>
      </c>
      <c r="G32" s="50">
        <f t="shared" si="11"/>
        <v>21991.213856615563</v>
      </c>
      <c r="H32" s="50">
        <f t="shared" si="11"/>
        <v>23713.131114581029</v>
      </c>
      <c r="I32" s="50">
        <f t="shared" si="11"/>
        <v>29392.772513635071</v>
      </c>
    </row>
    <row r="33" spans="2:9" x14ac:dyDescent="0.2">
      <c r="B33" s="46" t="s">
        <v>120</v>
      </c>
      <c r="C33" s="51"/>
      <c r="D33" s="50">
        <f t="shared" ref="D33" si="12">C34</f>
        <v>36178</v>
      </c>
      <c r="E33" s="50">
        <f>D34</f>
        <v>68664</v>
      </c>
      <c r="F33" s="50">
        <f t="shared" ref="F33:I33" si="13">E34</f>
        <v>88387.249337204426</v>
      </c>
      <c r="G33" s="50">
        <f t="shared" si="13"/>
        <v>103500.97693065478</v>
      </c>
      <c r="H33" s="50">
        <f t="shared" si="13"/>
        <v>125492.19078727035</v>
      </c>
      <c r="I33" s="50">
        <f t="shared" si="13"/>
        <v>149205.32190185136</v>
      </c>
    </row>
    <row r="34" spans="2:9" x14ac:dyDescent="0.2">
      <c r="B34" s="46" t="s">
        <v>121</v>
      </c>
      <c r="C34" s="80">
        <v>36178</v>
      </c>
      <c r="D34" s="80">
        <v>68664</v>
      </c>
      <c r="E34" s="81">
        <f>SUM(E32:E33)</f>
        <v>88387.249337204426</v>
      </c>
      <c r="F34" s="81">
        <f t="shared" ref="F34:I34" si="14">SUM(F32:F33)</f>
        <v>103500.97693065478</v>
      </c>
      <c r="G34" s="81">
        <f t="shared" si="14"/>
        <v>125492.19078727035</v>
      </c>
      <c r="H34" s="81">
        <f t="shared" si="14"/>
        <v>149205.32190185136</v>
      </c>
      <c r="I34" s="81">
        <f t="shared" si="14"/>
        <v>178598.09441548644</v>
      </c>
    </row>
    <row r="35" spans="2:9" x14ac:dyDescent="0.2">
      <c r="B35"/>
      <c r="C35"/>
      <c r="D35"/>
      <c r="E35"/>
      <c r="F35"/>
      <c r="G35"/>
      <c r="H35"/>
      <c r="I35"/>
    </row>
    <row r="36" spans="2:9" x14ac:dyDescent="0.2">
      <c r="B36"/>
      <c r="C36"/>
      <c r="D36"/>
      <c r="E36"/>
      <c r="F36"/>
      <c r="G36"/>
      <c r="H36"/>
      <c r="I36"/>
    </row>
    <row r="37" spans="2:9" x14ac:dyDescent="0.2">
      <c r="B37"/>
      <c r="C37"/>
      <c r="D37"/>
      <c r="E37"/>
      <c r="F37"/>
      <c r="G37"/>
      <c r="H37"/>
      <c r="I37"/>
    </row>
    <row r="38" spans="2:9" x14ac:dyDescent="0.2">
      <c r="B38"/>
      <c r="C38"/>
      <c r="D38"/>
      <c r="E38"/>
      <c r="F38"/>
      <c r="G38"/>
      <c r="H38"/>
      <c r="I38"/>
    </row>
    <row r="39" spans="2:9" x14ac:dyDescent="0.2">
      <c r="B39"/>
      <c r="C39"/>
      <c r="D39"/>
      <c r="E39"/>
      <c r="F39"/>
      <c r="G39"/>
      <c r="H39"/>
      <c r="I39"/>
    </row>
    <row r="40" spans="2:9" x14ac:dyDescent="0.2">
      <c r="B40"/>
      <c r="C40"/>
      <c r="D40"/>
      <c r="E40"/>
      <c r="F40"/>
      <c r="G40"/>
      <c r="H40"/>
      <c r="I40"/>
    </row>
    <row r="41" spans="2:9" x14ac:dyDescent="0.2">
      <c r="B41"/>
      <c r="C41"/>
      <c r="D41"/>
      <c r="E41"/>
      <c r="F41"/>
      <c r="G41"/>
      <c r="H41"/>
      <c r="I41"/>
    </row>
    <row r="42" spans="2:9" x14ac:dyDescent="0.2">
      <c r="B42"/>
      <c r="C42"/>
      <c r="D42"/>
      <c r="E42"/>
      <c r="F42"/>
      <c r="G42"/>
      <c r="H42"/>
      <c r="I42"/>
    </row>
    <row r="43" spans="2:9" x14ac:dyDescent="0.2">
      <c r="B43"/>
      <c r="C43"/>
      <c r="D43"/>
      <c r="E43"/>
      <c r="F43"/>
      <c r="G43"/>
      <c r="H43"/>
      <c r="I43"/>
    </row>
    <row r="44" spans="2:9" x14ac:dyDescent="0.2">
      <c r="B44"/>
      <c r="C44"/>
      <c r="D44"/>
      <c r="E44"/>
      <c r="F44"/>
      <c r="G44"/>
      <c r="H44"/>
      <c r="I44"/>
    </row>
    <row r="45" spans="2:9" x14ac:dyDescent="0.2">
      <c r="B45"/>
      <c r="C45"/>
      <c r="D45"/>
      <c r="E45"/>
      <c r="F45"/>
      <c r="G45"/>
      <c r="H45"/>
      <c r="I45"/>
    </row>
    <row r="46" spans="2:9" x14ac:dyDescent="0.2">
      <c r="B46"/>
      <c r="C46"/>
      <c r="D46"/>
      <c r="E46"/>
      <c r="F46"/>
      <c r="G46"/>
      <c r="H46"/>
      <c r="I46"/>
    </row>
    <row r="47" spans="2:9" x14ac:dyDescent="0.2">
      <c r="B47"/>
      <c r="C47"/>
      <c r="D47"/>
      <c r="E47"/>
      <c r="F47"/>
      <c r="G47"/>
      <c r="H47"/>
      <c r="I47"/>
    </row>
    <row r="48" spans="2:9" x14ac:dyDescent="0.2">
      <c r="B48"/>
      <c r="C48"/>
      <c r="D48"/>
      <c r="E48"/>
      <c r="F48"/>
      <c r="G48"/>
      <c r="H48"/>
      <c r="I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3BE7-591B-4504-9E27-0A191B3586A2}">
  <sheetPr>
    <tabColor rgb="FFFFC000"/>
  </sheetPr>
  <dimension ref="A1:I23"/>
  <sheetViews>
    <sheetView showGridLines="0" workbookViewId="0">
      <selection activeCell="I1" sqref="I1:I1048576"/>
    </sheetView>
  </sheetViews>
  <sheetFormatPr baseColWidth="10" defaultColWidth="8.83203125" defaultRowHeight="15" x14ac:dyDescent="0.2"/>
  <cols>
    <col min="1" max="1" width="45.6640625" style="6" customWidth="1"/>
    <col min="2" max="3" width="13.6640625" style="5" bestFit="1" customWidth="1"/>
    <col min="4" max="4" width="11.33203125" style="5" customWidth="1"/>
    <col min="5" max="5" width="11.1640625" style="5" customWidth="1"/>
    <col min="6" max="6" width="11.1640625" style="5" bestFit="1" customWidth="1"/>
    <col min="7" max="7" width="12.1640625" style="5" customWidth="1"/>
    <col min="8" max="8" width="10.33203125" style="5" customWidth="1"/>
    <col min="9" max="9" width="101.6640625" style="5" bestFit="1" customWidth="1"/>
  </cols>
  <sheetData>
    <row r="1" spans="1:8" x14ac:dyDescent="0.2">
      <c r="A1" s="4"/>
      <c r="B1"/>
      <c r="C1"/>
      <c r="D1"/>
      <c r="E1"/>
      <c r="F1"/>
      <c r="G1"/>
      <c r="H1"/>
    </row>
    <row r="2" spans="1:8" x14ac:dyDescent="0.2">
      <c r="A2" s="4"/>
      <c r="B2"/>
      <c r="C2"/>
      <c r="D2"/>
      <c r="E2"/>
      <c r="F2"/>
      <c r="G2"/>
      <c r="H2"/>
    </row>
    <row r="3" spans="1:8" ht="21" x14ac:dyDescent="0.25">
      <c r="A3" s="112" t="s">
        <v>171</v>
      </c>
      <c r="B3" s="112"/>
      <c r="C3" s="112"/>
      <c r="D3" s="112"/>
      <c r="E3" s="112"/>
      <c r="F3" s="112"/>
      <c r="G3" s="112"/>
      <c r="H3" s="112"/>
    </row>
    <row r="4" spans="1:8" x14ac:dyDescent="0.2">
      <c r="A4" s="38"/>
      <c r="B4" s="9" t="s">
        <v>50</v>
      </c>
      <c r="C4" s="9" t="s">
        <v>50</v>
      </c>
      <c r="D4" s="9" t="s">
        <v>51</v>
      </c>
      <c r="E4" s="9" t="s">
        <v>51</v>
      </c>
      <c r="F4" s="9" t="s">
        <v>51</v>
      </c>
      <c r="G4" s="9" t="s">
        <v>51</v>
      </c>
      <c r="H4" s="9" t="s">
        <v>51</v>
      </c>
    </row>
    <row r="5" spans="1:8" x14ac:dyDescent="0.2">
      <c r="A5" s="38" t="s">
        <v>122</v>
      </c>
      <c r="B5" s="9">
        <v>2022</v>
      </c>
      <c r="C5" s="9">
        <f>B5+1</f>
        <v>2023</v>
      </c>
      <c r="D5" s="9">
        <f t="shared" ref="D5:H5" si="0">C5+1</f>
        <v>2024</v>
      </c>
      <c r="E5" s="9">
        <f t="shared" si="0"/>
        <v>2025</v>
      </c>
      <c r="F5" s="9">
        <f t="shared" si="0"/>
        <v>2026</v>
      </c>
      <c r="G5" s="9">
        <f t="shared" si="0"/>
        <v>2027</v>
      </c>
      <c r="H5" s="9">
        <f t="shared" si="0"/>
        <v>2028</v>
      </c>
    </row>
    <row r="6" spans="1:8" x14ac:dyDescent="0.2">
      <c r="A6" s="6" t="s">
        <v>59</v>
      </c>
      <c r="B6"/>
      <c r="C6" s="53"/>
      <c r="D6" s="53">
        <f>'Cash Flow Statement '!E33</f>
        <v>68664</v>
      </c>
      <c r="E6" s="53">
        <f>D10</f>
        <v>90387.249337204426</v>
      </c>
      <c r="F6" s="53">
        <f t="shared" ref="F6:H6" si="1">E10</f>
        <v>107500.97693065478</v>
      </c>
      <c r="G6" s="53">
        <f t="shared" si="1"/>
        <v>131492.19078727035</v>
      </c>
      <c r="H6" s="53">
        <f t="shared" si="1"/>
        <v>157205.32190185136</v>
      </c>
    </row>
    <row r="7" spans="1:8" x14ac:dyDescent="0.2">
      <c r="A7" s="6" t="s">
        <v>60</v>
      </c>
      <c r="B7"/>
      <c r="C7"/>
      <c r="D7" s="53">
        <f>'Cash Flow Statement '!E14+'Cash Flow Statement '!E19</f>
        <v>29096.949337204427</v>
      </c>
      <c r="E7" s="53">
        <f>'Cash Flow Statement '!F14+'Cash Flow Statement '!F19</f>
        <v>24931.412593450357</v>
      </c>
      <c r="F7" s="53">
        <f>'Cash Flow Statement '!G14+'Cash Flow Statement '!G19</f>
        <v>32275.218106615564</v>
      </c>
      <c r="G7" s="53">
        <f>'Cash Flow Statement '!H14+'Cash Flow Statement '!H19</f>
        <v>34486.892077081029</v>
      </c>
      <c r="H7" s="53">
        <f>'Cash Flow Statement '!I14+'Cash Flow Statement '!I19</f>
        <v>40680.88737426007</v>
      </c>
    </row>
    <row r="8" spans="1:8" x14ac:dyDescent="0.2">
      <c r="A8" s="6" t="s">
        <v>61</v>
      </c>
      <c r="B8"/>
      <c r="C8"/>
      <c r="D8" s="53">
        <f>'Cash Flow Statement '!E30</f>
        <v>-9373.7000000000007</v>
      </c>
      <c r="E8" s="53">
        <f>'Cash Flow Statement '!F30</f>
        <v>-9817.6850000000013</v>
      </c>
      <c r="F8" s="53">
        <f>'Cash Flow Statement '!G30</f>
        <v>-10284.004250000002</v>
      </c>
      <c r="G8" s="53">
        <f>'Cash Flow Statement '!H30</f>
        <v>-10773.7609625</v>
      </c>
      <c r="H8" s="53">
        <f>'Cash Flow Statement '!I30</f>
        <v>-11288.114860625001</v>
      </c>
    </row>
    <row r="9" spans="1:8" x14ac:dyDescent="0.2">
      <c r="A9" s="6" t="s">
        <v>62</v>
      </c>
      <c r="B9"/>
      <c r="C9"/>
      <c r="D9" s="21">
        <v>2000</v>
      </c>
      <c r="E9" s="21">
        <v>2000</v>
      </c>
      <c r="F9" s="21">
        <v>2000</v>
      </c>
      <c r="G9" s="21">
        <v>2000</v>
      </c>
      <c r="H9" s="21">
        <v>2000</v>
      </c>
    </row>
    <row r="10" spans="1:8" x14ac:dyDescent="0.2">
      <c r="A10" s="6" t="s">
        <v>63</v>
      </c>
      <c r="B10"/>
      <c r="C10"/>
      <c r="D10" s="53">
        <f>SUM(D6:D9)</f>
        <v>90387.249337204426</v>
      </c>
      <c r="E10" s="53">
        <f t="shared" ref="E10:H10" si="2">SUM(E6:E9)</f>
        <v>107500.97693065478</v>
      </c>
      <c r="F10" s="53">
        <f t="shared" si="2"/>
        <v>131492.19078727035</v>
      </c>
      <c r="G10" s="53">
        <f t="shared" si="2"/>
        <v>157205.32190185136</v>
      </c>
      <c r="H10" s="53">
        <f t="shared" si="2"/>
        <v>188598.09441548644</v>
      </c>
    </row>
    <row r="11" spans="1:8" x14ac:dyDescent="0.2">
      <c r="A11" s="6" t="s">
        <v>35</v>
      </c>
      <c r="B11"/>
      <c r="C11"/>
      <c r="D11" s="54">
        <v>0</v>
      </c>
      <c r="E11" s="54">
        <v>0</v>
      </c>
      <c r="F11" s="54">
        <v>0</v>
      </c>
      <c r="G11" s="54">
        <v>0</v>
      </c>
      <c r="H11" s="54">
        <v>0</v>
      </c>
    </row>
    <row r="12" spans="1:8" x14ac:dyDescent="0.2">
      <c r="A12" s="6" t="s">
        <v>35</v>
      </c>
      <c r="B12"/>
      <c r="C12"/>
      <c r="D12" s="54">
        <v>0</v>
      </c>
      <c r="E12" s="54">
        <v>0</v>
      </c>
      <c r="F12" s="54">
        <v>0</v>
      </c>
      <c r="G12" s="54">
        <v>0</v>
      </c>
      <c r="H12" s="54">
        <v>0</v>
      </c>
    </row>
    <row r="13" spans="1:8" x14ac:dyDescent="0.2">
      <c r="B13" s="52"/>
      <c r="C13"/>
      <c r="D13"/>
      <c r="E13"/>
      <c r="F13"/>
      <c r="G13"/>
      <c r="H13"/>
    </row>
    <row r="14" spans="1:8" x14ac:dyDescent="0.2">
      <c r="A14" s="6" t="s">
        <v>64</v>
      </c>
      <c r="B14"/>
      <c r="C14"/>
      <c r="D14"/>
      <c r="E14"/>
      <c r="F14"/>
      <c r="G14"/>
      <c r="H14"/>
    </row>
    <row r="15" spans="1:8" x14ac:dyDescent="0.2">
      <c r="A15" s="6" t="s">
        <v>37</v>
      </c>
      <c r="B15" s="44">
        <f>'balances sheet'!C32</f>
        <v>0</v>
      </c>
      <c r="C15" s="44">
        <f>'balances sheet'!D32</f>
        <v>0</v>
      </c>
      <c r="D15" s="44">
        <f>C15-C16</f>
        <v>0</v>
      </c>
      <c r="E15" s="44">
        <f t="shared" ref="E15:H15" si="3">D15-D16</f>
        <v>0</v>
      </c>
      <c r="F15" s="44">
        <f t="shared" si="3"/>
        <v>0</v>
      </c>
      <c r="G15" s="44">
        <f t="shared" si="3"/>
        <v>0</v>
      </c>
      <c r="H15" s="44">
        <f t="shared" si="3"/>
        <v>0</v>
      </c>
    </row>
    <row r="16" spans="1:8" x14ac:dyDescent="0.2">
      <c r="A16" s="6" t="s">
        <v>65</v>
      </c>
      <c r="B16" s="44"/>
      <c r="C16" s="44">
        <f>B15*10%</f>
        <v>0</v>
      </c>
      <c r="D16" s="44">
        <f t="shared" ref="D16:H16" si="4">C15*10%</f>
        <v>0</v>
      </c>
      <c r="E16" s="44">
        <f t="shared" si="4"/>
        <v>0</v>
      </c>
      <c r="F16" s="44">
        <f t="shared" si="4"/>
        <v>0</v>
      </c>
      <c r="G16" s="44">
        <f t="shared" si="4"/>
        <v>0</v>
      </c>
      <c r="H16" s="44">
        <f t="shared" si="4"/>
        <v>0</v>
      </c>
    </row>
    <row r="17" spans="1:8" x14ac:dyDescent="0.2">
      <c r="A17" s="6" t="s">
        <v>16</v>
      </c>
      <c r="B17"/>
      <c r="C17"/>
      <c r="D17"/>
      <c r="E17"/>
      <c r="F17"/>
      <c r="G17"/>
      <c r="H17"/>
    </row>
    <row r="18" spans="1:8" x14ac:dyDescent="0.2">
      <c r="A18" s="6" t="s">
        <v>66</v>
      </c>
      <c r="B18"/>
      <c r="C18"/>
      <c r="D18" s="55">
        <v>0.08</v>
      </c>
      <c r="E18" s="55">
        <v>0.08</v>
      </c>
      <c r="F18" s="55">
        <v>0.08</v>
      </c>
      <c r="G18" s="55">
        <v>0.08</v>
      </c>
      <c r="H18" s="55">
        <v>0.08</v>
      </c>
    </row>
    <row r="19" spans="1:8" x14ac:dyDescent="0.2">
      <c r="A19" s="6" t="s">
        <v>67</v>
      </c>
      <c r="B19"/>
      <c r="C19"/>
      <c r="D19" s="55">
        <v>0.05</v>
      </c>
      <c r="E19" s="55">
        <v>0.05</v>
      </c>
      <c r="F19" s="55">
        <v>0.05</v>
      </c>
      <c r="G19" s="55">
        <v>0.05</v>
      </c>
      <c r="H19" s="55">
        <v>0.05</v>
      </c>
    </row>
    <row r="20" spans="1:8" x14ac:dyDescent="0.2">
      <c r="B20"/>
      <c r="C20"/>
      <c r="D20"/>
      <c r="E20"/>
      <c r="F20"/>
      <c r="G20"/>
      <c r="H20"/>
    </row>
    <row r="21" spans="1:8" x14ac:dyDescent="0.2">
      <c r="A21" s="6" t="s">
        <v>69</v>
      </c>
      <c r="B21"/>
      <c r="C21"/>
      <c r="D21" s="54">
        <v>0</v>
      </c>
      <c r="E21" s="54">
        <v>0</v>
      </c>
      <c r="F21" s="54">
        <v>0</v>
      </c>
      <c r="G21" s="54">
        <v>0</v>
      </c>
      <c r="H21" s="54">
        <v>0</v>
      </c>
    </row>
    <row r="22" spans="1:8" x14ac:dyDescent="0.2">
      <c r="A22" s="6" t="s">
        <v>68</v>
      </c>
      <c r="B22"/>
      <c r="C22"/>
      <c r="D22" s="44">
        <f>AVERAGE(C15:C16,D15:D16)*D18</f>
        <v>0</v>
      </c>
      <c r="E22" s="44">
        <f t="shared" ref="E22:H22" si="5">AVERAGE(D15:D16,E15:E16)*E18</f>
        <v>0</v>
      </c>
      <c r="F22" s="44">
        <f t="shared" si="5"/>
        <v>0</v>
      </c>
      <c r="G22" s="44">
        <f t="shared" si="5"/>
        <v>0</v>
      </c>
      <c r="H22" s="44">
        <f t="shared" si="5"/>
        <v>0</v>
      </c>
    </row>
    <row r="23" spans="1:8" ht="16" thickBot="1" x14ac:dyDescent="0.25">
      <c r="A23" s="45" t="s">
        <v>70</v>
      </c>
      <c r="B23" s="1"/>
      <c r="C23" s="1"/>
      <c r="D23" s="56">
        <f>D22</f>
        <v>0</v>
      </c>
      <c r="E23" s="56">
        <f t="shared" ref="E23:H23" si="6">E22</f>
        <v>0</v>
      </c>
      <c r="F23" s="56">
        <f t="shared" si="6"/>
        <v>0</v>
      </c>
      <c r="G23" s="56">
        <f t="shared" si="6"/>
        <v>0</v>
      </c>
      <c r="H23" s="56">
        <f t="shared" si="6"/>
        <v>0</v>
      </c>
    </row>
  </sheetData>
  <mergeCells count="1">
    <mergeCell ref="A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91C1-5623-4BA8-9044-3EF5666600D6}">
  <sheetPr>
    <tabColor rgb="FFFFC000"/>
  </sheetPr>
  <dimension ref="A1:H11"/>
  <sheetViews>
    <sheetView showGridLines="0" workbookViewId="0">
      <selection activeCell="I1" sqref="I1:I1048576"/>
    </sheetView>
  </sheetViews>
  <sheetFormatPr baseColWidth="10" defaultColWidth="8.83203125" defaultRowHeight="15" x14ac:dyDescent="0.2"/>
  <cols>
    <col min="1" max="1" width="33.33203125" style="5" bestFit="1" customWidth="1"/>
    <col min="2" max="2" width="13.1640625" style="5" customWidth="1"/>
    <col min="3" max="3" width="12.6640625" style="5" customWidth="1"/>
    <col min="4" max="8" width="12.33203125" style="5" bestFit="1" customWidth="1"/>
    <col min="9" max="9" width="93.1640625" bestFit="1" customWidth="1"/>
  </cols>
  <sheetData>
    <row r="1" spans="1:8" ht="21" x14ac:dyDescent="0.25">
      <c r="A1" s="112" t="s">
        <v>171</v>
      </c>
      <c r="B1" s="112"/>
      <c r="C1" s="112"/>
      <c r="D1" s="112"/>
      <c r="E1" s="112"/>
      <c r="F1" s="112"/>
      <c r="G1" s="112"/>
      <c r="H1" s="112"/>
    </row>
    <row r="2" spans="1:8" x14ac:dyDescent="0.2">
      <c r="A2" s="38"/>
      <c r="B2" s="9" t="s">
        <v>50</v>
      </c>
      <c r="C2" s="9" t="s">
        <v>50</v>
      </c>
      <c r="D2" s="9" t="s">
        <v>51</v>
      </c>
      <c r="E2" s="9" t="s">
        <v>51</v>
      </c>
      <c r="F2" s="9" t="s">
        <v>51</v>
      </c>
      <c r="G2" s="9" t="s">
        <v>51</v>
      </c>
      <c r="H2" s="9" t="s">
        <v>51</v>
      </c>
    </row>
    <row r="3" spans="1:8" x14ac:dyDescent="0.2">
      <c r="A3" s="38" t="s">
        <v>122</v>
      </c>
      <c r="B3" s="9">
        <v>2022</v>
      </c>
      <c r="C3" s="9">
        <f>B3+1</f>
        <v>2023</v>
      </c>
      <c r="D3" s="9">
        <f t="shared" ref="D3:H3" si="0">C3+1</f>
        <v>2024</v>
      </c>
      <c r="E3" s="9">
        <f t="shared" si="0"/>
        <v>2025</v>
      </c>
      <c r="F3" s="9">
        <f t="shared" si="0"/>
        <v>2026</v>
      </c>
      <c r="G3" s="9">
        <f t="shared" si="0"/>
        <v>2027</v>
      </c>
      <c r="H3" s="9">
        <f t="shared" si="0"/>
        <v>2028</v>
      </c>
    </row>
    <row r="4" spans="1:8" x14ac:dyDescent="0.2">
      <c r="A4" s="57" t="s">
        <v>71</v>
      </c>
      <c r="B4" s="53"/>
      <c r="C4" s="53"/>
    </row>
    <row r="5" spans="1:8" x14ac:dyDescent="0.2">
      <c r="A5" s="6" t="s">
        <v>72</v>
      </c>
      <c r="B5" s="53"/>
      <c r="C5" s="53"/>
      <c r="D5" s="53">
        <f>'balances sheet'!D14</f>
        <v>52678</v>
      </c>
      <c r="E5" s="53">
        <f>D11</f>
        <v>79149.373784464027</v>
      </c>
      <c r="F5" s="53">
        <f>E11</f>
        <v>107115.71055514243</v>
      </c>
      <c r="G5" s="53">
        <f>F11</f>
        <v>136759.22186736355</v>
      </c>
      <c r="H5" s="53">
        <f>G11</f>
        <v>168175.62726083471</v>
      </c>
    </row>
    <row r="6" spans="1:8" x14ac:dyDescent="0.2">
      <c r="A6" s="5" t="s">
        <v>73</v>
      </c>
      <c r="B6" s="53">
        <f>-'Cash Flow Statement '!C17</f>
        <v>49750</v>
      </c>
      <c r="C6" s="53">
        <f>-'Cash Flow Statement '!D17</f>
        <v>23841</v>
      </c>
      <c r="D6" s="53">
        <f>C6*1.05</f>
        <v>25033.05</v>
      </c>
      <c r="E6" s="53">
        <f t="shared" ref="E6:H6" si="1">D6*1.05</f>
        <v>26284.702499999999</v>
      </c>
      <c r="F6" s="53">
        <f t="shared" si="1"/>
        <v>27598.937625000002</v>
      </c>
      <c r="G6" s="53">
        <f t="shared" si="1"/>
        <v>28978.884506250004</v>
      </c>
      <c r="H6" s="53">
        <f t="shared" si="1"/>
        <v>30427.828731562506</v>
      </c>
    </row>
    <row r="7" spans="1:8" x14ac:dyDescent="0.2">
      <c r="B7" s="53"/>
      <c r="C7" s="53"/>
      <c r="D7" s="53"/>
      <c r="E7" s="53"/>
      <c r="F7" s="53"/>
      <c r="G7" s="53"/>
      <c r="H7" s="53"/>
    </row>
    <row r="8" spans="1:8" x14ac:dyDescent="0.2">
      <c r="A8" s="5" t="s">
        <v>74</v>
      </c>
      <c r="B8" s="53">
        <f>'income statement '!C32</f>
        <v>1091</v>
      </c>
      <c r="C8" s="53">
        <f>'income statement '!D32</f>
        <v>1137</v>
      </c>
      <c r="D8" s="53">
        <f>'income statement '!E5*'PP&amp;E Sch'!D9</f>
        <v>1438.3237844640203</v>
      </c>
      <c r="E8" s="53">
        <f>'income statement '!F5*'PP&amp;E Sch'!E9</f>
        <v>1681.6342706784121</v>
      </c>
      <c r="F8" s="53">
        <f>'income statement '!G5*'PP&amp;E Sch'!F9</f>
        <v>2044.5736872211414</v>
      </c>
      <c r="G8" s="53">
        <f>'income statement '!H5*'PP&amp;E Sch'!G9</f>
        <v>2437.5208872211415</v>
      </c>
      <c r="H8" s="53">
        <f>'income statement '!I5*'PP&amp;E Sch'!H9</f>
        <v>2934.6055871319063</v>
      </c>
    </row>
    <row r="9" spans="1:8" x14ac:dyDescent="0.2">
      <c r="A9" s="24" t="s">
        <v>75</v>
      </c>
      <c r="B9" s="53">
        <f>'income statement '!C32/'income statement '!C5</f>
        <v>2.0802349082866187E-2</v>
      </c>
      <c r="C9" s="53">
        <f>'income statement '!D32/'income statement '!D5</f>
        <v>1.8768570485308684E-2</v>
      </c>
      <c r="D9" s="53">
        <f>AVERAGE(B9:C9)</f>
        <v>1.9785459784087436E-2</v>
      </c>
      <c r="E9" s="53">
        <f t="shared" ref="E9:H9" si="2">AVERAGE(C9:D9)</f>
        <v>1.927701513469806E-2</v>
      </c>
      <c r="F9" s="53">
        <f t="shared" si="2"/>
        <v>1.9531237459392746E-2</v>
      </c>
      <c r="G9" s="53">
        <f t="shared" si="2"/>
        <v>1.9404126297045403E-2</v>
      </c>
      <c r="H9" s="53">
        <f t="shared" si="2"/>
        <v>1.9467681878219074E-2</v>
      </c>
    </row>
    <row r="10" spans="1:8" x14ac:dyDescent="0.2">
      <c r="B10" s="53"/>
      <c r="C10" s="53"/>
      <c r="D10" s="53"/>
      <c r="E10" s="53"/>
      <c r="F10" s="53"/>
      <c r="G10" s="53"/>
      <c r="H10" s="53"/>
    </row>
    <row r="11" spans="1:8" ht="16" thickBot="1" x14ac:dyDescent="0.25">
      <c r="A11" s="10" t="s">
        <v>76</v>
      </c>
      <c r="B11" s="53"/>
      <c r="C11" s="53"/>
      <c r="D11" s="58">
        <f>SUM(D5:D8)</f>
        <v>79149.373784464027</v>
      </c>
      <c r="E11" s="58">
        <f>SUM(E5:E8)</f>
        <v>107115.71055514243</v>
      </c>
      <c r="F11" s="58">
        <f>SUM(F5:F8)</f>
        <v>136759.22186736355</v>
      </c>
      <c r="G11" s="58">
        <f>SUM(G5:G8)</f>
        <v>168175.62726083471</v>
      </c>
      <c r="H11" s="58">
        <f>SUM(H5:H8)</f>
        <v>201538.06157952911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A415-5B8B-4126-A42F-1A806E06283F}">
  <sheetPr>
    <tabColor rgb="FFFF0000"/>
  </sheetPr>
  <dimension ref="A1:S142"/>
  <sheetViews>
    <sheetView workbookViewId="0">
      <pane xSplit="1" ySplit="1" topLeftCell="B77" activePane="bottomRight" state="frozen"/>
      <selection activeCell="C4" sqref="C4"/>
      <selection pane="topRight" activeCell="C4" sqref="C4"/>
      <selection pane="bottomLeft" activeCell="C4" sqref="C4"/>
      <selection pane="bottomRight" activeCell="B1" sqref="B1:D1"/>
    </sheetView>
  </sheetViews>
  <sheetFormatPr baseColWidth="10" defaultColWidth="10.5" defaultRowHeight="13" x14ac:dyDescent="0.15"/>
  <cols>
    <col min="1" max="1" width="26.6640625" style="25" bestFit="1" customWidth="1"/>
    <col min="2" max="11" width="11.5" style="25" bestFit="1" customWidth="1"/>
    <col min="12" max="13" width="10.5" style="25"/>
    <col min="14" max="14" width="10.83203125" style="25" bestFit="1" customWidth="1"/>
    <col min="15" max="15" width="23.5" style="25" bestFit="1" customWidth="1"/>
    <col min="16" max="16384" width="10.5" style="25"/>
  </cols>
  <sheetData>
    <row r="1" spans="1:11" s="84" customFormat="1" x14ac:dyDescent="0.15">
      <c r="A1" s="84" t="s">
        <v>172</v>
      </c>
      <c r="B1" s="84" t="s">
        <v>171</v>
      </c>
      <c r="E1" s="113" t="str">
        <f>IF(B2&lt;&gt;B3, "A NEW VERSION OF THE WORKSHEET IS AVAILABLE", "")</f>
        <v/>
      </c>
      <c r="F1" s="113"/>
      <c r="G1" s="113"/>
      <c r="H1" s="113"/>
      <c r="I1" s="113"/>
      <c r="J1" s="113"/>
      <c r="K1" s="113"/>
    </row>
    <row r="2" spans="1:11" x14ac:dyDescent="0.15">
      <c r="A2" s="84" t="s">
        <v>170</v>
      </c>
      <c r="B2" s="25">
        <v>2.1</v>
      </c>
      <c r="E2" s="114" t="s">
        <v>169</v>
      </c>
      <c r="F2" s="114"/>
      <c r="G2" s="114"/>
      <c r="H2" s="114"/>
      <c r="I2" s="114"/>
      <c r="J2" s="114"/>
      <c r="K2" s="114"/>
    </row>
    <row r="3" spans="1:11" x14ac:dyDescent="0.15">
      <c r="A3" s="84" t="s">
        <v>168</v>
      </c>
      <c r="B3" s="25">
        <v>2.1</v>
      </c>
    </row>
    <row r="4" spans="1:11" x14ac:dyDescent="0.15">
      <c r="A4" s="84"/>
    </row>
    <row r="5" spans="1:11" x14ac:dyDescent="0.15">
      <c r="A5" s="84" t="s">
        <v>167</v>
      </c>
    </row>
    <row r="6" spans="1:11" x14ac:dyDescent="0.15">
      <c r="A6" s="25" t="s">
        <v>166</v>
      </c>
      <c r="B6" s="25">
        <f>IF(B9&gt;0, B9/B8, 0)</f>
        <v>234.95912787219427</v>
      </c>
    </row>
    <row r="7" spans="1:11" x14ac:dyDescent="0.15">
      <c r="A7" s="25" t="s">
        <v>165</v>
      </c>
      <c r="B7" s="85">
        <v>1</v>
      </c>
    </row>
    <row r="8" spans="1:11" x14ac:dyDescent="0.15">
      <c r="A8" s="25" t="s">
        <v>164</v>
      </c>
      <c r="B8" s="85">
        <v>2256.5500000000002</v>
      </c>
    </row>
    <row r="9" spans="1:11" x14ac:dyDescent="0.15">
      <c r="A9" s="25" t="s">
        <v>163</v>
      </c>
      <c r="B9" s="85">
        <v>530197.02</v>
      </c>
    </row>
    <row r="15" spans="1:11" x14ac:dyDescent="0.15">
      <c r="A15" s="84" t="s">
        <v>162</v>
      </c>
      <c r="B15" s="25">
        <f>B26+B34</f>
        <v>5836.77</v>
      </c>
      <c r="K15" s="25">
        <f>K17-K18-K20-K21-K22-K23-K19</f>
        <v>16264</v>
      </c>
    </row>
    <row r="16" spans="1:11" s="86" customFormat="1" x14ac:dyDescent="0.15">
      <c r="A16" s="88" t="s">
        <v>129</v>
      </c>
      <c r="B16" s="87">
        <v>41729</v>
      </c>
      <c r="C16" s="87">
        <v>42094</v>
      </c>
      <c r="D16" s="87">
        <v>42460</v>
      </c>
      <c r="E16" s="87">
        <v>42825</v>
      </c>
      <c r="F16" s="87">
        <v>43190</v>
      </c>
      <c r="G16" s="87">
        <v>43555</v>
      </c>
      <c r="H16" s="87">
        <v>43921</v>
      </c>
      <c r="I16" s="87">
        <v>44286</v>
      </c>
      <c r="J16" s="87">
        <v>44651</v>
      </c>
      <c r="K16" s="87">
        <v>45016</v>
      </c>
    </row>
    <row r="17" spans="1:11" x14ac:dyDescent="0.15">
      <c r="A17" s="25" t="s">
        <v>151</v>
      </c>
      <c r="B17" s="85">
        <v>29233.74</v>
      </c>
      <c r="C17" s="85">
        <v>31972.19</v>
      </c>
      <c r="D17" s="85">
        <v>32186</v>
      </c>
      <c r="E17" s="85">
        <v>33162</v>
      </c>
      <c r="F17" s="85">
        <v>35545</v>
      </c>
      <c r="G17" s="85">
        <v>39310</v>
      </c>
      <c r="H17" s="85">
        <v>39783</v>
      </c>
      <c r="I17" s="85">
        <v>47028</v>
      </c>
      <c r="J17" s="85">
        <v>52446</v>
      </c>
      <c r="K17" s="85">
        <v>60580</v>
      </c>
    </row>
    <row r="18" spans="1:11" ht="15" x14ac:dyDescent="0.2">
      <c r="A18" s="25" t="s">
        <v>161</v>
      </c>
      <c r="B18" s="90">
        <v>12644.63</v>
      </c>
      <c r="C18" s="90">
        <v>13509.4</v>
      </c>
      <c r="D18" s="90">
        <v>13184</v>
      </c>
      <c r="E18" s="90">
        <v>13606</v>
      </c>
      <c r="F18" s="90">
        <v>14233</v>
      </c>
      <c r="G18" s="90">
        <v>15845</v>
      </c>
      <c r="H18" s="90">
        <v>15697</v>
      </c>
      <c r="I18" s="90">
        <v>20141</v>
      </c>
      <c r="J18" s="90">
        <v>22871</v>
      </c>
      <c r="K18" s="90">
        <v>28427</v>
      </c>
    </row>
    <row r="19" spans="1:11" ht="15" x14ac:dyDescent="0.2">
      <c r="A19" s="25" t="s">
        <v>160</v>
      </c>
      <c r="B19" s="90">
        <v>171.3</v>
      </c>
      <c r="C19" s="90">
        <v>-57.04</v>
      </c>
      <c r="D19" s="90">
        <v>-83</v>
      </c>
      <c r="E19" s="90">
        <v>-144</v>
      </c>
      <c r="F19" s="90">
        <v>72</v>
      </c>
      <c r="G19" s="90">
        <v>-12</v>
      </c>
      <c r="H19" s="90">
        <v>108</v>
      </c>
      <c r="I19" s="90">
        <v>405</v>
      </c>
      <c r="J19" s="90">
        <v>22</v>
      </c>
      <c r="K19" s="90">
        <v>75</v>
      </c>
    </row>
    <row r="20" spans="1:11" x14ac:dyDescent="0.15">
      <c r="A20" s="25" t="s">
        <v>159</v>
      </c>
      <c r="B20" s="85">
        <v>362.76</v>
      </c>
      <c r="C20" s="85">
        <v>346.97</v>
      </c>
      <c r="D20" s="85">
        <v>309</v>
      </c>
      <c r="E20" s="85">
        <v>295</v>
      </c>
      <c r="F20" s="85">
        <v>295</v>
      </c>
      <c r="G20" s="85">
        <v>308</v>
      </c>
      <c r="H20" s="85">
        <v>299</v>
      </c>
      <c r="I20" s="85">
        <v>339</v>
      </c>
      <c r="J20" s="85">
        <v>318</v>
      </c>
      <c r="K20" s="85">
        <v>384</v>
      </c>
    </row>
    <row r="21" spans="1:11" x14ac:dyDescent="0.15">
      <c r="A21" s="25" t="s">
        <v>158</v>
      </c>
      <c r="B21" s="85">
        <v>2939.55</v>
      </c>
      <c r="C21" s="85">
        <v>3164.64</v>
      </c>
      <c r="D21" s="85">
        <v>2966</v>
      </c>
      <c r="E21" s="85">
        <v>2887</v>
      </c>
      <c r="F21" s="85">
        <v>2998</v>
      </c>
      <c r="G21" s="85">
        <v>3041</v>
      </c>
      <c r="H21" s="85">
        <v>2906</v>
      </c>
      <c r="I21" s="85">
        <v>2868</v>
      </c>
      <c r="J21" s="85">
        <v>3354</v>
      </c>
      <c r="K21" s="85">
        <v>3791</v>
      </c>
    </row>
    <row r="22" spans="1:11" x14ac:dyDescent="0.15">
      <c r="A22" s="25" t="s">
        <v>157</v>
      </c>
      <c r="B22" s="85">
        <v>1572.66</v>
      </c>
      <c r="C22" s="85">
        <v>1723.87</v>
      </c>
      <c r="D22" s="85">
        <v>1680</v>
      </c>
      <c r="E22" s="85">
        <v>1743</v>
      </c>
      <c r="F22" s="85">
        <v>1860</v>
      </c>
      <c r="G22" s="85">
        <v>1875</v>
      </c>
      <c r="H22" s="85">
        <v>1820</v>
      </c>
      <c r="I22" s="85">
        <v>2358</v>
      </c>
      <c r="J22" s="85">
        <v>2545</v>
      </c>
      <c r="K22" s="85">
        <v>2854</v>
      </c>
    </row>
    <row r="23" spans="1:11" x14ac:dyDescent="0.15">
      <c r="A23" s="25" t="s">
        <v>156</v>
      </c>
      <c r="B23" s="85">
        <v>6117.42</v>
      </c>
      <c r="C23" s="85">
        <v>6769.04</v>
      </c>
      <c r="D23" s="85">
        <v>6741</v>
      </c>
      <c r="E23" s="85">
        <v>6689</v>
      </c>
      <c r="F23" s="85">
        <v>7252</v>
      </c>
      <c r="G23" s="85">
        <v>7796</v>
      </c>
      <c r="H23" s="85">
        <v>7620</v>
      </c>
      <c r="I23" s="85">
        <v>7898</v>
      </c>
      <c r="J23" s="85">
        <v>8164</v>
      </c>
      <c r="K23" s="85">
        <v>8785</v>
      </c>
    </row>
    <row r="24" spans="1:11" x14ac:dyDescent="0.15">
      <c r="A24" s="25" t="s">
        <v>155</v>
      </c>
      <c r="B24" s="85">
        <v>1009.01</v>
      </c>
      <c r="C24" s="85">
        <v>988.81</v>
      </c>
      <c r="D24" s="85">
        <v>1313</v>
      </c>
      <c r="E24" s="85">
        <v>1470</v>
      </c>
      <c r="F24" s="85">
        <v>1480</v>
      </c>
      <c r="G24" s="85">
        <v>1553</v>
      </c>
      <c r="H24" s="85">
        <v>1696</v>
      </c>
      <c r="I24" s="85">
        <v>2203</v>
      </c>
      <c r="J24" s="85">
        <v>2359</v>
      </c>
      <c r="K24" s="85">
        <v>2266</v>
      </c>
    </row>
    <row r="25" spans="1:11" x14ac:dyDescent="0.15">
      <c r="A25" s="25" t="s">
        <v>149</v>
      </c>
      <c r="B25" s="85">
        <v>792.39</v>
      </c>
      <c r="C25" s="85">
        <v>1247.18</v>
      </c>
      <c r="D25" s="85">
        <v>486</v>
      </c>
      <c r="E25" s="85">
        <v>606</v>
      </c>
      <c r="F25" s="85">
        <v>353</v>
      </c>
      <c r="G25" s="85">
        <v>322</v>
      </c>
      <c r="H25" s="85">
        <v>432</v>
      </c>
      <c r="I25" s="85">
        <v>170</v>
      </c>
      <c r="J25" s="85">
        <v>219</v>
      </c>
      <c r="K25" s="85">
        <v>447</v>
      </c>
    </row>
    <row r="26" spans="1:11" x14ac:dyDescent="0.15">
      <c r="A26" s="25" t="s">
        <v>148</v>
      </c>
      <c r="B26" s="85">
        <v>295.54000000000002</v>
      </c>
      <c r="C26" s="85">
        <v>322.39</v>
      </c>
      <c r="D26" s="85">
        <v>353</v>
      </c>
      <c r="E26" s="85">
        <v>432</v>
      </c>
      <c r="F26" s="85">
        <v>520</v>
      </c>
      <c r="G26" s="85">
        <v>565</v>
      </c>
      <c r="H26" s="85">
        <v>1002</v>
      </c>
      <c r="I26" s="85">
        <v>1074</v>
      </c>
      <c r="J26" s="85">
        <v>1091</v>
      </c>
      <c r="K26" s="85">
        <v>1137</v>
      </c>
    </row>
    <row r="27" spans="1:11" ht="15" x14ac:dyDescent="0.2">
      <c r="A27" s="25" t="s">
        <v>147</v>
      </c>
      <c r="B27" s="85">
        <v>40.68</v>
      </c>
      <c r="C27" s="85">
        <v>17.7</v>
      </c>
      <c r="D27" s="85">
        <v>17</v>
      </c>
      <c r="E27" s="85">
        <v>35</v>
      </c>
      <c r="F27" s="85">
        <v>26</v>
      </c>
      <c r="G27" s="85">
        <v>33</v>
      </c>
      <c r="H27" s="85">
        <v>118</v>
      </c>
      <c r="I27" s="85">
        <v>117</v>
      </c>
      <c r="J27" s="90">
        <v>106</v>
      </c>
      <c r="K27" s="90">
        <v>114</v>
      </c>
    </row>
    <row r="28" spans="1:11" x14ac:dyDescent="0.15">
      <c r="A28" s="25" t="s">
        <v>146</v>
      </c>
      <c r="B28" s="85">
        <v>5215.18</v>
      </c>
      <c r="C28" s="85">
        <v>6319.51</v>
      </c>
      <c r="D28" s="85">
        <v>6026</v>
      </c>
      <c r="E28" s="85">
        <v>6467</v>
      </c>
      <c r="F28" s="85">
        <v>7306</v>
      </c>
      <c r="G28" s="85">
        <v>8604</v>
      </c>
      <c r="H28" s="85">
        <v>9165</v>
      </c>
      <c r="I28" s="85">
        <v>10605</v>
      </c>
      <c r="J28" s="85">
        <v>11879</v>
      </c>
      <c r="K28" s="85">
        <v>13344</v>
      </c>
    </row>
    <row r="29" spans="1:11" x14ac:dyDescent="0.15">
      <c r="A29" s="25" t="s">
        <v>145</v>
      </c>
      <c r="B29" s="85">
        <v>1259.44</v>
      </c>
      <c r="C29" s="85">
        <v>1944</v>
      </c>
      <c r="D29" s="85">
        <v>1875</v>
      </c>
      <c r="E29" s="85">
        <v>1977</v>
      </c>
      <c r="F29" s="85">
        <v>2079</v>
      </c>
      <c r="G29" s="85">
        <v>2544</v>
      </c>
      <c r="H29" s="85">
        <v>2409</v>
      </c>
      <c r="I29" s="85">
        <v>2606</v>
      </c>
      <c r="J29" s="85">
        <v>2987</v>
      </c>
      <c r="K29" s="85">
        <v>3201</v>
      </c>
    </row>
    <row r="30" spans="1:11" x14ac:dyDescent="0.15">
      <c r="A30" s="25" t="s">
        <v>144</v>
      </c>
      <c r="B30" s="85">
        <v>3945.57</v>
      </c>
      <c r="C30" s="85">
        <v>4363.08</v>
      </c>
      <c r="D30" s="85">
        <v>4151</v>
      </c>
      <c r="E30" s="85">
        <v>4476</v>
      </c>
      <c r="F30" s="85">
        <v>5214</v>
      </c>
      <c r="G30" s="85">
        <v>6054</v>
      </c>
      <c r="H30" s="85">
        <v>6748</v>
      </c>
      <c r="I30" s="85">
        <v>7995</v>
      </c>
      <c r="J30" s="85">
        <v>8879</v>
      </c>
      <c r="K30" s="85">
        <v>10120</v>
      </c>
    </row>
    <row r="31" spans="1:11" x14ac:dyDescent="0.15">
      <c r="A31" s="25" t="s">
        <v>154</v>
      </c>
      <c r="B31" s="85">
        <v>2811.51</v>
      </c>
      <c r="C31" s="85">
        <v>3245.25</v>
      </c>
      <c r="D31" s="85">
        <v>3456</v>
      </c>
      <c r="E31" s="85">
        <v>3672</v>
      </c>
      <c r="F31" s="85">
        <v>4320</v>
      </c>
      <c r="G31" s="85">
        <v>4752</v>
      </c>
      <c r="H31" s="85">
        <v>5400</v>
      </c>
      <c r="I31" s="85">
        <v>9517.5</v>
      </c>
      <c r="J31" s="85">
        <v>7990</v>
      </c>
      <c r="K31" s="85">
        <v>9165</v>
      </c>
    </row>
    <row r="32" spans="1:11" x14ac:dyDescent="0.15">
      <c r="A32" s="25" t="s">
        <v>153</v>
      </c>
      <c r="B32" s="91">
        <f t="shared" ref="B32:K32" si="0">B29/B28</f>
        <v>0.24149502030610639</v>
      </c>
      <c r="C32" s="91">
        <f t="shared" si="0"/>
        <v>0.30761878689961719</v>
      </c>
      <c r="D32" s="91">
        <f t="shared" si="0"/>
        <v>0.31115167607036176</v>
      </c>
      <c r="E32" s="91">
        <f t="shared" si="0"/>
        <v>0.30570589144889437</v>
      </c>
      <c r="F32" s="91">
        <f t="shared" si="0"/>
        <v>0.2845606350944429</v>
      </c>
      <c r="G32" s="91">
        <f t="shared" si="0"/>
        <v>0.29567642956764295</v>
      </c>
      <c r="H32" s="91">
        <f t="shared" si="0"/>
        <v>0.26284779050736495</v>
      </c>
      <c r="I32" s="91">
        <f t="shared" si="0"/>
        <v>0.24573314474304572</v>
      </c>
      <c r="J32" s="91">
        <f t="shared" si="0"/>
        <v>0.25145214243623198</v>
      </c>
      <c r="K32" s="91">
        <f t="shared" si="0"/>
        <v>0.23988309352517986</v>
      </c>
    </row>
    <row r="34" spans="1:11" x14ac:dyDescent="0.15">
      <c r="A34" s="25" t="s">
        <v>22</v>
      </c>
      <c r="B34" s="25">
        <f t="shared" ref="B34:K34" si="1">+B30+B29+B27+B26</f>
        <v>5541.2300000000005</v>
      </c>
      <c r="C34" s="25">
        <f t="shared" si="1"/>
        <v>6647.17</v>
      </c>
      <c r="D34" s="25">
        <f t="shared" si="1"/>
        <v>6396</v>
      </c>
      <c r="E34" s="25">
        <f t="shared" si="1"/>
        <v>6920</v>
      </c>
      <c r="F34" s="25">
        <f t="shared" si="1"/>
        <v>7839</v>
      </c>
      <c r="G34" s="25">
        <f t="shared" si="1"/>
        <v>9196</v>
      </c>
      <c r="H34" s="25">
        <f t="shared" si="1"/>
        <v>10277</v>
      </c>
      <c r="I34" s="25">
        <f t="shared" si="1"/>
        <v>11792</v>
      </c>
      <c r="J34" s="25">
        <f t="shared" si="1"/>
        <v>13063</v>
      </c>
      <c r="K34" s="25">
        <f t="shared" si="1"/>
        <v>14572</v>
      </c>
    </row>
    <row r="40" spans="1:11" x14ac:dyDescent="0.15">
      <c r="A40" s="84" t="s">
        <v>152</v>
      </c>
    </row>
    <row r="41" spans="1:11" s="86" customFormat="1" x14ac:dyDescent="0.15">
      <c r="A41" s="88" t="s">
        <v>129</v>
      </c>
      <c r="B41" s="87">
        <v>44469</v>
      </c>
      <c r="C41" s="87">
        <v>44561</v>
      </c>
      <c r="D41" s="87">
        <v>44651</v>
      </c>
      <c r="E41" s="87">
        <v>44742</v>
      </c>
      <c r="F41" s="87">
        <v>44834</v>
      </c>
      <c r="G41" s="87">
        <v>44926</v>
      </c>
      <c r="H41" s="87">
        <v>45016</v>
      </c>
      <c r="I41" s="87">
        <v>45107</v>
      </c>
      <c r="J41" s="87">
        <v>45199</v>
      </c>
      <c r="K41" s="87">
        <v>45291</v>
      </c>
    </row>
    <row r="42" spans="1:11" x14ac:dyDescent="0.15">
      <c r="A42" s="25" t="s">
        <v>151</v>
      </c>
      <c r="B42" s="85">
        <v>13046</v>
      </c>
      <c r="C42" s="85">
        <v>13439</v>
      </c>
      <c r="D42" s="85">
        <v>13767</v>
      </c>
      <c r="E42" s="85">
        <v>14624</v>
      </c>
      <c r="F42" s="85">
        <v>15144</v>
      </c>
      <c r="G42" s="85">
        <v>15597</v>
      </c>
      <c r="H42" s="85">
        <v>15215</v>
      </c>
      <c r="I42" s="85">
        <v>15496</v>
      </c>
      <c r="J42" s="85">
        <v>15623</v>
      </c>
      <c r="K42" s="85">
        <v>15567</v>
      </c>
    </row>
    <row r="43" spans="1:11" x14ac:dyDescent="0.15">
      <c r="A43" s="25" t="s">
        <v>150</v>
      </c>
      <c r="B43" s="85">
        <v>9820</v>
      </c>
      <c r="C43" s="85">
        <v>10030</v>
      </c>
      <c r="D43" s="85">
        <v>10466</v>
      </c>
      <c r="E43" s="85">
        <v>11222</v>
      </c>
      <c r="F43" s="85">
        <v>11665</v>
      </c>
      <c r="G43" s="85">
        <v>11903</v>
      </c>
      <c r="H43" s="85">
        <v>11642</v>
      </c>
      <c r="I43" s="85">
        <v>11832</v>
      </c>
      <c r="J43" s="85">
        <v>11828</v>
      </c>
      <c r="K43" s="85">
        <v>11902</v>
      </c>
    </row>
    <row r="44" spans="1:11" x14ac:dyDescent="0.15">
      <c r="A44" s="25" t="s">
        <v>149</v>
      </c>
      <c r="B44" s="85">
        <v>51</v>
      </c>
      <c r="C44" s="85">
        <v>-7</v>
      </c>
      <c r="D44" s="85">
        <v>136</v>
      </c>
      <c r="E44" s="85">
        <v>121</v>
      </c>
      <c r="F44" s="85">
        <v>80</v>
      </c>
      <c r="G44" s="85">
        <v>7</v>
      </c>
      <c r="H44" s="85">
        <v>239</v>
      </c>
      <c r="I44" s="85">
        <v>146</v>
      </c>
      <c r="J44" s="85">
        <v>178</v>
      </c>
      <c r="K44" s="85">
        <v>184</v>
      </c>
    </row>
    <row r="45" spans="1:11" x14ac:dyDescent="0.15">
      <c r="A45" s="25" t="s">
        <v>148</v>
      </c>
      <c r="B45" s="85">
        <v>281</v>
      </c>
      <c r="C45" s="85">
        <v>272</v>
      </c>
      <c r="D45" s="85">
        <v>278</v>
      </c>
      <c r="E45" s="85">
        <v>281</v>
      </c>
      <c r="F45" s="85">
        <v>272</v>
      </c>
      <c r="G45" s="85">
        <v>293</v>
      </c>
      <c r="H45" s="85">
        <v>291</v>
      </c>
      <c r="I45" s="85">
        <v>286</v>
      </c>
      <c r="J45" s="85">
        <v>297</v>
      </c>
      <c r="K45" s="85">
        <v>313</v>
      </c>
    </row>
    <row r="46" spans="1:11" ht="15" x14ac:dyDescent="0.2">
      <c r="A46" s="25" t="s">
        <v>147</v>
      </c>
      <c r="B46" s="90">
        <v>28</v>
      </c>
      <c r="C46" s="90">
        <v>27</v>
      </c>
      <c r="D46" s="90">
        <v>38</v>
      </c>
      <c r="E46" s="90">
        <v>28</v>
      </c>
      <c r="F46" s="90">
        <v>28</v>
      </c>
      <c r="G46" s="90">
        <v>29</v>
      </c>
      <c r="H46" s="90">
        <v>29</v>
      </c>
      <c r="I46" s="90">
        <v>50</v>
      </c>
      <c r="J46" s="90">
        <v>88</v>
      </c>
      <c r="K46" s="90">
        <v>91</v>
      </c>
    </row>
    <row r="47" spans="1:11" x14ac:dyDescent="0.15">
      <c r="A47" s="25" t="s">
        <v>146</v>
      </c>
      <c r="B47" s="85">
        <v>2968</v>
      </c>
      <c r="C47" s="85">
        <v>3103</v>
      </c>
      <c r="D47" s="85">
        <v>3121</v>
      </c>
      <c r="E47" s="85">
        <v>3214</v>
      </c>
      <c r="F47" s="85">
        <v>3259</v>
      </c>
      <c r="G47" s="85">
        <v>3379</v>
      </c>
      <c r="H47" s="85">
        <v>3492</v>
      </c>
      <c r="I47" s="85">
        <v>3474</v>
      </c>
      <c r="J47" s="85">
        <v>3588</v>
      </c>
      <c r="K47" s="85">
        <v>3445</v>
      </c>
    </row>
    <row r="48" spans="1:11" x14ac:dyDescent="0.15">
      <c r="A48" s="25" t="s">
        <v>145</v>
      </c>
      <c r="B48" s="85">
        <v>783</v>
      </c>
      <c r="C48" s="85">
        <v>803</v>
      </c>
      <c r="D48" s="85">
        <v>814</v>
      </c>
      <c r="E48" s="85">
        <v>823</v>
      </c>
      <c r="F48" s="85">
        <v>589</v>
      </c>
      <c r="G48" s="85">
        <v>898</v>
      </c>
      <c r="H48" s="85">
        <v>891</v>
      </c>
      <c r="I48" s="85">
        <v>918</v>
      </c>
      <c r="J48" s="85">
        <v>931</v>
      </c>
      <c r="K48" s="85">
        <v>937</v>
      </c>
    </row>
    <row r="49" spans="1:11" x14ac:dyDescent="0.15">
      <c r="A49" s="25" t="s">
        <v>144</v>
      </c>
      <c r="B49" s="85">
        <v>2181</v>
      </c>
      <c r="C49" s="85">
        <v>2297</v>
      </c>
      <c r="D49" s="85">
        <v>2304</v>
      </c>
      <c r="E49" s="85">
        <v>2381</v>
      </c>
      <c r="F49" s="85">
        <v>2665</v>
      </c>
      <c r="G49" s="85">
        <v>2474</v>
      </c>
      <c r="H49" s="85">
        <v>2600</v>
      </c>
      <c r="I49" s="85">
        <v>2554</v>
      </c>
      <c r="J49" s="85">
        <v>2656</v>
      </c>
      <c r="K49" s="85">
        <v>2509</v>
      </c>
    </row>
    <row r="50" spans="1:11" x14ac:dyDescent="0.15">
      <c r="A50" s="25" t="s">
        <v>143</v>
      </c>
      <c r="B50" s="85">
        <v>3226</v>
      </c>
      <c r="C50" s="85">
        <v>3409</v>
      </c>
      <c r="D50" s="85">
        <v>3301</v>
      </c>
      <c r="E50" s="85">
        <v>3402</v>
      </c>
      <c r="F50" s="85">
        <v>3479</v>
      </c>
      <c r="G50" s="85">
        <v>3694</v>
      </c>
      <c r="H50" s="85">
        <v>3573</v>
      </c>
      <c r="I50" s="85">
        <v>3664</v>
      </c>
      <c r="J50" s="85">
        <v>3795</v>
      </c>
      <c r="K50" s="85">
        <v>3665</v>
      </c>
    </row>
    <row r="51" spans="1:11" x14ac:dyDescent="0.15">
      <c r="A51" s="25" t="s">
        <v>22</v>
      </c>
      <c r="B51" s="25">
        <f t="shared" ref="B51:K51" si="2">B49+B48+B46+B45</f>
        <v>3273</v>
      </c>
      <c r="C51" s="25">
        <f t="shared" si="2"/>
        <v>3399</v>
      </c>
      <c r="D51" s="25">
        <f t="shared" si="2"/>
        <v>3434</v>
      </c>
      <c r="E51" s="25">
        <f t="shared" si="2"/>
        <v>3513</v>
      </c>
      <c r="F51" s="25">
        <f t="shared" si="2"/>
        <v>3554</v>
      </c>
      <c r="G51" s="25">
        <f t="shared" si="2"/>
        <v>3694</v>
      </c>
      <c r="H51" s="25">
        <f t="shared" si="2"/>
        <v>3811</v>
      </c>
      <c r="I51" s="25">
        <f t="shared" si="2"/>
        <v>3808</v>
      </c>
      <c r="J51" s="25">
        <f t="shared" si="2"/>
        <v>3972</v>
      </c>
      <c r="K51" s="25">
        <f t="shared" si="2"/>
        <v>3850</v>
      </c>
    </row>
    <row r="55" spans="1:11" x14ac:dyDescent="0.15">
      <c r="A55" s="84" t="s">
        <v>142</v>
      </c>
    </row>
    <row r="56" spans="1:11" s="86" customFormat="1" x14ac:dyDescent="0.15">
      <c r="A56" s="88" t="s">
        <v>129</v>
      </c>
      <c r="B56" s="87">
        <v>41729</v>
      </c>
      <c r="C56" s="87">
        <v>42094</v>
      </c>
      <c r="D56" s="87">
        <v>42460</v>
      </c>
      <c r="E56" s="87">
        <v>42825</v>
      </c>
      <c r="F56" s="87">
        <v>43190</v>
      </c>
      <c r="G56" s="87">
        <v>43555</v>
      </c>
      <c r="H56" s="87">
        <v>43921</v>
      </c>
      <c r="I56" s="87">
        <v>44286</v>
      </c>
      <c r="J56" s="87">
        <v>44651</v>
      </c>
      <c r="K56" s="87">
        <v>45016</v>
      </c>
    </row>
    <row r="57" spans="1:11" x14ac:dyDescent="0.15">
      <c r="A57" s="25" t="s">
        <v>141</v>
      </c>
      <c r="B57" s="85">
        <v>216.27</v>
      </c>
      <c r="C57" s="85">
        <v>216.35</v>
      </c>
      <c r="D57" s="85">
        <v>216</v>
      </c>
      <c r="E57" s="85">
        <v>216</v>
      </c>
      <c r="F57" s="85">
        <v>216</v>
      </c>
      <c r="G57" s="85">
        <v>216</v>
      </c>
      <c r="H57" s="85">
        <v>216</v>
      </c>
      <c r="I57" s="85">
        <v>235</v>
      </c>
      <c r="J57" s="85">
        <v>235</v>
      </c>
      <c r="K57" s="85">
        <v>235</v>
      </c>
    </row>
    <row r="58" spans="1:11" x14ac:dyDescent="0.15">
      <c r="A58" s="25" t="s">
        <v>140</v>
      </c>
      <c r="B58" s="85">
        <v>3321.02</v>
      </c>
      <c r="C58" s="85">
        <v>3811.13</v>
      </c>
      <c r="D58" s="85">
        <v>6357</v>
      </c>
      <c r="E58" s="85">
        <v>6528</v>
      </c>
      <c r="F58" s="85">
        <v>7065</v>
      </c>
      <c r="G58" s="85">
        <v>7651</v>
      </c>
      <c r="H58" s="85">
        <v>8013</v>
      </c>
      <c r="I58" s="85">
        <v>47439</v>
      </c>
      <c r="J58" s="85">
        <v>48826</v>
      </c>
      <c r="K58" s="85">
        <v>50069</v>
      </c>
    </row>
    <row r="59" spans="1:11" ht="15" x14ac:dyDescent="0.2">
      <c r="A59" s="25" t="s">
        <v>139</v>
      </c>
      <c r="B59" s="90">
        <v>45.58</v>
      </c>
      <c r="C59" s="90">
        <v>43.04</v>
      </c>
      <c r="D59" s="90">
        <v>177</v>
      </c>
      <c r="E59" s="90">
        <v>277</v>
      </c>
      <c r="F59" s="90"/>
      <c r="G59" s="90">
        <v>99</v>
      </c>
      <c r="H59" s="90"/>
      <c r="I59" s="90">
        <v>1009</v>
      </c>
      <c r="J59" s="90">
        <v>1043</v>
      </c>
      <c r="K59" s="90">
        <v>1219</v>
      </c>
    </row>
    <row r="60" spans="1:11" x14ac:dyDescent="0.15">
      <c r="A60" s="25" t="s">
        <v>138</v>
      </c>
      <c r="B60" s="85">
        <v>10171.02</v>
      </c>
      <c r="C60" s="85">
        <v>10359.01</v>
      </c>
      <c r="D60" s="85">
        <v>8043</v>
      </c>
      <c r="E60" s="85">
        <v>8685</v>
      </c>
      <c r="F60" s="85">
        <v>10581</v>
      </c>
      <c r="G60" s="85">
        <v>10663</v>
      </c>
      <c r="H60" s="85">
        <v>11924</v>
      </c>
      <c r="I60" s="85">
        <v>20057</v>
      </c>
      <c r="J60" s="85">
        <v>20402</v>
      </c>
      <c r="K60" s="85">
        <v>21554</v>
      </c>
    </row>
    <row r="61" spans="1:11" s="84" customFormat="1" x14ac:dyDescent="0.15">
      <c r="A61" s="84" t="s">
        <v>136</v>
      </c>
      <c r="B61" s="85">
        <v>13753.89</v>
      </c>
      <c r="C61" s="85">
        <v>14429.53</v>
      </c>
      <c r="D61" s="85">
        <v>14793</v>
      </c>
      <c r="E61" s="85">
        <v>15706</v>
      </c>
      <c r="F61" s="85">
        <v>17862</v>
      </c>
      <c r="G61" s="85">
        <v>18629</v>
      </c>
      <c r="H61" s="85">
        <v>20153</v>
      </c>
      <c r="I61" s="85">
        <v>68740</v>
      </c>
      <c r="J61" s="85">
        <v>70506</v>
      </c>
      <c r="K61" s="85">
        <v>73077</v>
      </c>
    </row>
    <row r="62" spans="1:11" x14ac:dyDescent="0.15">
      <c r="A62" s="25" t="s">
        <v>137</v>
      </c>
      <c r="B62" s="85">
        <v>2746.24</v>
      </c>
      <c r="C62" s="85">
        <v>2821.01</v>
      </c>
      <c r="D62" s="85">
        <v>3258</v>
      </c>
      <c r="E62" s="85">
        <v>4419</v>
      </c>
      <c r="F62" s="85">
        <v>4528</v>
      </c>
      <c r="G62" s="85">
        <v>4715</v>
      </c>
      <c r="H62" s="85">
        <v>5479</v>
      </c>
      <c r="I62" s="85">
        <v>51443</v>
      </c>
      <c r="J62" s="85">
        <v>51473</v>
      </c>
      <c r="K62" s="85">
        <v>52678</v>
      </c>
    </row>
    <row r="63" spans="1:11" x14ac:dyDescent="0.15">
      <c r="A63" s="25" t="s">
        <v>81</v>
      </c>
      <c r="B63" s="85">
        <v>372.6</v>
      </c>
      <c r="C63" s="85">
        <v>516.29999999999995</v>
      </c>
      <c r="D63" s="85">
        <v>408</v>
      </c>
      <c r="E63" s="85">
        <v>229</v>
      </c>
      <c r="F63" s="85">
        <v>461</v>
      </c>
      <c r="G63" s="85">
        <v>406</v>
      </c>
      <c r="H63" s="85">
        <v>597</v>
      </c>
      <c r="I63" s="85">
        <v>745</v>
      </c>
      <c r="J63" s="85">
        <v>1313</v>
      </c>
      <c r="K63" s="85">
        <v>1132</v>
      </c>
    </row>
    <row r="64" spans="1:11" ht="15" x14ac:dyDescent="0.2">
      <c r="A64" s="25" t="s">
        <v>82</v>
      </c>
      <c r="B64" s="85">
        <v>2838.14</v>
      </c>
      <c r="C64" s="90">
        <v>3025.08</v>
      </c>
      <c r="D64" s="85">
        <v>2592</v>
      </c>
      <c r="E64" s="85">
        <v>3794</v>
      </c>
      <c r="F64" s="85">
        <v>2873</v>
      </c>
      <c r="G64" s="85">
        <v>2716</v>
      </c>
      <c r="H64" s="85">
        <v>1255</v>
      </c>
      <c r="I64" s="85">
        <v>2709</v>
      </c>
      <c r="J64" s="85">
        <v>3521</v>
      </c>
      <c r="K64" s="85">
        <v>2882</v>
      </c>
    </row>
    <row r="65" spans="1:17" x14ac:dyDescent="0.15">
      <c r="A65" s="25" t="s">
        <v>83</v>
      </c>
      <c r="B65" s="85">
        <v>7796.91</v>
      </c>
      <c r="C65" s="85">
        <v>8067.14</v>
      </c>
      <c r="D65" s="85">
        <v>8535</v>
      </c>
      <c r="E65" s="85">
        <v>7264</v>
      </c>
      <c r="F65" s="85">
        <v>10000</v>
      </c>
      <c r="G65" s="85">
        <v>10792</v>
      </c>
      <c r="H65" s="85">
        <v>12822</v>
      </c>
      <c r="I65" s="85">
        <v>13843</v>
      </c>
      <c r="J65" s="85">
        <v>14199</v>
      </c>
      <c r="K65" s="85">
        <v>16385</v>
      </c>
    </row>
    <row r="66" spans="1:17" s="84" customFormat="1" x14ac:dyDescent="0.15">
      <c r="A66" s="84" t="s">
        <v>136</v>
      </c>
      <c r="B66" s="85">
        <v>13753.89</v>
      </c>
      <c r="C66" s="85">
        <v>14429.53</v>
      </c>
      <c r="D66" s="85">
        <v>14793</v>
      </c>
      <c r="E66" s="85">
        <v>15706</v>
      </c>
      <c r="F66" s="85">
        <v>17862</v>
      </c>
      <c r="G66" s="85">
        <v>18629</v>
      </c>
      <c r="H66" s="85">
        <v>20153</v>
      </c>
      <c r="I66" s="85">
        <v>68740</v>
      </c>
      <c r="J66" s="85">
        <v>70506</v>
      </c>
      <c r="K66" s="85">
        <v>73077</v>
      </c>
    </row>
    <row r="67" spans="1:17" x14ac:dyDescent="0.15">
      <c r="A67" s="25" t="s">
        <v>135</v>
      </c>
      <c r="B67" s="85">
        <v>1016.81</v>
      </c>
      <c r="C67" s="85">
        <v>1010.28</v>
      </c>
      <c r="D67" s="85">
        <v>1264</v>
      </c>
      <c r="E67" s="85">
        <v>1085</v>
      </c>
      <c r="F67" s="85">
        <v>1310</v>
      </c>
      <c r="G67" s="85">
        <v>1816</v>
      </c>
      <c r="H67" s="85">
        <v>1149</v>
      </c>
      <c r="I67" s="85">
        <v>1758</v>
      </c>
      <c r="J67" s="85">
        <v>2236</v>
      </c>
      <c r="K67" s="85">
        <v>3079</v>
      </c>
    </row>
    <row r="68" spans="1:17" ht="15" x14ac:dyDescent="0.2">
      <c r="A68" s="25" t="s">
        <v>32</v>
      </c>
      <c r="B68" s="90">
        <v>2939.83</v>
      </c>
      <c r="C68" s="90">
        <v>2848.79</v>
      </c>
      <c r="D68" s="90">
        <v>2726</v>
      </c>
      <c r="E68" s="90">
        <v>2541</v>
      </c>
      <c r="F68" s="90">
        <v>2513</v>
      </c>
      <c r="G68" s="90">
        <v>2574</v>
      </c>
      <c r="H68" s="90">
        <v>2767</v>
      </c>
      <c r="I68" s="90">
        <v>3579</v>
      </c>
      <c r="J68" s="90">
        <v>4096</v>
      </c>
      <c r="K68" s="90">
        <v>4251</v>
      </c>
    </row>
    <row r="69" spans="1:17" x14ac:dyDescent="0.15">
      <c r="A69" s="25" t="s">
        <v>134</v>
      </c>
      <c r="B69" s="85">
        <v>2516.0300000000002</v>
      </c>
      <c r="C69" s="85">
        <v>2689.49</v>
      </c>
      <c r="D69" s="85">
        <v>3009</v>
      </c>
      <c r="E69" s="85">
        <v>1828</v>
      </c>
      <c r="F69" s="85">
        <v>3485</v>
      </c>
      <c r="G69" s="85">
        <v>3757</v>
      </c>
      <c r="H69" s="85">
        <v>5113</v>
      </c>
      <c r="I69" s="85">
        <v>4471</v>
      </c>
      <c r="J69" s="85">
        <v>3846</v>
      </c>
      <c r="K69" s="85">
        <v>4678</v>
      </c>
    </row>
    <row r="70" spans="1:17" x14ac:dyDescent="0.15">
      <c r="A70" s="25" t="s">
        <v>133</v>
      </c>
      <c r="B70" s="85">
        <v>2162696292</v>
      </c>
      <c r="C70" s="85">
        <v>2163464851</v>
      </c>
      <c r="D70" s="85">
        <v>2163936971</v>
      </c>
      <c r="E70" s="85">
        <v>2164349639</v>
      </c>
      <c r="F70" s="85">
        <v>2164528777</v>
      </c>
      <c r="G70" s="85">
        <v>2164704405</v>
      </c>
      <c r="H70" s="85">
        <v>2164704405</v>
      </c>
      <c r="I70" s="85">
        <v>2349567819</v>
      </c>
      <c r="J70" s="85">
        <v>2349591262</v>
      </c>
      <c r="K70" s="85">
        <v>2349591262</v>
      </c>
    </row>
    <row r="71" spans="1:17" ht="14" x14ac:dyDescent="0.15">
      <c r="A71" s="25" t="s">
        <v>132</v>
      </c>
      <c r="B71" s="89"/>
      <c r="C71" s="89"/>
      <c r="G71" s="89"/>
      <c r="H71" s="89"/>
    </row>
    <row r="72" spans="1:17" ht="15" x14ac:dyDescent="0.2">
      <c r="A72" s="25" t="s">
        <v>131</v>
      </c>
      <c r="B72" s="85">
        <v>1</v>
      </c>
      <c r="C72" s="85">
        <v>1</v>
      </c>
      <c r="D72" s="85">
        <v>1</v>
      </c>
      <c r="E72" s="85">
        <v>1</v>
      </c>
      <c r="F72" s="85">
        <v>1</v>
      </c>
      <c r="G72" s="85">
        <v>1</v>
      </c>
      <c r="H72" s="85">
        <v>1</v>
      </c>
      <c r="I72" s="85">
        <v>1</v>
      </c>
      <c r="J72" s="85">
        <v>1</v>
      </c>
      <c r="K72" s="85">
        <v>1</v>
      </c>
      <c r="O72" s="92"/>
      <c r="P72" s="92"/>
      <c r="Q72" s="92"/>
    </row>
    <row r="73" spans="1:17" ht="14" x14ac:dyDescent="0.15">
      <c r="H73" s="25">
        <f>H62-G62+H45</f>
        <v>1055</v>
      </c>
      <c r="I73" s="25">
        <f>I62-H62+I45</f>
        <v>46250</v>
      </c>
      <c r="J73" s="25">
        <f>J62-I62+J45</f>
        <v>327</v>
      </c>
      <c r="K73" s="25">
        <f>K62-J62+K45</f>
        <v>1518</v>
      </c>
      <c r="O73" s="98">
        <v>40969</v>
      </c>
      <c r="P73" s="98">
        <v>44986</v>
      </c>
      <c r="Q73" s="98">
        <v>45170</v>
      </c>
    </row>
    <row r="74" spans="1:17" ht="14" x14ac:dyDescent="0.15">
      <c r="O74" s="93" t="s">
        <v>173</v>
      </c>
      <c r="P74" s="94">
        <v>235</v>
      </c>
      <c r="Q74" s="94">
        <v>235</v>
      </c>
    </row>
    <row r="75" spans="1:17" ht="14" x14ac:dyDescent="0.15">
      <c r="O75" s="93" t="s">
        <v>140</v>
      </c>
      <c r="P75" s="95">
        <v>48826</v>
      </c>
      <c r="Q75" s="95">
        <v>50069</v>
      </c>
    </row>
    <row r="76" spans="1:17" ht="14" x14ac:dyDescent="0.15">
      <c r="O76" s="96" t="s">
        <v>174</v>
      </c>
      <c r="P76" s="97">
        <v>1043</v>
      </c>
      <c r="Q76" s="97">
        <v>1219</v>
      </c>
    </row>
    <row r="77" spans="1:17" ht="14" x14ac:dyDescent="0.15">
      <c r="O77" s="93" t="s">
        <v>175</v>
      </c>
      <c r="P77" s="94">
        <v>0</v>
      </c>
      <c r="Q77" s="94">
        <v>0</v>
      </c>
    </row>
    <row r="78" spans="1:17" ht="14" x14ac:dyDescent="0.15">
      <c r="O78" s="93" t="s">
        <v>176</v>
      </c>
      <c r="P78" s="94">
        <v>0</v>
      </c>
      <c r="Q78" s="94">
        <v>98</v>
      </c>
    </row>
    <row r="79" spans="1:17" ht="14" x14ac:dyDescent="0.15">
      <c r="O79" s="93" t="s">
        <v>177</v>
      </c>
      <c r="P79" s="95">
        <v>1043</v>
      </c>
      <c r="Q79" s="95">
        <v>1121</v>
      </c>
    </row>
    <row r="80" spans="1:17" ht="14" x14ac:dyDescent="0.15">
      <c r="A80" s="84" t="s">
        <v>130</v>
      </c>
      <c r="O80" s="96" t="s">
        <v>178</v>
      </c>
      <c r="P80" s="97">
        <v>20402</v>
      </c>
      <c r="Q80" s="97">
        <v>21554</v>
      </c>
    </row>
    <row r="81" spans="1:19" s="86" customFormat="1" ht="14" x14ac:dyDescent="0.15">
      <c r="A81" s="88" t="s">
        <v>129</v>
      </c>
      <c r="B81" s="87">
        <v>41729</v>
      </c>
      <c r="C81" s="87">
        <v>42094</v>
      </c>
      <c r="D81" s="87">
        <v>42460</v>
      </c>
      <c r="E81" s="87">
        <v>42825</v>
      </c>
      <c r="F81" s="87">
        <v>43190</v>
      </c>
      <c r="G81" s="87">
        <v>43555</v>
      </c>
      <c r="H81" s="87">
        <v>43921</v>
      </c>
      <c r="I81" s="87">
        <v>44286</v>
      </c>
      <c r="J81" s="87">
        <v>44651</v>
      </c>
      <c r="K81" s="87">
        <v>45016</v>
      </c>
      <c r="L81" s="87"/>
      <c r="O81" s="93" t="s">
        <v>179</v>
      </c>
      <c r="P81" s="94">
        <v>26</v>
      </c>
      <c r="Q81" s="94">
        <v>218</v>
      </c>
    </row>
    <row r="82" spans="1:19" s="84" customFormat="1" ht="14" x14ac:dyDescent="0.15">
      <c r="A82" s="25" t="s">
        <v>128</v>
      </c>
      <c r="B82" s="85">
        <v>3818.18</v>
      </c>
      <c r="C82" s="85">
        <v>3291.91</v>
      </c>
      <c r="D82" s="85">
        <v>4171</v>
      </c>
      <c r="E82" s="85">
        <v>5185</v>
      </c>
      <c r="F82" s="85">
        <v>6059</v>
      </c>
      <c r="G82" s="85">
        <v>5800</v>
      </c>
      <c r="H82" s="85">
        <v>7623</v>
      </c>
      <c r="I82" s="85">
        <v>9163</v>
      </c>
      <c r="J82" s="85">
        <v>9048</v>
      </c>
      <c r="K82" s="85">
        <v>9991</v>
      </c>
      <c r="O82" s="93" t="s">
        <v>180</v>
      </c>
      <c r="P82" s="95">
        <v>9068</v>
      </c>
      <c r="Q82" s="95">
        <v>9574</v>
      </c>
    </row>
    <row r="83" spans="1:19" ht="14" x14ac:dyDescent="0.15">
      <c r="A83" s="25" t="s">
        <v>127</v>
      </c>
      <c r="B83" s="85">
        <v>-475.04</v>
      </c>
      <c r="C83" s="85">
        <v>137.97</v>
      </c>
      <c r="D83" s="85">
        <v>-282</v>
      </c>
      <c r="E83" s="85">
        <v>-1173</v>
      </c>
      <c r="F83" s="85">
        <v>-1063</v>
      </c>
      <c r="G83" s="85">
        <v>-438</v>
      </c>
      <c r="H83" s="85">
        <v>1791</v>
      </c>
      <c r="I83" s="85">
        <v>-1228</v>
      </c>
      <c r="J83" s="85">
        <v>-1728</v>
      </c>
      <c r="K83" s="85">
        <v>-1484</v>
      </c>
      <c r="O83" s="93" t="s">
        <v>181</v>
      </c>
      <c r="P83" s="94">
        <v>119</v>
      </c>
      <c r="Q83" s="94">
        <v>98</v>
      </c>
    </row>
    <row r="84" spans="1:19" ht="14" x14ac:dyDescent="0.15">
      <c r="A84" s="25" t="s">
        <v>126</v>
      </c>
      <c r="B84" s="85">
        <v>-2960.29</v>
      </c>
      <c r="C84" s="85">
        <v>-3462.42</v>
      </c>
      <c r="D84" s="85">
        <v>-3864</v>
      </c>
      <c r="E84" s="85">
        <v>-4214</v>
      </c>
      <c r="F84" s="85">
        <v>-4975</v>
      </c>
      <c r="G84" s="85">
        <v>-5390</v>
      </c>
      <c r="H84" s="85">
        <v>-6819</v>
      </c>
      <c r="I84" s="85">
        <v>-9309</v>
      </c>
      <c r="J84" s="85">
        <v>-8015</v>
      </c>
      <c r="K84" s="85">
        <v>-8953</v>
      </c>
      <c r="O84" s="93" t="s">
        <v>182</v>
      </c>
      <c r="P84" s="95">
        <v>11189</v>
      </c>
      <c r="Q84" s="95">
        <v>11664</v>
      </c>
      <c r="R84" s="25">
        <f>P84+P83</f>
        <v>11308</v>
      </c>
      <c r="S84" s="25">
        <f t="shared" ref="S84" si="3">Q84+Q83</f>
        <v>11762</v>
      </c>
    </row>
    <row r="85" spans="1:19" s="84" customFormat="1" ht="14" x14ac:dyDescent="0.15">
      <c r="A85" s="25" t="s">
        <v>58</v>
      </c>
      <c r="B85" s="85">
        <v>382.85</v>
      </c>
      <c r="C85" s="85">
        <v>-32.54</v>
      </c>
      <c r="D85" s="85">
        <v>25</v>
      </c>
      <c r="E85" s="85">
        <v>-202</v>
      </c>
      <c r="F85" s="85">
        <v>21</v>
      </c>
      <c r="G85" s="85">
        <v>-28</v>
      </c>
      <c r="H85" s="85">
        <v>2595</v>
      </c>
      <c r="I85" s="85">
        <v>-1374</v>
      </c>
      <c r="J85" s="85">
        <v>-695</v>
      </c>
      <c r="K85" s="85">
        <v>-446</v>
      </c>
      <c r="O85" s="96" t="s">
        <v>183</v>
      </c>
      <c r="P85" s="97">
        <v>70506</v>
      </c>
      <c r="Q85" s="97">
        <v>73077</v>
      </c>
    </row>
    <row r="86" spans="1:19" ht="14" x14ac:dyDescent="0.15">
      <c r="O86" s="96" t="s">
        <v>184</v>
      </c>
      <c r="P86" s="97">
        <v>51473</v>
      </c>
      <c r="Q86" s="97">
        <v>52678</v>
      </c>
    </row>
    <row r="87" spans="1:19" ht="14" x14ac:dyDescent="0.15">
      <c r="O87" s="93" t="s">
        <v>185</v>
      </c>
      <c r="P87" s="94">
        <v>477</v>
      </c>
      <c r="Q87" s="94">
        <v>476</v>
      </c>
    </row>
    <row r="88" spans="1:19" ht="14" x14ac:dyDescent="0.15">
      <c r="O88" s="93" t="s">
        <v>186</v>
      </c>
      <c r="P88" s="95">
        <v>2788</v>
      </c>
      <c r="Q88" s="95">
        <v>3234</v>
      </c>
    </row>
    <row r="89" spans="1:19" ht="14" x14ac:dyDescent="0.15">
      <c r="O89" s="93" t="s">
        <v>187</v>
      </c>
      <c r="P89" s="95">
        <v>6566</v>
      </c>
      <c r="Q89" s="95">
        <v>7645</v>
      </c>
    </row>
    <row r="90" spans="1:19" s="84" customFormat="1" ht="14" x14ac:dyDescent="0.15">
      <c r="A90" s="84" t="s">
        <v>125</v>
      </c>
      <c r="B90" s="85">
        <v>605.54999999999995</v>
      </c>
      <c r="C90" s="85">
        <v>873.55</v>
      </c>
      <c r="D90" s="85">
        <v>869.5</v>
      </c>
      <c r="E90" s="85">
        <v>911.75</v>
      </c>
      <c r="F90" s="85">
        <v>1333.35</v>
      </c>
      <c r="G90" s="85">
        <v>1706.8</v>
      </c>
      <c r="H90" s="85">
        <v>2298.5</v>
      </c>
      <c r="I90" s="85">
        <v>2431.5</v>
      </c>
      <c r="J90" s="85">
        <v>2048.65</v>
      </c>
      <c r="K90" s="85">
        <v>2560.35</v>
      </c>
      <c r="O90" s="93" t="s">
        <v>188</v>
      </c>
      <c r="P90" s="94">
        <v>181</v>
      </c>
      <c r="Q90" s="94">
        <v>185</v>
      </c>
    </row>
    <row r="91" spans="1:19" ht="14" x14ac:dyDescent="0.15">
      <c r="O91" s="93" t="s">
        <v>189</v>
      </c>
      <c r="P91" s="94">
        <v>152</v>
      </c>
      <c r="Q91" s="94">
        <v>161</v>
      </c>
    </row>
    <row r="92" spans="1:19" s="84" customFormat="1" ht="14" x14ac:dyDescent="0.15">
      <c r="A92" s="84" t="s">
        <v>124</v>
      </c>
      <c r="O92" s="93" t="s">
        <v>190</v>
      </c>
      <c r="P92" s="94">
        <v>0</v>
      </c>
      <c r="Q92" s="94">
        <v>0</v>
      </c>
    </row>
    <row r="93" spans="1:19" ht="14" x14ac:dyDescent="0.15">
      <c r="A93" s="25" t="s">
        <v>123</v>
      </c>
      <c r="B93" s="83">
        <v>216.27</v>
      </c>
      <c r="C93" s="83">
        <v>216.35</v>
      </c>
      <c r="D93" s="83">
        <v>216.39</v>
      </c>
      <c r="E93" s="83">
        <v>216.43</v>
      </c>
      <c r="F93" s="83">
        <v>216.45</v>
      </c>
      <c r="G93" s="83">
        <v>216.47</v>
      </c>
      <c r="H93" s="83">
        <v>216.48</v>
      </c>
      <c r="I93" s="83">
        <v>234.96</v>
      </c>
      <c r="J93" s="83">
        <v>234.96</v>
      </c>
      <c r="K93" s="83">
        <v>234.96</v>
      </c>
      <c r="O93" s="93" t="s">
        <v>191</v>
      </c>
      <c r="P93" s="94">
        <v>0</v>
      </c>
      <c r="Q93" s="94">
        <v>0</v>
      </c>
    </row>
    <row r="94" spans="1:19" ht="14" x14ac:dyDescent="0.15">
      <c r="O94" s="93" t="s">
        <v>192</v>
      </c>
      <c r="P94" s="95">
        <v>45262</v>
      </c>
      <c r="Q94" s="95">
        <v>45692</v>
      </c>
    </row>
    <row r="95" spans="1:19" ht="15" x14ac:dyDescent="0.2">
      <c r="O95" s="93" t="s">
        <v>193</v>
      </c>
      <c r="P95" s="92"/>
      <c r="Q95" s="92"/>
    </row>
    <row r="107" spans="1:13" ht="24" x14ac:dyDescent="0.2">
      <c r="A107" s="99" t="s">
        <v>194</v>
      </c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32" x14ac:dyDescent="0.2">
      <c r="A108" s="100" t="s">
        <v>195</v>
      </c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" x14ac:dyDescent="0.15">
      <c r="A109" s="101"/>
      <c r="B109" s="102">
        <v>40969</v>
      </c>
      <c r="C109" s="102">
        <v>41334</v>
      </c>
      <c r="D109" s="102">
        <v>41699</v>
      </c>
      <c r="E109" s="102">
        <v>42064</v>
      </c>
      <c r="F109" s="102">
        <v>42430</v>
      </c>
      <c r="G109" s="102">
        <v>42795</v>
      </c>
      <c r="H109" s="102">
        <v>43160</v>
      </c>
      <c r="I109" s="102">
        <v>43525</v>
      </c>
      <c r="J109" s="102">
        <v>43891</v>
      </c>
      <c r="K109" s="102">
        <v>44256</v>
      </c>
      <c r="L109" s="102">
        <v>44621</v>
      </c>
      <c r="M109" s="102">
        <v>44986</v>
      </c>
    </row>
    <row r="110" spans="1:13" ht="14" x14ac:dyDescent="0.15">
      <c r="A110" s="103" t="s">
        <v>196</v>
      </c>
      <c r="B110" s="104">
        <v>2932</v>
      </c>
      <c r="C110" s="104">
        <v>3605</v>
      </c>
      <c r="D110" s="104">
        <v>3818</v>
      </c>
      <c r="E110" s="104">
        <v>3292</v>
      </c>
      <c r="F110" s="104">
        <v>4171</v>
      </c>
      <c r="G110" s="104">
        <v>5185</v>
      </c>
      <c r="H110" s="104">
        <v>6059</v>
      </c>
      <c r="I110" s="104">
        <v>5800</v>
      </c>
      <c r="J110" s="104">
        <v>7623</v>
      </c>
      <c r="K110" s="104">
        <v>9163</v>
      </c>
      <c r="L110" s="104">
        <v>9048</v>
      </c>
      <c r="M110" s="104">
        <v>9991</v>
      </c>
    </row>
    <row r="111" spans="1:13" ht="14" x14ac:dyDescent="0.15">
      <c r="A111" s="103" t="s">
        <v>197</v>
      </c>
      <c r="B111" s="104">
        <v>3541</v>
      </c>
      <c r="C111" s="104">
        <v>4266</v>
      </c>
      <c r="D111" s="104">
        <v>4802</v>
      </c>
      <c r="E111" s="104">
        <v>5510</v>
      </c>
      <c r="F111" s="104">
        <v>6025</v>
      </c>
      <c r="G111" s="104">
        <v>6512</v>
      </c>
      <c r="H111" s="104">
        <v>7485</v>
      </c>
      <c r="I111" s="104">
        <v>8909</v>
      </c>
      <c r="J111" s="104">
        <v>9723</v>
      </c>
      <c r="K111" s="104">
        <v>11672</v>
      </c>
      <c r="L111" s="104">
        <v>12829</v>
      </c>
      <c r="M111" s="104">
        <v>14089</v>
      </c>
    </row>
    <row r="112" spans="1:13" ht="14" x14ac:dyDescent="0.15">
      <c r="A112" s="105" t="s">
        <v>135</v>
      </c>
      <c r="B112" s="106">
        <v>84</v>
      </c>
      <c r="C112" s="106">
        <v>-149</v>
      </c>
      <c r="D112" s="106">
        <v>-17</v>
      </c>
      <c r="E112" s="106">
        <v>3</v>
      </c>
      <c r="F112" s="106">
        <v>-257</v>
      </c>
      <c r="G112" s="106">
        <v>173</v>
      </c>
      <c r="H112" s="106">
        <v>0</v>
      </c>
      <c r="I112" s="106">
        <v>0</v>
      </c>
      <c r="J112" s="106">
        <v>0</v>
      </c>
      <c r="K112" s="106">
        <v>0</v>
      </c>
      <c r="L112" s="106">
        <v>0</v>
      </c>
      <c r="M112" s="106">
        <v>0</v>
      </c>
    </row>
    <row r="113" spans="1:15" ht="14" x14ac:dyDescent="0.15">
      <c r="A113" s="105" t="s">
        <v>32</v>
      </c>
      <c r="B113" s="106">
        <v>208</v>
      </c>
      <c r="C113" s="106">
        <v>-39</v>
      </c>
      <c r="D113" s="106">
        <v>-201</v>
      </c>
      <c r="E113" s="106">
        <v>91</v>
      </c>
      <c r="F113" s="106">
        <v>89</v>
      </c>
      <c r="G113" s="106">
        <v>37</v>
      </c>
      <c r="H113" s="106">
        <v>-146</v>
      </c>
      <c r="I113" s="106">
        <v>-195</v>
      </c>
      <c r="J113" s="106">
        <v>-331</v>
      </c>
      <c r="K113" s="106">
        <v>-543</v>
      </c>
      <c r="L113" s="106">
        <v>-758</v>
      </c>
      <c r="M113" s="106">
        <v>-339</v>
      </c>
    </row>
    <row r="114" spans="1:15" ht="14" x14ac:dyDescent="0.15">
      <c r="A114" s="105" t="s">
        <v>198</v>
      </c>
      <c r="B114" s="106">
        <v>-226</v>
      </c>
      <c r="C114" s="106">
        <v>493</v>
      </c>
      <c r="D114" s="106">
        <v>546</v>
      </c>
      <c r="E114" s="106">
        <v>-327</v>
      </c>
      <c r="F114" s="106">
        <v>164</v>
      </c>
      <c r="G114" s="106">
        <v>501</v>
      </c>
      <c r="H114" s="106">
        <v>0</v>
      </c>
      <c r="I114" s="106">
        <v>0</v>
      </c>
      <c r="J114" s="106">
        <v>0</v>
      </c>
      <c r="K114" s="106">
        <v>0</v>
      </c>
      <c r="L114" s="106">
        <v>0</v>
      </c>
      <c r="M114" s="106">
        <v>0</v>
      </c>
    </row>
    <row r="115" spans="1:15" ht="14" x14ac:dyDescent="0.15">
      <c r="A115" s="105" t="s">
        <v>199</v>
      </c>
      <c r="B115" s="106">
        <v>-65</v>
      </c>
      <c r="C115" s="106">
        <v>-152</v>
      </c>
      <c r="D115" s="106">
        <v>-4</v>
      </c>
      <c r="E115" s="106">
        <v>-148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</row>
    <row r="116" spans="1:15" ht="14" x14ac:dyDescent="0.15">
      <c r="A116" s="105" t="s">
        <v>200</v>
      </c>
      <c r="B116" s="106">
        <v>0</v>
      </c>
      <c r="C116" s="106">
        <v>0</v>
      </c>
      <c r="D116" s="106">
        <v>0</v>
      </c>
      <c r="E116" s="106">
        <v>0</v>
      </c>
      <c r="F116" s="106">
        <v>0</v>
      </c>
      <c r="G116" s="106">
        <v>-46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</row>
    <row r="117" spans="1:15" ht="14" x14ac:dyDescent="0.15">
      <c r="A117" s="105" t="s">
        <v>201</v>
      </c>
      <c r="B117" s="106">
        <v>100</v>
      </c>
      <c r="C117" s="106">
        <v>276</v>
      </c>
      <c r="D117" s="106">
        <v>81</v>
      </c>
      <c r="E117" s="106">
        <v>38</v>
      </c>
      <c r="F117" s="106">
        <v>-77</v>
      </c>
      <c r="G117" s="106">
        <v>-99</v>
      </c>
      <c r="H117" s="106">
        <v>982</v>
      </c>
      <c r="I117" s="106">
        <v>-147</v>
      </c>
      <c r="J117" s="106">
        <v>742</v>
      </c>
      <c r="K117" s="106">
        <v>442</v>
      </c>
      <c r="L117" s="106">
        <v>-242</v>
      </c>
      <c r="M117" s="106">
        <v>-619</v>
      </c>
    </row>
    <row r="118" spans="1:15" ht="14" x14ac:dyDescent="0.15">
      <c r="A118" s="103" t="s">
        <v>202</v>
      </c>
      <c r="B118" s="107">
        <v>100</v>
      </c>
      <c r="C118" s="107">
        <v>429</v>
      </c>
      <c r="D118" s="107">
        <v>405</v>
      </c>
      <c r="E118" s="107">
        <v>-342</v>
      </c>
      <c r="F118" s="107">
        <v>-81</v>
      </c>
      <c r="G118" s="107">
        <v>566</v>
      </c>
      <c r="H118" s="107">
        <v>836</v>
      </c>
      <c r="I118" s="107">
        <v>-342</v>
      </c>
      <c r="J118" s="107">
        <v>411</v>
      </c>
      <c r="K118" s="107">
        <v>-101</v>
      </c>
      <c r="L118" s="104">
        <v>-1000</v>
      </c>
      <c r="M118" s="107">
        <v>-958</v>
      </c>
    </row>
    <row r="119" spans="1:15" ht="14" x14ac:dyDescent="0.15">
      <c r="A119" s="105" t="s">
        <v>203</v>
      </c>
      <c r="B119" s="106">
        <v>-695</v>
      </c>
      <c r="C119" s="108">
        <v>-1074</v>
      </c>
      <c r="D119" s="108">
        <v>-1384</v>
      </c>
      <c r="E119" s="108">
        <v>-1862</v>
      </c>
      <c r="F119" s="108">
        <v>-1765</v>
      </c>
      <c r="G119" s="108">
        <v>-1859</v>
      </c>
      <c r="H119" s="108">
        <v>-2264</v>
      </c>
      <c r="I119" s="108">
        <v>-2767</v>
      </c>
      <c r="J119" s="108">
        <v>-2505</v>
      </c>
      <c r="K119" s="108">
        <v>-2407</v>
      </c>
      <c r="L119" s="108">
        <v>-2784</v>
      </c>
      <c r="M119" s="108">
        <v>-3138</v>
      </c>
    </row>
    <row r="120" spans="1:15" ht="14" x14ac:dyDescent="0.15">
      <c r="A120" s="105" t="s">
        <v>204</v>
      </c>
      <c r="B120" s="106">
        <v>0</v>
      </c>
      <c r="C120" s="106">
        <v>0</v>
      </c>
      <c r="D120" s="106">
        <v>-5</v>
      </c>
      <c r="E120" s="106">
        <v>-14</v>
      </c>
      <c r="F120" s="106">
        <v>-8</v>
      </c>
      <c r="G120" s="106">
        <v>-21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-1</v>
      </c>
    </row>
    <row r="121" spans="1:15" ht="14" x14ac:dyDescent="0.15">
      <c r="A121" s="105" t="s">
        <v>205</v>
      </c>
      <c r="B121" s="106">
        <v>-15</v>
      </c>
      <c r="C121" s="106">
        <v>-17</v>
      </c>
      <c r="D121" s="106">
        <v>0</v>
      </c>
      <c r="E121" s="106">
        <v>0</v>
      </c>
      <c r="F121" s="106">
        <v>0</v>
      </c>
      <c r="G121" s="106">
        <v>-13</v>
      </c>
      <c r="H121" s="106">
        <v>2</v>
      </c>
      <c r="I121" s="106">
        <v>0</v>
      </c>
      <c r="J121" s="106">
        <v>-6</v>
      </c>
      <c r="K121" s="106">
        <v>-1</v>
      </c>
      <c r="L121" s="106">
        <v>3</v>
      </c>
      <c r="M121" s="106">
        <v>-1</v>
      </c>
    </row>
    <row r="122" spans="1:15" ht="14" x14ac:dyDescent="0.15">
      <c r="A122" s="103" t="s">
        <v>206</v>
      </c>
      <c r="B122" s="107">
        <v>-514</v>
      </c>
      <c r="C122" s="107">
        <v>63</v>
      </c>
      <c r="D122" s="107">
        <v>-475</v>
      </c>
      <c r="E122" s="107">
        <v>138</v>
      </c>
      <c r="F122" s="107">
        <v>-282</v>
      </c>
      <c r="G122" s="104">
        <v>-1173</v>
      </c>
      <c r="H122" s="104">
        <v>-1063</v>
      </c>
      <c r="I122" s="107">
        <v>-438</v>
      </c>
      <c r="J122" s="104">
        <v>1791</v>
      </c>
      <c r="K122" s="104">
        <v>-1228</v>
      </c>
      <c r="L122" s="104">
        <v>-1728</v>
      </c>
      <c r="M122" s="104">
        <v>-1484</v>
      </c>
    </row>
    <row r="123" spans="1:15" ht="14" x14ac:dyDescent="0.15">
      <c r="A123" s="105" t="s">
        <v>207</v>
      </c>
      <c r="B123" s="106">
        <v>-281</v>
      </c>
      <c r="C123" s="106">
        <v>-441</v>
      </c>
      <c r="D123" s="106">
        <v>-606</v>
      </c>
      <c r="E123" s="106">
        <v>-606</v>
      </c>
      <c r="F123" s="106">
        <v>-810</v>
      </c>
      <c r="G123" s="108">
        <v>-1113</v>
      </c>
      <c r="H123" s="106">
        <v>-895</v>
      </c>
      <c r="I123" s="106">
        <v>-767</v>
      </c>
      <c r="J123" s="106">
        <v>-862</v>
      </c>
      <c r="K123" s="108">
        <v>-4163</v>
      </c>
      <c r="L123" s="108">
        <v>-1228</v>
      </c>
      <c r="M123" s="108">
        <v>-1192</v>
      </c>
    </row>
    <row r="124" spans="1:15" ht="14" x14ac:dyDescent="0.15">
      <c r="A124" s="105" t="s">
        <v>208</v>
      </c>
      <c r="B124" s="106">
        <v>7</v>
      </c>
      <c r="C124" s="106">
        <v>1</v>
      </c>
      <c r="D124" s="106">
        <v>229</v>
      </c>
      <c r="E124" s="106">
        <v>560</v>
      </c>
      <c r="F124" s="106">
        <v>99</v>
      </c>
      <c r="G124" s="106">
        <v>176</v>
      </c>
      <c r="H124" s="106">
        <v>32</v>
      </c>
      <c r="I124" s="106">
        <v>13</v>
      </c>
      <c r="J124" s="106">
        <v>52</v>
      </c>
      <c r="K124" s="106">
        <v>97</v>
      </c>
      <c r="L124" s="106">
        <v>175</v>
      </c>
      <c r="M124" s="106">
        <v>181</v>
      </c>
    </row>
    <row r="125" spans="1:15" ht="14" x14ac:dyDescent="0.15">
      <c r="A125" s="105" t="s">
        <v>209</v>
      </c>
      <c r="B125" s="108">
        <v>-13966</v>
      </c>
      <c r="C125" s="108">
        <v>-15854</v>
      </c>
      <c r="D125" s="108">
        <v>-9538</v>
      </c>
      <c r="E125" s="108">
        <v>-19353</v>
      </c>
      <c r="F125" s="108">
        <v>-20666</v>
      </c>
      <c r="G125" s="108">
        <v>-31214</v>
      </c>
      <c r="H125" s="108">
        <v>-51855</v>
      </c>
      <c r="I125" s="108">
        <v>-74365</v>
      </c>
      <c r="J125" s="108">
        <v>-36090</v>
      </c>
      <c r="K125" s="108">
        <v>-39920</v>
      </c>
      <c r="L125" s="108">
        <v>-48522</v>
      </c>
      <c r="M125" s="108">
        <v>-22649</v>
      </c>
    </row>
    <row r="126" spans="1:15" ht="14" x14ac:dyDescent="0.15">
      <c r="A126" s="105" t="s">
        <v>210</v>
      </c>
      <c r="B126" s="108">
        <v>12928</v>
      </c>
      <c r="C126" s="108">
        <v>16122</v>
      </c>
      <c r="D126" s="108">
        <v>9213</v>
      </c>
      <c r="E126" s="108">
        <v>19461</v>
      </c>
      <c r="F126" s="108">
        <v>20937</v>
      </c>
      <c r="G126" s="108">
        <v>30083</v>
      </c>
      <c r="H126" s="108">
        <v>52897</v>
      </c>
      <c r="I126" s="108">
        <v>74691</v>
      </c>
      <c r="J126" s="108">
        <v>37690</v>
      </c>
      <c r="K126" s="108">
        <v>38486</v>
      </c>
      <c r="L126" s="108">
        <v>47786</v>
      </c>
      <c r="M126" s="108">
        <v>23462</v>
      </c>
      <c r="N126" s="25">
        <f>SUM(L123,L125)</f>
        <v>-49750</v>
      </c>
      <c r="O126" s="25">
        <f t="shared" ref="O126" si="4">SUM(M123,M125)</f>
        <v>-23841</v>
      </c>
    </row>
    <row r="127" spans="1:15" ht="14" x14ac:dyDescent="0.15">
      <c r="A127" s="105" t="s">
        <v>211</v>
      </c>
      <c r="B127" s="106">
        <v>134</v>
      </c>
      <c r="C127" s="106">
        <v>214</v>
      </c>
      <c r="D127" s="106">
        <v>232</v>
      </c>
      <c r="E127" s="106">
        <v>218</v>
      </c>
      <c r="F127" s="106">
        <v>315</v>
      </c>
      <c r="G127" s="106">
        <v>264</v>
      </c>
      <c r="H127" s="106">
        <v>297</v>
      </c>
      <c r="I127" s="106">
        <v>289</v>
      </c>
      <c r="J127" s="106">
        <v>351</v>
      </c>
      <c r="K127" s="106">
        <v>277</v>
      </c>
      <c r="L127" s="106">
        <v>161</v>
      </c>
      <c r="M127" s="106">
        <v>259</v>
      </c>
    </row>
    <row r="128" spans="1:15" ht="14" x14ac:dyDescent="0.15">
      <c r="A128" s="105" t="s">
        <v>212</v>
      </c>
      <c r="B128" s="106">
        <v>17</v>
      </c>
      <c r="C128" s="106">
        <v>38</v>
      </c>
      <c r="D128" s="106">
        <v>16</v>
      </c>
      <c r="E128" s="106">
        <v>24</v>
      </c>
      <c r="F128" s="106">
        <v>33</v>
      </c>
      <c r="G128" s="106">
        <v>14</v>
      </c>
      <c r="H128" s="106">
        <v>0</v>
      </c>
      <c r="I128" s="106">
        <v>1</v>
      </c>
      <c r="J128" s="106">
        <v>1</v>
      </c>
      <c r="K128" s="106">
        <v>1</v>
      </c>
      <c r="L128" s="106">
        <v>1</v>
      </c>
      <c r="M128" s="106">
        <v>2</v>
      </c>
    </row>
    <row r="129" spans="1:13" ht="14" x14ac:dyDescent="0.15">
      <c r="A129" s="105" t="s">
        <v>213</v>
      </c>
      <c r="B129" s="106">
        <v>0</v>
      </c>
      <c r="C129" s="106">
        <v>0</v>
      </c>
      <c r="D129" s="106">
        <v>-101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</row>
    <row r="130" spans="1:13" ht="14" x14ac:dyDescent="0.15">
      <c r="A130" s="105" t="s">
        <v>214</v>
      </c>
      <c r="B130" s="106">
        <v>0</v>
      </c>
      <c r="C130" s="106">
        <v>-89</v>
      </c>
      <c r="D130" s="106">
        <v>-104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</row>
    <row r="131" spans="1:13" ht="14" x14ac:dyDescent="0.15">
      <c r="A131" s="105" t="s">
        <v>215</v>
      </c>
      <c r="B131" s="106">
        <v>0</v>
      </c>
      <c r="C131" s="106">
        <v>0</v>
      </c>
      <c r="D131" s="106">
        <v>0</v>
      </c>
      <c r="E131" s="106">
        <v>200</v>
      </c>
      <c r="F131" s="106">
        <v>161</v>
      </c>
      <c r="G131" s="106">
        <v>20</v>
      </c>
      <c r="H131" s="106">
        <v>73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</row>
    <row r="132" spans="1:13" ht="14" x14ac:dyDescent="0.15">
      <c r="A132" s="105" t="s">
        <v>216</v>
      </c>
      <c r="B132" s="106">
        <v>0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-334</v>
      </c>
    </row>
    <row r="133" spans="1:13" ht="14" x14ac:dyDescent="0.15">
      <c r="A133" s="105" t="s">
        <v>217</v>
      </c>
      <c r="B133" s="106">
        <v>645</v>
      </c>
      <c r="C133" s="106">
        <v>72</v>
      </c>
      <c r="D133" s="106">
        <v>183</v>
      </c>
      <c r="E133" s="106">
        <v>-367</v>
      </c>
      <c r="F133" s="106">
        <v>-351</v>
      </c>
      <c r="G133" s="106">
        <v>597</v>
      </c>
      <c r="H133" s="108">
        <v>-1612</v>
      </c>
      <c r="I133" s="106">
        <v>-300</v>
      </c>
      <c r="J133" s="106">
        <v>649</v>
      </c>
      <c r="K133" s="108">
        <v>3994</v>
      </c>
      <c r="L133" s="106">
        <v>-101</v>
      </c>
      <c r="M133" s="108">
        <v>-1213</v>
      </c>
    </row>
    <row r="134" spans="1:13" ht="14" x14ac:dyDescent="0.15">
      <c r="A134" s="103" t="s">
        <v>218</v>
      </c>
      <c r="B134" s="104">
        <v>-1726</v>
      </c>
      <c r="C134" s="104">
        <v>-4147</v>
      </c>
      <c r="D134" s="104">
        <v>-2960</v>
      </c>
      <c r="E134" s="104">
        <v>-3462</v>
      </c>
      <c r="F134" s="104">
        <v>-3864</v>
      </c>
      <c r="G134" s="104">
        <v>-4214</v>
      </c>
      <c r="H134" s="104">
        <v>-4975</v>
      </c>
      <c r="I134" s="104">
        <v>-5390</v>
      </c>
      <c r="J134" s="104">
        <v>-6819</v>
      </c>
      <c r="K134" s="104">
        <v>-9309</v>
      </c>
      <c r="L134" s="104">
        <v>-8015</v>
      </c>
      <c r="M134" s="104">
        <v>-8953</v>
      </c>
    </row>
    <row r="135" spans="1:13" ht="14" x14ac:dyDescent="0.15">
      <c r="A135" s="105" t="s">
        <v>108</v>
      </c>
      <c r="B135" s="106">
        <v>34</v>
      </c>
      <c r="C135" s="106">
        <v>7</v>
      </c>
      <c r="D135" s="106">
        <v>2</v>
      </c>
      <c r="E135" s="106">
        <v>2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</row>
    <row r="136" spans="1:13" ht="14" x14ac:dyDescent="0.15">
      <c r="A136" s="105" t="s">
        <v>109</v>
      </c>
      <c r="B136" s="106">
        <v>0</v>
      </c>
      <c r="C136" s="106">
        <v>25</v>
      </c>
      <c r="D136" s="106">
        <v>0</v>
      </c>
      <c r="E136" s="106">
        <v>0</v>
      </c>
      <c r="F136" s="106">
        <v>177</v>
      </c>
      <c r="G136" s="106">
        <v>460</v>
      </c>
      <c r="H136" s="106">
        <v>0</v>
      </c>
      <c r="I136" s="106">
        <v>99</v>
      </c>
      <c r="J136" s="106">
        <v>0</v>
      </c>
      <c r="K136" s="106">
        <v>188</v>
      </c>
      <c r="L136" s="106">
        <v>55</v>
      </c>
      <c r="M136" s="106">
        <v>286</v>
      </c>
    </row>
    <row r="137" spans="1:13" ht="14" x14ac:dyDescent="0.15">
      <c r="A137" s="105" t="s">
        <v>110</v>
      </c>
      <c r="B137" s="106">
        <v>0</v>
      </c>
      <c r="C137" s="106">
        <v>0</v>
      </c>
      <c r="D137" s="106">
        <v>-15</v>
      </c>
      <c r="E137" s="106">
        <v>-3</v>
      </c>
      <c r="F137" s="106">
        <v>0</v>
      </c>
      <c r="G137" s="106">
        <v>-360</v>
      </c>
      <c r="H137" s="106">
        <v>-277</v>
      </c>
      <c r="I137" s="106">
        <v>0</v>
      </c>
      <c r="J137" s="106">
        <v>-99</v>
      </c>
      <c r="K137" s="106">
        <v>-188</v>
      </c>
      <c r="L137" s="106">
        <v>-55</v>
      </c>
      <c r="M137" s="106">
        <v>-208</v>
      </c>
    </row>
    <row r="138" spans="1:13" ht="14" x14ac:dyDescent="0.15">
      <c r="A138" s="105" t="s">
        <v>111</v>
      </c>
      <c r="B138" s="106">
        <v>-2</v>
      </c>
      <c r="C138" s="106">
        <v>-26</v>
      </c>
      <c r="D138" s="106">
        <v>-29</v>
      </c>
      <c r="E138" s="106">
        <v>-18</v>
      </c>
      <c r="F138" s="106">
        <v>-2</v>
      </c>
      <c r="G138" s="106">
        <v>-14</v>
      </c>
      <c r="H138" s="106">
        <v>-6</v>
      </c>
      <c r="I138" s="106">
        <v>-7</v>
      </c>
      <c r="J138" s="106">
        <v>-90</v>
      </c>
      <c r="K138" s="106">
        <v>-92</v>
      </c>
      <c r="L138" s="106">
        <v>-82</v>
      </c>
      <c r="M138" s="106">
        <v>-88</v>
      </c>
    </row>
    <row r="139" spans="1:13" ht="14" x14ac:dyDescent="0.15">
      <c r="A139" s="105" t="s">
        <v>112</v>
      </c>
      <c r="B139" s="108">
        <v>-1509</v>
      </c>
      <c r="C139" s="108">
        <v>-3558</v>
      </c>
      <c r="D139" s="108">
        <v>-2481</v>
      </c>
      <c r="E139" s="108">
        <v>-2912</v>
      </c>
      <c r="F139" s="108">
        <v>-3354</v>
      </c>
      <c r="G139" s="108">
        <v>-3572</v>
      </c>
      <c r="H139" s="108">
        <v>-3911</v>
      </c>
      <c r="I139" s="108">
        <v>-4554</v>
      </c>
      <c r="J139" s="108">
        <v>-5196</v>
      </c>
      <c r="K139" s="108">
        <v>-8811</v>
      </c>
      <c r="L139" s="108">
        <v>-7526</v>
      </c>
      <c r="M139" s="108">
        <v>-8474</v>
      </c>
    </row>
    <row r="140" spans="1:13" ht="14" x14ac:dyDescent="0.15">
      <c r="A140" s="105" t="s">
        <v>113</v>
      </c>
      <c r="B140" s="106">
        <v>0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-373</v>
      </c>
      <c r="K140" s="106">
        <v>-406</v>
      </c>
      <c r="L140" s="106">
        <v>-407</v>
      </c>
      <c r="M140" s="106">
        <v>-467</v>
      </c>
    </row>
    <row r="141" spans="1:13" ht="14" x14ac:dyDescent="0.15">
      <c r="A141" s="105" t="s">
        <v>115</v>
      </c>
      <c r="B141" s="106">
        <v>-248</v>
      </c>
      <c r="C141" s="106">
        <v>-596</v>
      </c>
      <c r="D141" s="106">
        <v>-437</v>
      </c>
      <c r="E141" s="106">
        <v>-533</v>
      </c>
      <c r="F141" s="106">
        <v>-685</v>
      </c>
      <c r="G141" s="106">
        <v>-728</v>
      </c>
      <c r="H141" s="106">
        <v>-781</v>
      </c>
      <c r="I141" s="106">
        <v>-928</v>
      </c>
      <c r="J141" s="108">
        <v>-1061</v>
      </c>
      <c r="K141" s="106">
        <v>0</v>
      </c>
      <c r="L141" s="106">
        <v>0</v>
      </c>
      <c r="M141" s="106">
        <v>-2</v>
      </c>
    </row>
    <row r="142" spans="1:13" ht="14" x14ac:dyDescent="0.15">
      <c r="A142" s="103" t="s">
        <v>58</v>
      </c>
      <c r="B142" s="107">
        <v>692</v>
      </c>
      <c r="C142" s="107">
        <v>-480</v>
      </c>
      <c r="D142" s="107">
        <v>383</v>
      </c>
      <c r="E142" s="107">
        <v>-33</v>
      </c>
      <c r="F142" s="107">
        <v>25</v>
      </c>
      <c r="G142" s="107">
        <v>-202</v>
      </c>
      <c r="H142" s="107">
        <v>21</v>
      </c>
      <c r="I142" s="107">
        <v>-28</v>
      </c>
      <c r="J142" s="104">
        <v>2595</v>
      </c>
      <c r="K142" s="104">
        <v>-1374</v>
      </c>
      <c r="L142" s="107">
        <v>-695</v>
      </c>
      <c r="M142" s="107">
        <v>-446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4FDDA95D-4A9D-4FDC-BC97-EBF362CFEEA6}"/>
    <hyperlink ref="A108" r:id="rId2" location="cash-flow" display="https://www.screener.in/company/HINDUNILVR/ - cash-flow" xr:uid="{2C02875C-1609-4FF5-81D7-750872F6C2B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 Company &amp; Analysis</vt:lpstr>
      <vt:lpstr>income statement </vt:lpstr>
      <vt:lpstr>balances sheet</vt:lpstr>
      <vt:lpstr>Cash Flow Statement </vt:lpstr>
      <vt:lpstr>Debt Sch</vt:lpstr>
      <vt:lpstr>PP&amp;E Sch</vt:lpstr>
      <vt:lpstr>Data Sheet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Deekshitha R</cp:lastModifiedBy>
  <dcterms:created xsi:type="dcterms:W3CDTF">2022-07-24T06:36:42Z</dcterms:created>
  <dcterms:modified xsi:type="dcterms:W3CDTF">2024-03-31T05:48:54Z</dcterms:modified>
</cp:coreProperties>
</file>