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kshithar/Downloads/internship/Archive/"/>
    </mc:Choice>
  </mc:AlternateContent>
  <xr:revisionPtr revIDLastSave="0" documentId="13_ncr:1_{B54D53EE-F266-5C48-B7B4-04B17107B9A7}" xr6:coauthVersionLast="47" xr6:coauthVersionMax="47" xr10:uidLastSave="{00000000-0000-0000-0000-000000000000}"/>
  <bookViews>
    <workbookView xWindow="0" yWindow="500" windowWidth="28800" windowHeight="15800" tabRatio="772" xr2:uid="{00C35B03-1FB5-47AD-AE0B-C640CDAE8AFD}"/>
  </bookViews>
  <sheets>
    <sheet name="About Company &amp; Analysis" sheetId="1" r:id="rId1"/>
    <sheet name="income statement " sheetId="2" r:id="rId2"/>
    <sheet name="balances sheet" sheetId="3" r:id="rId3"/>
    <sheet name="Cash Flow Statement " sheetId="6" r:id="rId4"/>
    <sheet name="Debt Sch" sheetId="7" r:id="rId5"/>
    <sheet name="PP&amp;E Sch" sheetId="8" r:id="rId6"/>
    <sheet name="Data Sheet" sheetId="9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UPDATE">'Data Sheet'!$F$1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6" l="1"/>
  <c r="C27" i="6"/>
  <c r="D24" i="6"/>
  <c r="C24" i="6"/>
  <c r="D22" i="6"/>
  <c r="C22" i="6"/>
  <c r="D21" i="6"/>
  <c r="C21" i="6"/>
  <c r="D20" i="6"/>
  <c r="C20" i="6"/>
  <c r="D16" i="6"/>
  <c r="C16" i="6"/>
  <c r="D15" i="6"/>
  <c r="C15" i="6"/>
  <c r="D11" i="6"/>
  <c r="C11" i="6"/>
  <c r="D9" i="6"/>
  <c r="C9" i="6"/>
  <c r="E9" i="6" s="1"/>
  <c r="F9" i="6" s="1"/>
  <c r="G9" i="6" s="1"/>
  <c r="D42" i="3"/>
  <c r="C42" i="3"/>
  <c r="D40" i="3"/>
  <c r="C40" i="3"/>
  <c r="D16" i="3"/>
  <c r="C16" i="3"/>
  <c r="D15" i="3"/>
  <c r="C15" i="3"/>
  <c r="D14" i="3"/>
  <c r="C14" i="3"/>
  <c r="D8" i="3"/>
  <c r="E8" i="3"/>
  <c r="F8" i="3"/>
  <c r="G8" i="3"/>
  <c r="H8" i="3"/>
  <c r="I8" i="3"/>
  <c r="C9" i="3"/>
  <c r="D9" i="3"/>
  <c r="C8" i="3"/>
  <c r="D7" i="3"/>
  <c r="C7" i="3"/>
  <c r="D32" i="2"/>
  <c r="C32" i="2"/>
  <c r="C24" i="2"/>
  <c r="D20" i="2"/>
  <c r="D19" i="2"/>
  <c r="D14" i="2"/>
  <c r="D8" i="2"/>
  <c r="C20" i="2"/>
  <c r="C19" i="2"/>
  <c r="C8" i="2"/>
  <c r="C14" i="2"/>
  <c r="D5" i="2"/>
  <c r="C5" i="2"/>
  <c r="F1" i="9"/>
  <c r="C6" i="9"/>
  <c r="L15" i="9"/>
  <c r="C32" i="9"/>
  <c r="D32" i="9"/>
  <c r="E32" i="9"/>
  <c r="F32" i="9"/>
  <c r="G32" i="9"/>
  <c r="H32" i="9"/>
  <c r="I32" i="9"/>
  <c r="J32" i="9"/>
  <c r="K32" i="9"/>
  <c r="L32" i="9"/>
  <c r="C34" i="9"/>
  <c r="C15" i="9" s="1"/>
  <c r="D34" i="9"/>
  <c r="E34" i="9"/>
  <c r="F34" i="9"/>
  <c r="G34" i="9"/>
  <c r="H34" i="9"/>
  <c r="I34" i="9"/>
  <c r="J34" i="9"/>
  <c r="K34" i="9"/>
  <c r="L34" i="9"/>
  <c r="C51" i="9"/>
  <c r="D51" i="9"/>
  <c r="E51" i="9"/>
  <c r="F51" i="9"/>
  <c r="G51" i="9"/>
  <c r="H51" i="9"/>
  <c r="I51" i="9"/>
  <c r="J51" i="9"/>
  <c r="K51" i="9"/>
  <c r="L51" i="9"/>
  <c r="I73" i="9"/>
  <c r="J73" i="9"/>
  <c r="K73" i="9"/>
  <c r="L73" i="9"/>
  <c r="E11" i="6" l="1"/>
  <c r="H9" i="6"/>
  <c r="I9" i="6" s="1"/>
  <c r="F11" i="6"/>
  <c r="G11" i="6" s="1"/>
  <c r="H11" i="6" l="1"/>
  <c r="I11" i="6" s="1"/>
  <c r="E33" i="3" l="1"/>
  <c r="F33" i="3" s="1"/>
  <c r="E15" i="3"/>
  <c r="F15" i="3" s="1"/>
  <c r="C27" i="3"/>
  <c r="I27" i="6"/>
  <c r="H27" i="6"/>
  <c r="G27" i="6"/>
  <c r="F27" i="6"/>
  <c r="E27" i="6"/>
  <c r="E25" i="6"/>
  <c r="F25" i="6" s="1"/>
  <c r="G25" i="6" s="1"/>
  <c r="H25" i="6" s="1"/>
  <c r="I25" i="6" s="1"/>
  <c r="E24" i="6"/>
  <c r="F24" i="6" s="1"/>
  <c r="G24" i="6" s="1"/>
  <c r="H24" i="6" s="1"/>
  <c r="I24" i="6" s="1"/>
  <c r="E23" i="6"/>
  <c r="F23" i="6" s="1"/>
  <c r="G23" i="6" s="1"/>
  <c r="H23" i="6" s="1"/>
  <c r="I23" i="6" s="1"/>
  <c r="E22" i="6"/>
  <c r="F22" i="6" s="1"/>
  <c r="G22" i="6" s="1"/>
  <c r="H22" i="6" s="1"/>
  <c r="I22" i="6" s="1"/>
  <c r="E21" i="6"/>
  <c r="F21" i="6" s="1"/>
  <c r="G21" i="6" s="1"/>
  <c r="H21" i="6" s="1"/>
  <c r="I21" i="6" s="1"/>
  <c r="I20" i="6"/>
  <c r="H20" i="6"/>
  <c r="G20" i="6"/>
  <c r="F20" i="6"/>
  <c r="E20" i="6"/>
  <c r="D5" i="8"/>
  <c r="C8" i="8"/>
  <c r="B8" i="8"/>
  <c r="C9" i="8"/>
  <c r="B9" i="8"/>
  <c r="C3" i="8"/>
  <c r="D3" i="8" s="1"/>
  <c r="E3" i="8" s="1"/>
  <c r="F3" i="8" s="1"/>
  <c r="G3" i="8" s="1"/>
  <c r="H3" i="8" s="1"/>
  <c r="C6" i="8"/>
  <c r="D6" i="8" s="1"/>
  <c r="E6" i="8" s="1"/>
  <c r="F6" i="8" s="1"/>
  <c r="G6" i="8" s="1"/>
  <c r="H6" i="8" s="1"/>
  <c r="I15" i="6" s="1"/>
  <c r="B6" i="8"/>
  <c r="E20" i="2"/>
  <c r="F20" i="2" s="1"/>
  <c r="G20" i="2" s="1"/>
  <c r="E15" i="6" l="1"/>
  <c r="H15" i="6"/>
  <c r="F15" i="6"/>
  <c r="G15" i="6"/>
  <c r="D9" i="8"/>
  <c r="E9" i="8" s="1"/>
  <c r="F9" i="8" s="1"/>
  <c r="G33" i="3"/>
  <c r="G15" i="3"/>
  <c r="H20" i="2"/>
  <c r="I20" i="2" s="1"/>
  <c r="D31" i="6"/>
  <c r="C5" i="7"/>
  <c r="D5" i="7" s="1"/>
  <c r="E5" i="7" s="1"/>
  <c r="F5" i="7" s="1"/>
  <c r="G5" i="7" s="1"/>
  <c r="H5" i="7" s="1"/>
  <c r="E31" i="6"/>
  <c r="D6" i="7" s="1"/>
  <c r="I28" i="6"/>
  <c r="H8" i="7" s="1"/>
  <c r="H28" i="6"/>
  <c r="G8" i="7" s="1"/>
  <c r="G28" i="6"/>
  <c r="F8" i="7" s="1"/>
  <c r="F28" i="6"/>
  <c r="E8" i="7" s="1"/>
  <c r="E28" i="6"/>
  <c r="D8" i="7" s="1"/>
  <c r="D28" i="6"/>
  <c r="C28" i="6"/>
  <c r="I10" i="6"/>
  <c r="H10" i="6"/>
  <c r="G10" i="6"/>
  <c r="F10" i="6"/>
  <c r="E10" i="6"/>
  <c r="D10" i="6"/>
  <c r="C10" i="6"/>
  <c r="D8" i="6"/>
  <c r="C8" i="6"/>
  <c r="D4" i="6"/>
  <c r="E4" i="6" s="1"/>
  <c r="F4" i="6" s="1"/>
  <c r="G4" i="6" s="1"/>
  <c r="H4" i="6" s="1"/>
  <c r="I4" i="6" s="1"/>
  <c r="D57" i="3"/>
  <c r="C57" i="3"/>
  <c r="D56" i="3"/>
  <c r="C56" i="3"/>
  <c r="D55" i="3"/>
  <c r="C55" i="3"/>
  <c r="E16" i="3"/>
  <c r="F16" i="3" s="1"/>
  <c r="G16" i="3" s="1"/>
  <c r="H16" i="3" s="1"/>
  <c r="I16" i="3" s="1"/>
  <c r="D52" i="3"/>
  <c r="C53" i="3"/>
  <c r="D53" i="3"/>
  <c r="C54" i="3"/>
  <c r="D54" i="3"/>
  <c r="C52" i="3"/>
  <c r="D4" i="3"/>
  <c r="E4" i="3" s="1"/>
  <c r="F4" i="3" s="1"/>
  <c r="G4" i="3" s="1"/>
  <c r="H4" i="3" s="1"/>
  <c r="I4" i="3" s="1"/>
  <c r="C29" i="3"/>
  <c r="E55" i="3" l="1"/>
  <c r="F55" i="3" s="1"/>
  <c r="G55" i="3" s="1"/>
  <c r="G9" i="8"/>
  <c r="H9" i="8" s="1"/>
  <c r="H33" i="3"/>
  <c r="I33" i="3" s="1"/>
  <c r="H15" i="3"/>
  <c r="I15" i="3" s="1"/>
  <c r="E54" i="3"/>
  <c r="E52" i="3"/>
  <c r="E56" i="3"/>
  <c r="F56" i="3" s="1"/>
  <c r="E57" i="3"/>
  <c r="F57" i="3" s="1"/>
  <c r="E53" i="3"/>
  <c r="E16" i="6"/>
  <c r="E17" i="6" s="1"/>
  <c r="F52" i="3" l="1"/>
  <c r="G52" i="3" s="1"/>
  <c r="F54" i="3"/>
  <c r="G54" i="3" s="1"/>
  <c r="G56" i="3"/>
  <c r="H56" i="3" s="1"/>
  <c r="F53" i="3"/>
  <c r="G57" i="3"/>
  <c r="F16" i="6"/>
  <c r="F17" i="6" s="1"/>
  <c r="H55" i="3"/>
  <c r="H52" i="3" l="1"/>
  <c r="I52" i="3" s="1"/>
  <c r="H54" i="3"/>
  <c r="I54" i="3" s="1"/>
  <c r="I56" i="3"/>
  <c r="G53" i="3"/>
  <c r="H57" i="3"/>
  <c r="I55" i="3"/>
  <c r="G16" i="6"/>
  <c r="H16" i="6" l="1"/>
  <c r="G17" i="6"/>
  <c r="H53" i="3"/>
  <c r="I53" i="3" s="1"/>
  <c r="I57" i="3"/>
  <c r="I16" i="6" l="1"/>
  <c r="I17" i="6" s="1"/>
  <c r="H17" i="6"/>
  <c r="E5" i="2"/>
  <c r="D4" i="2"/>
  <c r="E4" i="2" s="1"/>
  <c r="F4" i="2" s="1"/>
  <c r="G4" i="2" s="1"/>
  <c r="H4" i="2" s="1"/>
  <c r="I4" i="2" s="1"/>
  <c r="D15" i="2"/>
  <c r="C15" i="2"/>
  <c r="C11" i="2"/>
  <c r="C12" i="2" s="1"/>
  <c r="D11" i="2"/>
  <c r="D17" i="2" s="1"/>
  <c r="D22" i="2" s="1"/>
  <c r="D27" i="2" s="1"/>
  <c r="D6" i="6" s="1"/>
  <c r="D12" i="6" s="1"/>
  <c r="D30" i="6" s="1"/>
  <c r="D9" i="2"/>
  <c r="C9" i="2"/>
  <c r="D6" i="2"/>
  <c r="E9" i="2" l="1"/>
  <c r="F9" i="2" s="1"/>
  <c r="E15" i="2"/>
  <c r="F15" i="2" s="1"/>
  <c r="F5" i="2"/>
  <c r="D8" i="8"/>
  <c r="E24" i="2"/>
  <c r="F24" i="2" s="1"/>
  <c r="G5" i="2"/>
  <c r="E8" i="2"/>
  <c r="D12" i="2"/>
  <c r="C17" i="2"/>
  <c r="C22" i="2" s="1"/>
  <c r="C27" i="2" s="1"/>
  <c r="C6" i="6" s="1"/>
  <c r="C12" i="6" s="1"/>
  <c r="C30" i="6" s="1"/>
  <c r="E11" i="2" l="1"/>
  <c r="E9" i="3"/>
  <c r="G15" i="2"/>
  <c r="H15" i="2" s="1"/>
  <c r="F14" i="2"/>
  <c r="F28" i="3" s="1"/>
  <c r="G9" i="2"/>
  <c r="G8" i="2" s="1"/>
  <c r="G9" i="3" s="1"/>
  <c r="E14" i="2"/>
  <c r="E8" i="8"/>
  <c r="F8" i="8"/>
  <c r="D11" i="8"/>
  <c r="E32" i="2"/>
  <c r="E8" i="6"/>
  <c r="F8" i="2"/>
  <c r="F11" i="2" s="1"/>
  <c r="F12" i="2" s="1"/>
  <c r="E25" i="3"/>
  <c r="F34" i="3"/>
  <c r="G24" i="2"/>
  <c r="H24" i="2" s="1"/>
  <c r="I24" i="2" s="1"/>
  <c r="E12" i="2"/>
  <c r="H5" i="2"/>
  <c r="H9" i="2" l="1"/>
  <c r="I9" i="2" s="1"/>
  <c r="F25" i="3"/>
  <c r="F9" i="3"/>
  <c r="I15" i="2"/>
  <c r="G14" i="2"/>
  <c r="G34" i="3" s="1"/>
  <c r="E28" i="3"/>
  <c r="E34" i="3"/>
  <c r="E17" i="2"/>
  <c r="E34" i="2" s="1"/>
  <c r="E14" i="3"/>
  <c r="E5" i="8"/>
  <c r="E11" i="8" s="1"/>
  <c r="F32" i="2"/>
  <c r="F8" i="6"/>
  <c r="G8" i="6"/>
  <c r="G32" i="2"/>
  <c r="G8" i="8"/>
  <c r="F17" i="2"/>
  <c r="F31" i="2" s="1"/>
  <c r="G11" i="2"/>
  <c r="G12" i="2" s="1"/>
  <c r="G25" i="3"/>
  <c r="I5" i="2"/>
  <c r="H14" i="2"/>
  <c r="H8" i="2"/>
  <c r="H9" i="3" s="1"/>
  <c r="C43" i="3"/>
  <c r="D43" i="3"/>
  <c r="D11" i="3"/>
  <c r="C11" i="3"/>
  <c r="C34" i="2"/>
  <c r="D34" i="2"/>
  <c r="G28" i="3" l="1"/>
  <c r="C17" i="3"/>
  <c r="D17" i="3"/>
  <c r="D18" i="3" s="1"/>
  <c r="D20" i="3" s="1"/>
  <c r="E31" i="2"/>
  <c r="F34" i="2"/>
  <c r="H8" i="6"/>
  <c r="H32" i="2"/>
  <c r="F5" i="8"/>
  <c r="F11" i="8" s="1"/>
  <c r="F14" i="3"/>
  <c r="H8" i="8"/>
  <c r="G17" i="2"/>
  <c r="G31" i="2" s="1"/>
  <c r="H28" i="3"/>
  <c r="H34" i="3"/>
  <c r="H11" i="2"/>
  <c r="H12" i="2" s="1"/>
  <c r="H25" i="3"/>
  <c r="I14" i="2"/>
  <c r="I8" i="2"/>
  <c r="D31" i="2"/>
  <c r="C31" i="2"/>
  <c r="I11" i="2" l="1"/>
  <c r="I9" i="3"/>
  <c r="E17" i="3"/>
  <c r="C18" i="3"/>
  <c r="C20" i="3" s="1"/>
  <c r="H17" i="2"/>
  <c r="H31" i="2" s="1"/>
  <c r="G34" i="2"/>
  <c r="I32" i="2"/>
  <c r="I8" i="6"/>
  <c r="G5" i="8"/>
  <c r="G11" i="8" s="1"/>
  <c r="G14" i="3"/>
  <c r="I25" i="3"/>
  <c r="I28" i="3"/>
  <c r="I34" i="3"/>
  <c r="I12" i="2"/>
  <c r="I17" i="2"/>
  <c r="F17" i="3" l="1"/>
  <c r="E18" i="3"/>
  <c r="H34" i="2"/>
  <c r="H5" i="8"/>
  <c r="H11" i="8" s="1"/>
  <c r="I14" i="3" s="1"/>
  <c r="H14" i="3"/>
  <c r="I31" i="2"/>
  <c r="I34" i="2"/>
  <c r="D29" i="3"/>
  <c r="B15" i="7"/>
  <c r="C16" i="7" s="1"/>
  <c r="C35" i="3"/>
  <c r="C37" i="3" s="1"/>
  <c r="C46" i="3" s="1"/>
  <c r="C48" i="3" s="1"/>
  <c r="D35" i="3"/>
  <c r="C15" i="7"/>
  <c r="G17" i="3" l="1"/>
  <c r="F18" i="3"/>
  <c r="D37" i="3"/>
  <c r="D46" i="3" s="1"/>
  <c r="D48" i="3" s="1"/>
  <c r="D15" i="7"/>
  <c r="E32" i="3" s="1"/>
  <c r="D16" i="7"/>
  <c r="E27" i="3" s="1"/>
  <c r="E29" i="3" s="1"/>
  <c r="G18" i="3" l="1"/>
  <c r="H17" i="3"/>
  <c r="H18" i="3" s="1"/>
  <c r="E15" i="7"/>
  <c r="E35" i="3"/>
  <c r="E37" i="3" s="1"/>
  <c r="E16" i="7"/>
  <c r="F27" i="3" s="1"/>
  <c r="F29" i="3" s="1"/>
  <c r="D22" i="7"/>
  <c r="D23" i="7" s="1"/>
  <c r="E19" i="2" s="1"/>
  <c r="E22" i="2" s="1"/>
  <c r="E27" i="2" s="1"/>
  <c r="I17" i="3" l="1"/>
  <c r="I18" i="3" s="1"/>
  <c r="E22" i="7"/>
  <c r="E23" i="7" s="1"/>
  <c r="F19" i="2" s="1"/>
  <c r="F22" i="2" s="1"/>
  <c r="F27" i="2" s="1"/>
  <c r="F6" i="6" s="1"/>
  <c r="F12" i="6" s="1"/>
  <c r="F30" i="6" s="1"/>
  <c r="F32" i="3"/>
  <c r="F35" i="3" s="1"/>
  <c r="F37" i="3" s="1"/>
  <c r="E6" i="6"/>
  <c r="E12" i="6" s="1"/>
  <c r="E42" i="3"/>
  <c r="F15" i="7"/>
  <c r="G32" i="3" s="1"/>
  <c r="G35" i="3" s="1"/>
  <c r="F16" i="7"/>
  <c r="G27" i="3" s="1"/>
  <c r="G29" i="3" s="1"/>
  <c r="E7" i="7" l="1"/>
  <c r="G37" i="3"/>
  <c r="F22" i="7"/>
  <c r="F23" i="7" s="1"/>
  <c r="G19" i="2" s="1"/>
  <c r="G22" i="2" s="1"/>
  <c r="G27" i="2" s="1"/>
  <c r="G6" i="6" s="1"/>
  <c r="G12" i="6" s="1"/>
  <c r="F7" i="7" s="1"/>
  <c r="G15" i="7"/>
  <c r="H32" i="3" s="1"/>
  <c r="H35" i="3" s="1"/>
  <c r="G16" i="7"/>
  <c r="H27" i="3" s="1"/>
  <c r="H29" i="3" s="1"/>
  <c r="G22" i="7"/>
  <c r="G23" i="7" s="1"/>
  <c r="H19" i="2" s="1"/>
  <c r="H22" i="2" s="1"/>
  <c r="H27" i="2" s="1"/>
  <c r="H6" i="6" s="1"/>
  <c r="H12" i="6" s="1"/>
  <c r="E43" i="3"/>
  <c r="E46" i="3" s="1"/>
  <c r="F42" i="3"/>
  <c r="E30" i="6"/>
  <c r="E32" i="6" s="1"/>
  <c r="D7" i="7"/>
  <c r="D10" i="7" s="1"/>
  <c r="E6" i="7" s="1"/>
  <c r="E10" i="7" l="1"/>
  <c r="F6" i="7" s="1"/>
  <c r="F10" i="7" s="1"/>
  <c r="G6" i="7" s="1"/>
  <c r="H37" i="3"/>
  <c r="G30" i="6"/>
  <c r="F43" i="3"/>
  <c r="F46" i="3" s="1"/>
  <c r="G42" i="3"/>
  <c r="F31" i="6"/>
  <c r="F32" i="6" s="1"/>
  <c r="E7" i="3"/>
  <c r="E11" i="3" s="1"/>
  <c r="E20" i="3" s="1"/>
  <c r="E48" i="3" s="1"/>
  <c r="G7" i="7"/>
  <c r="H30" i="6"/>
  <c r="H15" i="7"/>
  <c r="H16" i="7"/>
  <c r="I27" i="3" s="1"/>
  <c r="I29" i="3" s="1"/>
  <c r="H22" i="7" l="1"/>
  <c r="H23" i="7" s="1"/>
  <c r="I19" i="2" s="1"/>
  <c r="I22" i="2" s="1"/>
  <c r="I27" i="2" s="1"/>
  <c r="I6" i="6" s="1"/>
  <c r="I12" i="6" s="1"/>
  <c r="H7" i="7" s="1"/>
  <c r="I32" i="3"/>
  <c r="I35" i="3" s="1"/>
  <c r="I37" i="3" s="1"/>
  <c r="F7" i="3"/>
  <c r="F11" i="3" s="1"/>
  <c r="F20" i="3" s="1"/>
  <c r="F48" i="3" s="1"/>
  <c r="G31" i="6"/>
  <c r="G32" i="6" s="1"/>
  <c r="H42" i="3"/>
  <c r="G43" i="3"/>
  <c r="G46" i="3" s="1"/>
  <c r="G10" i="7"/>
  <c r="H6" i="7" s="1"/>
  <c r="H10" i="7" l="1"/>
  <c r="I30" i="6"/>
  <c r="H43" i="3"/>
  <c r="H46" i="3" s="1"/>
  <c r="I42" i="3"/>
  <c r="I43" i="3" s="1"/>
  <c r="I46" i="3" s="1"/>
  <c r="G7" i="3"/>
  <c r="G11" i="3" s="1"/>
  <c r="G20" i="3" s="1"/>
  <c r="G48" i="3" s="1"/>
  <c r="H31" i="6"/>
  <c r="H32" i="6" s="1"/>
  <c r="I31" i="6" l="1"/>
  <c r="I32" i="6" s="1"/>
  <c r="I7" i="3" s="1"/>
  <c r="I11" i="3" s="1"/>
  <c r="I20" i="3" s="1"/>
  <c r="I48" i="3" s="1"/>
  <c r="H7" i="3"/>
  <c r="H11" i="3" s="1"/>
  <c r="H20" i="3" s="1"/>
  <c r="H48" i="3" s="1"/>
</calcChain>
</file>

<file path=xl/sharedStrings.xml><?xml version="1.0" encoding="utf-8"?>
<sst xmlns="http://schemas.openxmlformats.org/spreadsheetml/2006/main" count="269" uniqueCount="199">
  <si>
    <t xml:space="preserve">Company Name </t>
  </si>
  <si>
    <t xml:space="preserve">History </t>
  </si>
  <si>
    <t>Charts</t>
  </si>
  <si>
    <t>Sales Growth (Revenue)</t>
  </si>
  <si>
    <t>Profit Growth(GP)</t>
  </si>
  <si>
    <t>Cash flow Growth (Current Assets)</t>
  </si>
  <si>
    <t>Assets Division (Total Assets)</t>
  </si>
  <si>
    <t xml:space="preserve">COGS </t>
  </si>
  <si>
    <t>Operating Expenses</t>
  </si>
  <si>
    <t>Operating Income</t>
  </si>
  <si>
    <t>INCOME STATEMENT</t>
  </si>
  <si>
    <t>Revenue</t>
  </si>
  <si>
    <t>Growth (%)</t>
  </si>
  <si>
    <t>NA</t>
  </si>
  <si>
    <t>% of Sales</t>
  </si>
  <si>
    <t>Operating Income (EBIT)</t>
  </si>
  <si>
    <t>Interest Expense</t>
  </si>
  <si>
    <t>Income Tax Expense</t>
  </si>
  <si>
    <t>Tax Rate</t>
  </si>
  <si>
    <t>Net Income</t>
  </si>
  <si>
    <t xml:space="preserve">Depreciation </t>
  </si>
  <si>
    <t>Amortization</t>
  </si>
  <si>
    <t>EBITDA</t>
  </si>
  <si>
    <t>Gross Profit (Revenue-COGS)</t>
  </si>
  <si>
    <t>Less :Cost of Goods Sold (COGS)</t>
  </si>
  <si>
    <t>Less :Operating Expenses (SG&amp;A)</t>
  </si>
  <si>
    <t>Pretax Income(EBT)</t>
  </si>
  <si>
    <t>Less: Interest Expense</t>
  </si>
  <si>
    <t>Net Income (EAT)</t>
  </si>
  <si>
    <t>Caliculation of EBITDA- Earnings Before Interest, Tax, Depreciation, Amortization</t>
  </si>
  <si>
    <t>ASSETS</t>
  </si>
  <si>
    <t>Current Assets</t>
  </si>
  <si>
    <t>Inventory</t>
  </si>
  <si>
    <t>Current Liabilities</t>
  </si>
  <si>
    <t>Accounts Payable</t>
  </si>
  <si>
    <t>Line of Credit</t>
  </si>
  <si>
    <t>Current Maturities of Long Term Debt</t>
  </si>
  <si>
    <t>Long Term Debt, Net of Current Maturities</t>
  </si>
  <si>
    <t>EQUITY</t>
  </si>
  <si>
    <t>Common Stock</t>
  </si>
  <si>
    <t>TOTAL EQUITY</t>
  </si>
  <si>
    <t>TOTAL LIABILITIES &amp; EQUITY</t>
  </si>
  <si>
    <t>Add:Accounts Receivable</t>
  </si>
  <si>
    <t>Add:Inventory</t>
  </si>
  <si>
    <t>Add:Prepaid Expenses</t>
  </si>
  <si>
    <t>Total Current Assets (TCA)</t>
  </si>
  <si>
    <t xml:space="preserve"> Cash</t>
  </si>
  <si>
    <t>Total Current Liabilities (TCL)</t>
  </si>
  <si>
    <t>Add: Retained Earnings</t>
  </si>
  <si>
    <t>Add:Additional Paid In Capital</t>
  </si>
  <si>
    <t>Historical</t>
  </si>
  <si>
    <t>Projected</t>
  </si>
  <si>
    <t>BALANCE SHEET ASSUMPTIONS</t>
  </si>
  <si>
    <t>CASH FLOW FROM OPERATING ACTIVITIES</t>
  </si>
  <si>
    <t>Add Back Non-Cash Items</t>
  </si>
  <si>
    <t>Changes in Working Capital</t>
  </si>
  <si>
    <t>CASH FLOW FROM INVESTING ACTIVITIES</t>
  </si>
  <si>
    <t>CASH FLOW FROM FINANCING ACTIVITIES</t>
  </si>
  <si>
    <t>Net Cash Flow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</si>
  <si>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</si>
  <si>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</si>
  <si>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</si>
  <si>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</si>
  <si>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</si>
  <si>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</si>
  <si>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</si>
  <si>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</si>
  <si>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</si>
  <si>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</si>
  <si>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</si>
  <si>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</si>
  <si>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</si>
  <si>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</si>
  <si>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</si>
  <si>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</si>
  <si>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Depreciation as % of Revenues</t>
  </si>
  <si>
    <t>End: PP&amp;E, Net of Accum. Depreciation</t>
  </si>
  <si>
    <t xml:space="preserve">add: Interest Income </t>
  </si>
  <si>
    <t xml:space="preserve">add: Depreciation </t>
  </si>
  <si>
    <t>add: Amortization</t>
  </si>
  <si>
    <t>Capital Work in Progress</t>
  </si>
  <si>
    <t>Investments</t>
  </si>
  <si>
    <t>Other Assets</t>
  </si>
  <si>
    <t xml:space="preserve">short term borrowing </t>
  </si>
  <si>
    <t>Other Current Liabilities:</t>
  </si>
  <si>
    <t>Long-Term Debt:</t>
  </si>
  <si>
    <t xml:space="preserve">non controling interest </t>
  </si>
  <si>
    <t>Other Long-Term Liabilities:</t>
  </si>
  <si>
    <t>Total Non-Current Liabilities:</t>
  </si>
  <si>
    <t>Total Liabilities:</t>
  </si>
  <si>
    <t>Non-Current Assets:</t>
  </si>
  <si>
    <t xml:space="preserve">Fixed Aseets Net Block </t>
  </si>
  <si>
    <t>Total Non-Current Assets:</t>
  </si>
  <si>
    <t>Total asset</t>
  </si>
  <si>
    <t>Check (Total Assets=Total Liabilities&amp; Equity)</t>
  </si>
  <si>
    <t xml:space="preserve">BALANCESHEET </t>
  </si>
  <si>
    <t xml:space="preserve"> LIABILITIES &amp; EQUITY</t>
  </si>
  <si>
    <t xml:space="preserve"> Non-Current Liabilities:</t>
  </si>
  <si>
    <t xml:space="preserve">Inventory Days </t>
  </si>
  <si>
    <t xml:space="preserve">Account Receivable Days </t>
  </si>
  <si>
    <t xml:space="preserve">Accounts Payable Days </t>
  </si>
  <si>
    <t xml:space="preserve"> Line of Credit</t>
  </si>
  <si>
    <t>Accrued Expenses % SG&amp;A:</t>
  </si>
  <si>
    <t>Other Current Liabilities % SG&amp;A:</t>
  </si>
  <si>
    <t>Other Long-Term Liabilities % SG&amp;A:</t>
  </si>
  <si>
    <t xml:space="preserve">CASH FLOW STATEMENT </t>
  </si>
  <si>
    <t>Net Cash Provided by Operating ActivitiY)</t>
  </si>
  <si>
    <t>Proceeds from shares</t>
  </si>
  <si>
    <t>Proceeds from borrowings</t>
  </si>
  <si>
    <t>Repayment of borrowings</t>
  </si>
  <si>
    <t>Interest paid fin</t>
  </si>
  <si>
    <t>Dividends paid</t>
  </si>
  <si>
    <t>Financial liabilities</t>
  </si>
  <si>
    <t>Share application money</t>
  </si>
  <si>
    <t>Other financing items</t>
  </si>
  <si>
    <t xml:space="preserve">Capital expenditure </t>
  </si>
  <si>
    <t xml:space="preserve">Net Cash flow by Investment Activities </t>
  </si>
  <si>
    <t xml:space="preserve">other investment items </t>
  </si>
  <si>
    <t xml:space="preserve">Net Cash flow byFinancing Activities </t>
  </si>
  <si>
    <t>Beginning Cah Flow</t>
  </si>
  <si>
    <t xml:space="preserve">Ending Cash Flow </t>
  </si>
  <si>
    <t xml:space="preserve">DEBT SECHEDULE </t>
  </si>
  <si>
    <t>Adjusted Equity Shares in Cr</t>
  </si>
  <si>
    <t>DERIVED:</t>
  </si>
  <si>
    <t>PRICE: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</si>
  <si>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</si>
  <si>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</si>
  <si>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</si>
  <si>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</si>
  <si>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</si>
  <si>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</si>
  <si>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</si>
  <si>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</si>
  <si>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</si>
  <si>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</si>
  <si>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Total</t>
  </si>
  <si>
    <t>Net Block</t>
  </si>
  <si>
    <t>Other Liabilities</t>
  </si>
  <si>
    <t>Borrowings</t>
  </si>
  <si>
    <t>Reserves</t>
  </si>
  <si>
    <t>Equity Share Capital</t>
  </si>
  <si>
    <t>BALANCE SHEET</t>
  </si>
  <si>
    <t>Operating Profit</t>
  </si>
  <si>
    <t>Net profit</t>
  </si>
  <si>
    <t>Tax</t>
  </si>
  <si>
    <t>Profit before tax</t>
  </si>
  <si>
    <t>Interest</t>
  </si>
  <si>
    <t>Depreciation</t>
  </si>
  <si>
    <t>Other Income</t>
  </si>
  <si>
    <t>Expenses</t>
  </si>
  <si>
    <t>Sales</t>
  </si>
  <si>
    <t>Quarters</t>
  </si>
  <si>
    <t>Effective Tax Rate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</si>
  <si>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</si>
  <si>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</si>
  <si>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</si>
  <si>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</si>
  <si>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</si>
  <si>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</si>
  <si>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</si>
  <si>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</si>
  <si>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</si>
  <si>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</si>
  <si>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</si>
  <si>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</si>
  <si>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</si>
  <si>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</si>
  <si>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</si>
  <si>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</si>
  <si>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</si>
  <si>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ICICI BANK LTD</t>
  </si>
  <si>
    <t>COMPANY NAME</t>
  </si>
  <si>
    <t>Equity Capital</t>
  </si>
  <si>
    <t>Borrowings -</t>
  </si>
  <si>
    <t>Long term Borrowings</t>
  </si>
  <si>
    <t>Other Borrowings</t>
  </si>
  <si>
    <t>Other Liabilities -</t>
  </si>
  <si>
    <t>Non controlling int</t>
  </si>
  <si>
    <t>Trade Payables</t>
  </si>
  <si>
    <t>Other liability items</t>
  </si>
  <si>
    <t>Total Liabilities</t>
  </si>
  <si>
    <t>Cash Flows</t>
  </si>
  <si>
    <t>Consolidated Figures in Rs. Crores / View Standalone</t>
  </si>
  <si>
    <t>Cash from Operating Activity -</t>
  </si>
  <si>
    <t>Profit from operations</t>
  </si>
  <si>
    <t>Loans Advances</t>
  </si>
  <si>
    <t>Operating investments</t>
  </si>
  <si>
    <t>Deposits</t>
  </si>
  <si>
    <t>Other WC items</t>
  </si>
  <si>
    <t>Working capital changes</t>
  </si>
  <si>
    <t>Direct taxes</t>
  </si>
  <si>
    <t>Exceptional CF items</t>
  </si>
  <si>
    <t>Cash from Investing Activity -</t>
  </si>
  <si>
    <t>Fixed assets purchased</t>
  </si>
  <si>
    <t>Fixed assets sold</t>
  </si>
  <si>
    <t>Investments purchased</t>
  </si>
  <si>
    <t>Other investing items</t>
  </si>
  <si>
    <t>Cash from Financing Activity -</t>
  </si>
  <si>
    <t>ICICI Bank is a large private sector bank in India offering a diversified portfolio of financial products and services to retail, SME and corporate customers. The Bank has an extensive network of branches, ATMs and other touch-points.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</si>
</sst>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_);[Red]\(#,##0.0\)"/>
    <numFmt numFmtId="165" formatCode="_(* #,##0.0_);_(* \(#,##0.0\);_(* &quot;-&quot;?_);_(@_)"/>
    <numFmt numFmtId="166" formatCode="0.00_);\(0.00\)"/>
    <numFmt numFmtId="167" formatCode="_ * #,##0.00_ ;_ * \-#,##0.00_ ;_ * &quot;-&quot;??_ ;_ @_ "/>
    <numFmt numFmtId="168" formatCode="[$-409]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i/>
      <sz val="11"/>
      <color theme="2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22222F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1"/>
      <color theme="1"/>
      <name val="Arial Narrow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1"/>
      <color rgb="FF22222F"/>
      <name val="Arial"/>
      <family val="2"/>
    </font>
    <font>
      <sz val="18"/>
      <color rgb="FF22222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CC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7" fillId="0" borderId="0"/>
    <xf numFmtId="0" fontId="18" fillId="0" borderId="0"/>
    <xf numFmtId="9" fontId="3" fillId="0" borderId="0" applyFont="0" applyFill="0" applyBorder="0" applyAlignment="0" applyProtection="0"/>
    <xf numFmtId="0" fontId="11" fillId="7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38" fontId="0" fillId="3" borderId="0" xfId="0" applyNumberFormat="1" applyFill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1" fillId="3" borderId="0" xfId="0" applyFont="1" applyFill="1"/>
    <xf numFmtId="0" fontId="6" fillId="3" borderId="0" xfId="0" applyFont="1" applyFill="1" applyAlignment="1">
      <alignment horizontal="left" indent="1"/>
    </xf>
    <xf numFmtId="165" fontId="6" fillId="3" borderId="0" xfId="0" applyNumberFormat="1" applyFont="1" applyFill="1" applyAlignment="1">
      <alignment horizontal="right"/>
    </xf>
    <xf numFmtId="10" fontId="6" fillId="3" borderId="0" xfId="0" applyNumberFormat="1" applyFont="1" applyFill="1"/>
    <xf numFmtId="0" fontId="7" fillId="3" borderId="0" xfId="0" applyFont="1" applyFill="1" applyAlignment="1">
      <alignment horizontal="left" indent="1"/>
    </xf>
    <xf numFmtId="10" fontId="7" fillId="3" borderId="0" xfId="0" applyNumberFormat="1" applyFont="1" applyFill="1"/>
    <xf numFmtId="40" fontId="8" fillId="3" borderId="0" xfId="0" applyNumberFormat="1" applyFont="1" applyFill="1"/>
    <xf numFmtId="166" fontId="8" fillId="0" borderId="0" xfId="0" applyNumberFormat="1" applyFont="1"/>
    <xf numFmtId="0" fontId="1" fillId="3" borderId="3" xfId="0" applyFont="1" applyFill="1" applyBorder="1"/>
    <xf numFmtId="10" fontId="6" fillId="5" borderId="0" xfId="0" applyNumberFormat="1" applyFont="1" applyFill="1"/>
    <xf numFmtId="10" fontId="7" fillId="5" borderId="0" xfId="0" applyNumberFormat="1" applyFont="1" applyFill="1"/>
    <xf numFmtId="0" fontId="0" fillId="5" borderId="0" xfId="0" applyFill="1"/>
    <xf numFmtId="10" fontId="7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left" indent="1"/>
    </xf>
    <xf numFmtId="0" fontId="0" fillId="3" borderId="0" xfId="0" applyFill="1" applyAlignment="1">
      <alignment horizontal="left" indent="1"/>
    </xf>
    <xf numFmtId="167" fontId="5" fillId="0" borderId="0" xfId="3" applyFont="1" applyBorder="1"/>
    <xf numFmtId="0" fontId="12" fillId="3" borderId="0" xfId="0" applyFont="1" applyFill="1"/>
    <xf numFmtId="0" fontId="1" fillId="3" borderId="0" xfId="0" applyFont="1" applyFill="1" applyAlignment="1">
      <alignment horizontal="left" indent="1"/>
    </xf>
    <xf numFmtId="2" fontId="0" fillId="3" borderId="0" xfId="0" applyNumberFormat="1" applyFill="1"/>
    <xf numFmtId="0" fontId="4" fillId="4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38" fontId="0" fillId="3" borderId="0" xfId="0" applyNumberFormat="1" applyFill="1" applyAlignment="1">
      <alignment horizontal="right"/>
    </xf>
    <xf numFmtId="0" fontId="8" fillId="0" borderId="0" xfId="0" applyFont="1" applyAlignment="1">
      <alignment horizontal="right"/>
    </xf>
    <xf numFmtId="38" fontId="8" fillId="3" borderId="0" xfId="0" applyNumberFormat="1" applyFont="1" applyFill="1" applyAlignment="1">
      <alignment horizontal="right"/>
    </xf>
    <xf numFmtId="38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4" fillId="4" borderId="0" xfId="0" applyFont="1" applyFill="1" applyAlignment="1">
      <alignment horizontal="left"/>
    </xf>
    <xf numFmtId="165" fontId="8" fillId="3" borderId="0" xfId="0" applyNumberFormat="1" applyFon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/>
    <xf numFmtId="2" fontId="0" fillId="0" borderId="0" xfId="0" applyNumberFormat="1"/>
    <xf numFmtId="0" fontId="1" fillId="3" borderId="0" xfId="0" applyFont="1" applyFill="1" applyAlignment="1">
      <alignment horizontal="left"/>
    </xf>
    <xf numFmtId="0" fontId="13" fillId="6" borderId="0" xfId="0" applyFont="1" applyFill="1" applyAlignment="1">
      <alignment horizontal="left" vertical="center"/>
    </xf>
    <xf numFmtId="40" fontId="1" fillId="3" borderId="3" xfId="0" applyNumberFormat="1" applyFont="1" applyFill="1" applyBorder="1" applyAlignment="1">
      <alignment horizontal="right"/>
    </xf>
    <xf numFmtId="40" fontId="0" fillId="3" borderId="0" xfId="0" applyNumberFormat="1" applyFill="1"/>
    <xf numFmtId="40" fontId="5" fillId="0" borderId="0" xfId="1" applyNumberFormat="1" applyFont="1" applyAlignment="1">
      <alignment horizontal="right"/>
    </xf>
    <xf numFmtId="39" fontId="0" fillId="3" borderId="0" xfId="0" applyNumberFormat="1" applyFill="1" applyAlignment="1">
      <alignment horizontal="right"/>
    </xf>
    <xf numFmtId="39" fontId="8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center"/>
    </xf>
    <xf numFmtId="39" fontId="0" fillId="0" borderId="0" xfId="0" applyNumberFormat="1"/>
    <xf numFmtId="165" fontId="0" fillId="0" borderId="0" xfId="0" applyNumberFormat="1"/>
    <xf numFmtId="9" fontId="0" fillId="5" borderId="0" xfId="0" applyNumberFormat="1" applyFill="1"/>
    <xf numFmtId="2" fontId="1" fillId="0" borderId="2" xfId="0" applyNumberFormat="1" applyFont="1" applyBorder="1"/>
    <xf numFmtId="0" fontId="11" fillId="3" borderId="0" xfId="0" applyFont="1" applyFill="1"/>
    <xf numFmtId="39" fontId="1" fillId="0" borderId="2" xfId="0" applyNumberFormat="1" applyFont="1" applyBorder="1"/>
    <xf numFmtId="2" fontId="0" fillId="2" borderId="0" xfId="0" applyNumberFormat="1" applyFill="1"/>
    <xf numFmtId="40" fontId="0" fillId="0" borderId="0" xfId="0" applyNumberFormat="1"/>
    <xf numFmtId="2" fontId="8" fillId="0" borderId="0" xfId="0" applyNumberFormat="1" applyFont="1"/>
    <xf numFmtId="2" fontId="9" fillId="3" borderId="1" xfId="0" applyNumberFormat="1" applyFont="1" applyFill="1" applyBorder="1"/>
    <xf numFmtId="2" fontId="1" fillId="3" borderId="1" xfId="0" applyNumberFormat="1" applyFont="1" applyFill="1" applyBorder="1"/>
    <xf numFmtId="2" fontId="10" fillId="0" borderId="0" xfId="1" applyNumberFormat="1" applyFont="1"/>
    <xf numFmtId="2" fontId="9" fillId="3" borderId="3" xfId="0" applyNumberFormat="1" applyFont="1" applyFill="1" applyBorder="1"/>
    <xf numFmtId="2" fontId="1" fillId="3" borderId="3" xfId="0" applyNumberFormat="1" applyFont="1" applyFill="1" applyBorder="1"/>
    <xf numFmtId="2" fontId="10" fillId="0" borderId="0" xfId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2" fontId="9" fillId="3" borderId="3" xfId="0" applyNumberFormat="1" applyFont="1" applyFill="1" applyBorder="1" applyAlignment="1">
      <alignment horizontal="right"/>
    </xf>
    <xf numFmtId="2" fontId="1" fillId="3" borderId="3" xfId="0" applyNumberFormat="1" applyFont="1" applyFill="1" applyBorder="1" applyAlignment="1">
      <alignment horizontal="right"/>
    </xf>
    <xf numFmtId="2" fontId="8" fillId="2" borderId="0" xfId="0" applyNumberFormat="1" applyFont="1" applyFill="1"/>
    <xf numFmtId="40" fontId="9" fillId="3" borderId="0" xfId="0" applyNumberFormat="1" applyFont="1" applyFill="1" applyAlignment="1">
      <alignment horizontal="right"/>
    </xf>
    <xf numFmtId="40" fontId="1" fillId="3" borderId="0" xfId="0" applyNumberFormat="1" applyFont="1" applyFill="1" applyAlignment="1">
      <alignment horizontal="right"/>
    </xf>
    <xf numFmtId="40" fontId="8" fillId="3" borderId="0" xfId="0" applyNumberFormat="1" applyFont="1" applyFill="1" applyAlignment="1">
      <alignment horizontal="right"/>
    </xf>
    <xf numFmtId="40" fontId="10" fillId="0" borderId="0" xfId="1" applyNumberFormat="1" applyFont="1" applyAlignment="1">
      <alignment horizontal="right"/>
    </xf>
    <xf numFmtId="40" fontId="9" fillId="3" borderId="3" xfId="0" applyNumberFormat="1" applyFont="1" applyFill="1" applyBorder="1" applyAlignment="1">
      <alignment horizontal="right"/>
    </xf>
    <xf numFmtId="2" fontId="0" fillId="5" borderId="0" xfId="2" applyNumberFormat="1" applyFont="1" applyFill="1" applyAlignment="1">
      <alignment horizontal="right"/>
    </xf>
    <xf numFmtId="165" fontId="0" fillId="3" borderId="0" xfId="0" applyNumberFormat="1" applyFill="1" applyAlignment="1">
      <alignment horizontal="right"/>
    </xf>
    <xf numFmtId="39" fontId="9" fillId="3" borderId="3" xfId="0" applyNumberFormat="1" applyFont="1" applyFill="1" applyBorder="1" applyAlignment="1">
      <alignment horizontal="right"/>
    </xf>
    <xf numFmtId="39" fontId="1" fillId="3" borderId="3" xfId="0" applyNumberFormat="1" applyFont="1" applyFill="1" applyBorder="1" applyAlignment="1">
      <alignment horizontal="right"/>
    </xf>
    <xf numFmtId="165" fontId="9" fillId="3" borderId="3" xfId="0" applyNumberFormat="1" applyFont="1" applyFill="1" applyBorder="1" applyAlignment="1">
      <alignment horizontal="right"/>
    </xf>
    <xf numFmtId="43" fontId="5" fillId="0" borderId="0" xfId="3" applyNumberFormat="1" applyFont="1" applyBorder="1"/>
    <xf numFmtId="167" fontId="14" fillId="0" borderId="0" xfId="3" applyFont="1" applyBorder="1"/>
    <xf numFmtId="0" fontId="5" fillId="0" borderId="0" xfId="1" applyFont="1"/>
    <xf numFmtId="168" fontId="15" fillId="0" borderId="0" xfId="3" applyNumberFormat="1" applyFont="1" applyFill="1" applyBorder="1"/>
    <xf numFmtId="168" fontId="16" fillId="8" borderId="0" xfId="1" applyNumberFormat="1" applyFont="1" applyFill="1" applyAlignment="1">
      <alignment horizontal="center"/>
    </xf>
    <xf numFmtId="168" fontId="16" fillId="8" borderId="0" xfId="3" applyNumberFormat="1" applyFont="1" applyFill="1" applyBorder="1"/>
    <xf numFmtId="0" fontId="17" fillId="0" borderId="0" xfId="4"/>
    <xf numFmtId="0" fontId="18" fillId="0" borderId="0" xfId="5"/>
    <xf numFmtId="0" fontId="3" fillId="0" borderId="0" xfId="1"/>
    <xf numFmtId="9" fontId="5" fillId="0" borderId="0" xfId="6" applyFont="1" applyBorder="1"/>
    <xf numFmtId="9" fontId="14" fillId="0" borderId="0" xfId="2" applyFont="1" applyBorder="1"/>
    <xf numFmtId="9" fontId="5" fillId="0" borderId="0" xfId="2" applyFont="1" applyBorder="1"/>
    <xf numFmtId="9" fontId="15" fillId="0" borderId="0" xfId="2" applyFont="1" applyFill="1" applyBorder="1"/>
    <xf numFmtId="165" fontId="8" fillId="0" borderId="0" xfId="0" applyNumberFormat="1" applyFont="1" applyAlignment="1">
      <alignment horizontal="right"/>
    </xf>
    <xf numFmtId="0" fontId="0" fillId="6" borderId="0" xfId="0" applyFill="1"/>
    <xf numFmtId="17" fontId="22" fillId="6" borderId="0" xfId="0" applyNumberFormat="1" applyFont="1" applyFill="1" applyAlignment="1">
      <alignment horizontal="right" vertical="center" wrapText="1"/>
    </xf>
    <xf numFmtId="0" fontId="23" fillId="6" borderId="0" xfId="0" applyFont="1" applyFill="1" applyAlignment="1">
      <alignment horizontal="left" vertical="center"/>
    </xf>
    <xf numFmtId="3" fontId="23" fillId="6" borderId="0" xfId="0" applyNumberFormat="1" applyFont="1" applyFill="1" applyAlignment="1">
      <alignment horizontal="right" vertical="center" wrapText="1"/>
    </xf>
    <xf numFmtId="0" fontId="24" fillId="6" borderId="0" xfId="0" applyFont="1" applyFill="1" applyAlignment="1">
      <alignment horizontal="left" vertical="center"/>
    </xf>
    <xf numFmtId="3" fontId="24" fillId="6" borderId="0" xfId="0" applyNumberFormat="1" applyFont="1" applyFill="1" applyAlignment="1">
      <alignment horizontal="right" vertical="center" wrapText="1"/>
    </xf>
    <xf numFmtId="0" fontId="23" fillId="6" borderId="0" xfId="0" applyFont="1" applyFill="1" applyAlignment="1">
      <alignment horizontal="right" vertical="center" wrapText="1"/>
    </xf>
    <xf numFmtId="0" fontId="25" fillId="0" borderId="0" xfId="0" applyFont="1" applyAlignment="1">
      <alignment vertical="center" wrapText="1"/>
    </xf>
    <xf numFmtId="0" fontId="21" fillId="0" borderId="0" xfId="9" applyAlignment="1">
      <alignment vertical="center" wrapText="1"/>
    </xf>
    <xf numFmtId="0" fontId="26" fillId="0" borderId="0" xfId="0" applyFont="1" applyAlignment="1">
      <alignment horizontal="left" vertical="center"/>
    </xf>
    <xf numFmtId="17" fontId="26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/>
    </xf>
    <xf numFmtId="3" fontId="27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left" vertical="center"/>
    </xf>
    <xf numFmtId="3" fontId="28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27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horizontal="left"/>
    </xf>
    <xf numFmtId="0" fontId="29" fillId="4" borderId="0" xfId="0" applyFont="1" applyFill="1" applyAlignment="1">
      <alignment horizontal="center"/>
    </xf>
    <xf numFmtId="167" fontId="20" fillId="0" borderId="0" xfId="8" applyNumberFormat="1" applyFont="1" applyBorder="1" applyAlignment="1" applyProtection="1">
      <alignment horizontal="center"/>
    </xf>
    <xf numFmtId="167" fontId="16" fillId="7" borderId="0" xfId="7" applyNumberFormat="1" applyFont="1" applyBorder="1" applyAlignment="1">
      <alignment horizontal="center"/>
    </xf>
  </cellXfs>
  <cellStyles count="10">
    <cellStyle name="Accent6 2" xfId="7" xr:uid="{FA25F1EE-4430-4699-B105-F9733D19A23F}"/>
    <cellStyle name="Comma 2" xfId="3" xr:uid="{A31A553E-596A-42AB-A629-0F304E0F8E69}"/>
    <cellStyle name="Hyperlink" xfId="9" builtinId="8"/>
    <cellStyle name="Hyperlink 2" xfId="8" xr:uid="{4F4223C6-3FF2-4003-8B4B-AC2AA993A87E}"/>
    <cellStyle name="Normal" xfId="0" builtinId="0"/>
    <cellStyle name="Normal 2" xfId="4" xr:uid="{1558E3B5-E105-4FA1-BEA6-44C40FF9F294}"/>
    <cellStyle name="Normal 3" xfId="1" xr:uid="{B1B2BAB4-16BC-466C-AEDB-1E382C13A388}"/>
    <cellStyle name="Normal 4" xfId="5" xr:uid="{512D19E0-0C32-439B-9A60-F05343D5519F}"/>
    <cellStyle name="Per cent" xfId="2" builtinId="5"/>
    <cellStyle name="Percent 3" xfId="6" xr:uid="{FB176196-BD3A-4796-A9E9-3F4AE791F2A1}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mruColors>
      <color rgb="FF0000FF"/>
      <color rgb="FFDFCCF8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'!$C$5:$I$5</c:f>
              <c:numCache>
                <c:formatCode>#,##0.00_);[Red]\(#,##0.00\)</c:formatCode>
                <c:ptCount val="7"/>
                <c:pt idx="0">
                  <c:v>95406.87</c:v>
                </c:pt>
                <c:pt idx="1">
                  <c:v>121066.81</c:v>
                </c:pt>
                <c:pt idx="2">
                  <c:v>145280.17199999999</c:v>
                </c:pt>
                <c:pt idx="3">
                  <c:v>174336.2064</c:v>
                </c:pt>
                <c:pt idx="4">
                  <c:v>209203.44767999998</c:v>
                </c:pt>
                <c:pt idx="5">
                  <c:v>251044.13721599997</c:v>
                </c:pt>
                <c:pt idx="6">
                  <c:v>301252.96465919993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5-4282-979B-089632E8B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522928"/>
        <c:axId val="357523280"/>
      </c:barChart>
      <c:catAx>
        <c:axId val="35752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3280"/>
        <c:crosses val="autoZero"/>
        <c:auto val="1"/>
        <c:lblAlgn val="ctr"/>
        <c:lblOffset val="100"/>
        <c:noMultiLvlLbl val="0"/>
      </c:catAx>
      <c:valAx>
        <c:axId val="3575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'income statement '!$C$27:$I$27</c:f>
              <c:numCache>
                <c:formatCode>0.00</c:formatCode>
                <c:ptCount val="7"/>
                <c:pt idx="0">
                  <c:v>109447.18</c:v>
                </c:pt>
                <c:pt idx="1">
                  <c:v>128481.81</c:v>
                </c:pt>
                <c:pt idx="2">
                  <c:v>87533.075743936031</c:v>
                </c:pt>
                <c:pt idx="3">
                  <c:v>104402.41804636162</c:v>
                </c:pt>
                <c:pt idx="4">
                  <c:v>110990.83846345091</c:v>
                </c:pt>
                <c:pt idx="5">
                  <c:v>123219.86067145094</c:v>
                </c:pt>
                <c:pt idx="6">
                  <c:v>134054.19617905517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8-47B7-A889-88500A0A9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507336"/>
        <c:axId val="594511912"/>
      </c:barChart>
      <c:catAx>
        <c:axId val="594507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1912"/>
        <c:crosses val="autoZero"/>
        <c:auto val="1"/>
        <c:lblAlgn val="ctr"/>
        <c:lblOffset val="100"/>
        <c:noMultiLvlLbl val="0"/>
      </c:catAx>
      <c:valAx>
        <c:axId val="59451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07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'balances sheet'!$C$18:$I$18</c:f>
              <c:numCache>
                <c:formatCode>0.00</c:formatCode>
                <c:ptCount val="7"/>
                <c:pt idx="0">
                  <c:v>1569512.02</c:v>
                </c:pt>
                <c:pt idx="1">
                  <c:v>1822034.5099999998</c:v>
                </c:pt>
                <c:pt idx="2">
                  <c:v>1901744.0034077531</c:v>
                </c:pt>
                <c:pt idx="3">
                  <c:v>2134529.2146774051</c:v>
                </c:pt>
                <c:pt idx="4">
                  <c:v>2320724.3081115279</c:v>
                </c:pt>
                <c:pt idx="5">
                  <c:v>2564121.005995214</c:v>
                </c:pt>
                <c:pt idx="6">
                  <c:v>2817370.2155977911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5-47DE-BEF4-9424938EE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111352"/>
        <c:axId val="534112408"/>
      </c:barChart>
      <c:catAx>
        <c:axId val="53411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2408"/>
        <c:crosses val="autoZero"/>
        <c:auto val="1"/>
        <c:lblAlgn val="ctr"/>
        <c:lblOffset val="100"/>
        <c:noMultiLvlLbl val="0"/>
      </c:catAx>
      <c:valAx>
        <c:axId val="53411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11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'balances sheet'!$C$11:$I$11</c:f>
              <c:numCache>
                <c:formatCode>0.00</c:formatCode>
                <c:ptCount val="7"/>
                <c:pt idx="0">
                  <c:v>183125.98</c:v>
                </c:pt>
                <c:pt idx="1">
                  <c:v>136456.49</c:v>
                </c:pt>
                <c:pt idx="2">
                  <c:v>83935.043651689208</c:v>
                </c:pt>
                <c:pt idx="3">
                  <c:v>92198.315642702728</c:v>
                </c:pt>
                <c:pt idx="4">
                  <c:v>114148.82186652708</c:v>
                </c:pt>
                <c:pt idx="5">
                  <c:v>134939.44295935147</c:v>
                </c:pt>
                <c:pt idx="6">
                  <c:v>163690.90599994955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C-4D9F-9BBA-8A3452565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24592"/>
        <c:axId val="480411248"/>
      </c:lineChart>
      <c:catAx>
        <c:axId val="4052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11248"/>
        <c:crosses val="autoZero"/>
        <c:auto val="1"/>
        <c:lblAlgn val="ctr"/>
        <c:lblOffset val="100"/>
        <c:noMultiLvlLbl val="0"/>
      </c:catAx>
      <c:valAx>
        <c:axId val="4804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'!$C$8:$I$8</c:f>
              <c:numCache>
                <c:formatCode>#,##0.00_);[Red]\(#,##0.00\)</c:formatCode>
                <c:ptCount val="7"/>
                <c:pt idx="0">
                  <c:v>15053.42</c:v>
                </c:pt>
                <c:pt idx="1">
                  <c:v>18712.330000000002</c:v>
                </c:pt>
                <c:pt idx="2" formatCode="0.00">
                  <c:v>22688.645218299058</c:v>
                </c:pt>
                <c:pt idx="3" formatCode="0.00">
                  <c:v>27086.064730979437</c:v>
                </c:pt>
                <c:pt idx="4" formatCode="0.00">
                  <c:v>32587.463395762985</c:v>
                </c:pt>
                <c:pt idx="5" formatCode="0.00">
                  <c:v>39054.444643762981</c:v>
                </c:pt>
                <c:pt idx="6" formatCode="0.00">
                  <c:v>46895.640431207132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13-83A8-225FBCD80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198984"/>
        <c:axId val="606196168"/>
      </c:lineChart>
      <c:catAx>
        <c:axId val="60619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96168"/>
        <c:crosses val="autoZero"/>
        <c:auto val="1"/>
        <c:lblAlgn val="ctr"/>
        <c:lblOffset val="100"/>
        <c:noMultiLvlLbl val="0"/>
      </c:catAx>
      <c:valAx>
        <c:axId val="6061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98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'!$C$14:$I$14</c:f>
              <c:numCache>
                <c:formatCode>0.00</c:formatCode>
                <c:ptCount val="7"/>
                <c:pt idx="0">
                  <c:v>65744.95</c:v>
                </c:pt>
                <c:pt idx="1">
                  <c:v>69152.05</c:v>
                </c:pt>
                <c:pt idx="2">
                  <c:v>91547.571037764894</c:v>
                </c:pt>
                <c:pt idx="3">
                  <c:v>104718.01862265893</c:v>
                </c:pt>
                <c:pt idx="4">
                  <c:v>128745.06232078608</c:v>
                </c:pt>
                <c:pt idx="5">
                  <c:v>152644.01080078605</c:v>
                </c:pt>
                <c:pt idx="6">
                  <c:v>184282.8513514376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8-4321-BD06-F8186347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203208"/>
        <c:axId val="606205672"/>
      </c:lineChart>
      <c:catAx>
        <c:axId val="60620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5672"/>
        <c:crosses val="autoZero"/>
        <c:auto val="1"/>
        <c:lblAlgn val="ctr"/>
        <c:lblOffset val="100"/>
        <c:noMultiLvlLbl val="0"/>
      </c:catAx>
      <c:valAx>
        <c:axId val="60620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0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 '!$C$17:$I$17</c:f>
              <c:numCache>
                <c:formatCode>0.00</c:formatCode>
                <c:ptCount val="7"/>
                <c:pt idx="0">
                  <c:v>14608.5</c:v>
                </c:pt>
                <c:pt idx="1">
                  <c:v>33202.429999999993</c:v>
                </c:pt>
                <c:pt idx="2">
                  <c:v>31043.955743936036</c:v>
                </c:pt>
                <c:pt idx="3">
                  <c:v>42532.123046361623</c:v>
                </c:pt>
                <c:pt idx="4">
                  <c:v>47870.921963450921</c:v>
                </c:pt>
                <c:pt idx="5">
                  <c:v>59345.681771450938</c:v>
                </c:pt>
                <c:pt idx="6">
                  <c:v>70074.472876555199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7-4738-BD01-20D2F440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947944"/>
        <c:axId val="607946536"/>
      </c:lineChart>
      <c:catAx>
        <c:axId val="607947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6536"/>
        <c:crosses val="autoZero"/>
        <c:auto val="1"/>
        <c:lblAlgn val="ctr"/>
        <c:lblOffset val="100"/>
        <c:noMultiLvlLbl val="0"/>
      </c:catAx>
      <c:valAx>
        <c:axId val="60794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47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175260</xdr:rowOff>
    </xdr:from>
    <xdr:to>
      <xdr:col>1</xdr:col>
      <xdr:colOff>4572000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4DD112-2AA5-438B-8D6A-CD6686318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</xdr:col>
      <xdr:colOff>4572000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ADAECD-7D5C-4EA7-8C37-F7B52F94D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1</xdr:col>
      <xdr:colOff>4572000</xdr:colOff>
      <xdr:row>59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2E9201C-736B-491E-9FF0-8391BF41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</xdr:col>
      <xdr:colOff>4572000</xdr:colOff>
      <xdr:row>42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CD6E9ED-A3B4-482B-ACA5-3A5D38ABC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</xdr:col>
      <xdr:colOff>4572000</xdr:colOff>
      <xdr:row>71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5B3D8C-E242-4388-B47F-8977DE90B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</xdr:col>
      <xdr:colOff>4572000</xdr:colOff>
      <xdr:row>88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B5C1C0-C1FB-4DE7-AB8F-2E2F5D223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1</xdr:col>
      <xdr:colOff>4572000</xdr:colOff>
      <xdr:row>103</xdr:row>
      <xdr:rowOff>22860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5E85F-5DFD-4B6A-9051-CBA5DB79D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screener.in/company/ICICIBANK/" TargetMode="External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E80-F67D-49C4-A5D2-326E8E0A0FD5}">
  <sheetPr>
    <tabColor theme="5" tint="-0.249977111117893"/>
  </sheetPr>
  <dimension ref="A1:C91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8.83203125" defaultRowHeight="15" x14ac:dyDescent="0.2"/>
  <cols>
    <col min="1" max="1" width="30.1640625" bestFit="1" customWidth="1"/>
    <col min="2" max="2" width="101.1640625" customWidth="1"/>
  </cols>
  <sheetData>
    <row r="1" spans="1:3" x14ac:dyDescent="0.2">
      <c r="A1" s="1" t="s">
        <v>0</v>
      </c>
      <c r="B1" s="81" t="s">
        <v>170</v>
      </c>
      <c r="C1" s="81"/>
    </row>
    <row r="4" spans="1:3" ht="32" x14ac:dyDescent="0.2">
      <c r="A4" s="111" t="s">
        <v>1</v>
      </c>
      <c r="B4" s="112" t="s">
        <v>198</v>
      </c>
    </row>
    <row r="6" spans="1:3" x14ac:dyDescent="0.2">
      <c r="A6" s="8" t="s">
        <v>2</v>
      </c>
    </row>
    <row r="8" spans="1:3" x14ac:dyDescent="0.2">
      <c r="A8" s="1" t="s">
        <v>3</v>
      </c>
    </row>
    <row r="16" spans="1:3" x14ac:dyDescent="0.2">
      <c r="A16" s="1"/>
    </row>
    <row r="19" spans="1:1" x14ac:dyDescent="0.2">
      <c r="A19" s="1" t="s">
        <v>4</v>
      </c>
    </row>
    <row r="32" spans="1:1" x14ac:dyDescent="0.2">
      <c r="A32" s="1" t="s">
        <v>5</v>
      </c>
    </row>
    <row r="47" spans="1:1" x14ac:dyDescent="0.2">
      <c r="A47" s="1" t="s">
        <v>6</v>
      </c>
    </row>
    <row r="51" spans="1:1" x14ac:dyDescent="0.2">
      <c r="A51" s="1"/>
    </row>
    <row r="62" spans="1:1" x14ac:dyDescent="0.2">
      <c r="A62" s="1" t="s">
        <v>7</v>
      </c>
    </row>
    <row r="77" spans="1:1" x14ac:dyDescent="0.2">
      <c r="A77" s="1" t="s">
        <v>8</v>
      </c>
    </row>
    <row r="91" spans="1:1" x14ac:dyDescent="0.2">
      <c r="A91" s="1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D55C-7B8B-4071-878A-979F944C165A}">
  <sheetPr>
    <tabColor theme="4" tint="-0.249977111117893"/>
  </sheetPr>
  <dimension ref="B2:I34"/>
  <sheetViews>
    <sheetView showGridLines="0" topLeftCell="B1" workbookViewId="0">
      <pane ySplit="4" topLeftCell="A5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34.1640625" style="5" bestFit="1" customWidth="1"/>
    <col min="3" max="4" width="12.83203125" style="5" customWidth="1"/>
    <col min="5" max="5" width="11.83203125" style="5" customWidth="1"/>
    <col min="6" max="6" width="13.1640625" style="5" bestFit="1" customWidth="1"/>
    <col min="7" max="7" width="12" style="5" bestFit="1" customWidth="1"/>
    <col min="8" max="9" width="12" bestFit="1" customWidth="1"/>
  </cols>
  <sheetData>
    <row r="2" spans="2:9" ht="21" x14ac:dyDescent="0.25">
      <c r="B2" s="114" t="s">
        <v>170</v>
      </c>
      <c r="C2" s="114"/>
      <c r="D2" s="114"/>
      <c r="E2" s="114"/>
      <c r="F2" s="114"/>
      <c r="G2" s="114"/>
      <c r="H2" s="114"/>
      <c r="I2" s="114"/>
    </row>
    <row r="3" spans="2:9" x14ac:dyDescent="0.2">
      <c r="B3" s="38"/>
      <c r="C3" s="9" t="s">
        <v>50</v>
      </c>
      <c r="D3" s="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8" t="s">
        <v>10</v>
      </c>
      <c r="C4" s="9">
        <v>2022</v>
      </c>
      <c r="D4" s="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5" t="s">
        <v>11</v>
      </c>
      <c r="C5" s="16">
        <f>'Data Sheet'!K17</f>
        <v>95406.87</v>
      </c>
      <c r="D5" s="16">
        <f>'Data Sheet'!L17</f>
        <v>121066.81</v>
      </c>
      <c r="E5" s="46">
        <f>D5*(1+E6)</f>
        <v>145280.17199999999</v>
      </c>
      <c r="F5" s="46">
        <f t="shared" ref="F5:I5" si="1">E5*(1+F6)</f>
        <v>174336.2064</v>
      </c>
      <c r="G5" s="46">
        <f t="shared" si="1"/>
        <v>209203.44767999998</v>
      </c>
      <c r="H5" s="46">
        <f t="shared" si="1"/>
        <v>251044.13721599997</v>
      </c>
      <c r="I5" s="46">
        <f t="shared" si="1"/>
        <v>301252.96465919993</v>
      </c>
    </row>
    <row r="6" spans="2:9" s="2" customFormat="1" x14ac:dyDescent="0.2">
      <c r="B6" s="11" t="s">
        <v>12</v>
      </c>
      <c r="C6" s="12">
        <v>0</v>
      </c>
      <c r="D6" s="13">
        <f>D5/C5-1</f>
        <v>0.26895274941940772</v>
      </c>
      <c r="E6" s="19">
        <v>0.2</v>
      </c>
      <c r="F6" s="19">
        <v>0.2</v>
      </c>
      <c r="G6" s="19">
        <v>0.2</v>
      </c>
      <c r="H6" s="19">
        <v>0.2</v>
      </c>
      <c r="I6" s="19">
        <v>0.2</v>
      </c>
    </row>
    <row r="7" spans="2:9" x14ac:dyDescent="0.2">
      <c r="C7" s="7"/>
      <c r="D7" s="7"/>
    </row>
    <row r="8" spans="2:9" x14ac:dyDescent="0.2">
      <c r="B8" s="5" t="s">
        <v>24</v>
      </c>
      <c r="C8" s="16">
        <f>SUM('Data Sheet'!K21:K22)</f>
        <v>15053.42</v>
      </c>
      <c r="D8" s="16">
        <f>SUM('Data Sheet'!L21:L22)</f>
        <v>18712.330000000002</v>
      </c>
      <c r="E8" s="28">
        <f>E5*E9</f>
        <v>22688.645218299058</v>
      </c>
      <c r="F8" s="28">
        <f t="shared" ref="F8:I8" si="2">F5*F9</f>
        <v>27086.064730979437</v>
      </c>
      <c r="G8" s="28">
        <f t="shared" si="2"/>
        <v>32587.463395762985</v>
      </c>
      <c r="H8" s="28">
        <f t="shared" si="2"/>
        <v>39054.444643762981</v>
      </c>
      <c r="I8" s="28">
        <f t="shared" si="2"/>
        <v>46895.640431207132</v>
      </c>
    </row>
    <row r="9" spans="2:9" s="2" customFormat="1" x14ac:dyDescent="0.2">
      <c r="B9" s="14" t="s">
        <v>14</v>
      </c>
      <c r="C9" s="15">
        <f>C8/C5</f>
        <v>0.15778130023550715</v>
      </c>
      <c r="D9" s="15">
        <f t="shared" ref="D9" si="3">D8/D5</f>
        <v>0.15456201414739515</v>
      </c>
      <c r="E9" s="20">
        <f>(C9+D9)/2</f>
        <v>0.15617165719145115</v>
      </c>
      <c r="F9" s="20">
        <f t="shared" ref="F9:I9" si="4">(D9+E9)/2</f>
        <v>0.15536683566942316</v>
      </c>
      <c r="G9" s="20">
        <f t="shared" si="4"/>
        <v>0.15576924643043716</v>
      </c>
      <c r="H9" s="20">
        <f t="shared" si="4"/>
        <v>0.15556804104993016</v>
      </c>
      <c r="I9" s="20">
        <f t="shared" si="4"/>
        <v>0.15566864374018366</v>
      </c>
    </row>
    <row r="10" spans="2:9" x14ac:dyDescent="0.2">
      <c r="C10" s="7"/>
      <c r="D10" s="7"/>
    </row>
    <row r="11" spans="2:9" x14ac:dyDescent="0.2">
      <c r="B11" s="10" t="s">
        <v>23</v>
      </c>
      <c r="C11" s="60">
        <f>C5-C8</f>
        <v>80353.45</v>
      </c>
      <c r="D11" s="60">
        <f t="shared" ref="D11:I11" si="5">D5-D8</f>
        <v>102354.48</v>
      </c>
      <c r="E11" s="61">
        <f t="shared" si="5"/>
        <v>122591.52678170093</v>
      </c>
      <c r="F11" s="61">
        <f t="shared" si="5"/>
        <v>147250.14166902055</v>
      </c>
      <c r="G11" s="61">
        <f t="shared" si="5"/>
        <v>176615.984284237</v>
      </c>
      <c r="H11" s="61">
        <f t="shared" si="5"/>
        <v>211989.69257223699</v>
      </c>
      <c r="I11" s="61">
        <f t="shared" si="5"/>
        <v>254357.32422799279</v>
      </c>
    </row>
    <row r="12" spans="2:9" s="2" customFormat="1" x14ac:dyDescent="0.2">
      <c r="B12" s="14" t="s">
        <v>14</v>
      </c>
      <c r="C12" s="13">
        <f>C11/C5</f>
        <v>0.84221869976449282</v>
      </c>
      <c r="D12" s="13">
        <f t="shared" ref="D12:I12" si="6">D11/D5</f>
        <v>0.84543798585260488</v>
      </c>
      <c r="E12" s="13">
        <f t="shared" si="6"/>
        <v>0.84382834280854879</v>
      </c>
      <c r="F12" s="13">
        <f t="shared" si="6"/>
        <v>0.84463316433057678</v>
      </c>
      <c r="G12" s="13">
        <f t="shared" si="6"/>
        <v>0.84423075356956279</v>
      </c>
      <c r="H12" s="13">
        <f t="shared" si="6"/>
        <v>0.84443195895006984</v>
      </c>
      <c r="I12" s="13">
        <f t="shared" si="6"/>
        <v>0.84433135625981637</v>
      </c>
    </row>
    <row r="13" spans="2:9" x14ac:dyDescent="0.2">
      <c r="C13" s="7"/>
      <c r="D13" s="7"/>
    </row>
    <row r="14" spans="2:9" x14ac:dyDescent="0.2">
      <c r="B14" s="5" t="s">
        <v>25</v>
      </c>
      <c r="C14" s="59">
        <f>SUM('Data Sheet'!K23:K24)</f>
        <v>65744.95</v>
      </c>
      <c r="D14" s="59">
        <f>SUM('Data Sheet'!L23:L24)</f>
        <v>69152.05</v>
      </c>
      <c r="E14" s="28">
        <f>E5*E15</f>
        <v>91547.571037764894</v>
      </c>
      <c r="F14" s="28">
        <f t="shared" ref="F14:I14" si="7">F5*F15</f>
        <v>104718.01862265893</v>
      </c>
      <c r="G14" s="28">
        <f t="shared" si="7"/>
        <v>128745.06232078608</v>
      </c>
      <c r="H14" s="28">
        <f t="shared" si="7"/>
        <v>152644.01080078605</v>
      </c>
      <c r="I14" s="28">
        <f t="shared" si="7"/>
        <v>184282.8513514376</v>
      </c>
    </row>
    <row r="15" spans="2:9" s="2" customFormat="1" x14ac:dyDescent="0.2">
      <c r="B15" s="14" t="s">
        <v>14</v>
      </c>
      <c r="C15" s="15">
        <f>C14/C5</f>
        <v>0.68910079536201119</v>
      </c>
      <c r="D15" s="15">
        <f t="shared" ref="D15" si="8">D14/D5</f>
        <v>0.57118916406569231</v>
      </c>
      <c r="E15" s="20">
        <f>AVERAGE(C15:D15)</f>
        <v>0.63014497971385175</v>
      </c>
      <c r="F15" s="20">
        <f t="shared" ref="F15:I15" si="9">AVERAGE(D15:E15)</f>
        <v>0.60066707188977198</v>
      </c>
      <c r="G15" s="20">
        <f>AVERAGE(E15:F15)</f>
        <v>0.61540602580181192</v>
      </c>
      <c r="H15" s="20">
        <f t="shared" si="9"/>
        <v>0.60803654884579195</v>
      </c>
      <c r="I15" s="20">
        <f t="shared" si="9"/>
        <v>0.61172128732380193</v>
      </c>
    </row>
    <row r="16" spans="2:9" x14ac:dyDescent="0.2">
      <c r="C16" s="7"/>
      <c r="D16" s="7"/>
    </row>
    <row r="17" spans="2:9" x14ac:dyDescent="0.2">
      <c r="B17" s="10" t="s">
        <v>15</v>
      </c>
      <c r="C17" s="60">
        <f>C11-C14</f>
        <v>14608.5</v>
      </c>
      <c r="D17" s="60">
        <f t="shared" ref="D17:I17" si="10">D11-D14</f>
        <v>33202.429999999993</v>
      </c>
      <c r="E17" s="61">
        <f t="shared" si="10"/>
        <v>31043.955743936036</v>
      </c>
      <c r="F17" s="61">
        <f t="shared" si="10"/>
        <v>42532.123046361623</v>
      </c>
      <c r="G17" s="61">
        <f t="shared" si="10"/>
        <v>47870.921963450921</v>
      </c>
      <c r="H17" s="61">
        <f t="shared" si="10"/>
        <v>59345.681771450938</v>
      </c>
      <c r="I17" s="61">
        <f t="shared" si="10"/>
        <v>70074.472876555199</v>
      </c>
    </row>
    <row r="18" spans="2:9" x14ac:dyDescent="0.2">
      <c r="C18" s="7"/>
      <c r="D18" s="7"/>
    </row>
    <row r="19" spans="2:9" x14ac:dyDescent="0.2">
      <c r="B19" s="5" t="s">
        <v>27</v>
      </c>
      <c r="C19" s="17">
        <f>'Data Sheet'!K27</f>
        <v>41166.67</v>
      </c>
      <c r="D19" s="17">
        <f>'Data Sheet'!L27</f>
        <v>50543.39</v>
      </c>
      <c r="E19" s="17">
        <f>-'Debt Sch'!D23</f>
        <v>0</v>
      </c>
      <c r="F19" s="17">
        <f>-'Debt Sch'!E23</f>
        <v>0</v>
      </c>
      <c r="G19" s="17">
        <f>-'Debt Sch'!F23</f>
        <v>0</v>
      </c>
      <c r="H19" s="17">
        <f>-'Debt Sch'!G23</f>
        <v>0</v>
      </c>
      <c r="I19" s="17">
        <f>-'Debt Sch'!H23</f>
        <v>0</v>
      </c>
    </row>
    <row r="20" spans="2:9" x14ac:dyDescent="0.2">
      <c r="B20" s="5" t="s">
        <v>77</v>
      </c>
      <c r="C20" s="59">
        <f>'Data Sheet'!K25</f>
        <v>62129.45</v>
      </c>
      <c r="D20" s="59">
        <f>'Data Sheet'!L25</f>
        <v>65111.99</v>
      </c>
      <c r="E20" s="28">
        <f>AVERAGE(C20:D20)</f>
        <v>63620.72</v>
      </c>
      <c r="F20" s="28">
        <f t="shared" ref="F20:I20" si="11">AVERAGE(D20:E20)</f>
        <v>64366.354999999996</v>
      </c>
      <c r="G20" s="28">
        <f t="shared" si="11"/>
        <v>63993.537499999999</v>
      </c>
      <c r="H20" s="28">
        <f t="shared" si="11"/>
        <v>64179.946249999994</v>
      </c>
      <c r="I20" s="28">
        <f t="shared" si="11"/>
        <v>64086.741874999992</v>
      </c>
    </row>
    <row r="21" spans="2:9" x14ac:dyDescent="0.2">
      <c r="C21" s="42"/>
      <c r="D21" s="42"/>
      <c r="E21" s="28"/>
      <c r="F21" s="28"/>
      <c r="G21" s="28"/>
      <c r="H21" s="42"/>
      <c r="I21" s="42"/>
    </row>
    <row r="22" spans="2:9" x14ac:dyDescent="0.2">
      <c r="B22" s="10" t="s">
        <v>26</v>
      </c>
      <c r="C22" s="60">
        <f>C17+C19+C20</f>
        <v>117904.62</v>
      </c>
      <c r="D22" s="60">
        <f t="shared" ref="D22:I22" si="12">D17+D19+D20</f>
        <v>148857.81</v>
      </c>
      <c r="E22" s="61">
        <f t="shared" si="12"/>
        <v>94664.675743936037</v>
      </c>
      <c r="F22" s="61">
        <f t="shared" si="12"/>
        <v>106898.47804636162</v>
      </c>
      <c r="G22" s="61">
        <f t="shared" si="12"/>
        <v>111864.45946345091</v>
      </c>
      <c r="H22" s="61">
        <f t="shared" si="12"/>
        <v>123525.62802145093</v>
      </c>
      <c r="I22" s="61">
        <f t="shared" si="12"/>
        <v>134161.21475155518</v>
      </c>
    </row>
    <row r="23" spans="2:9" x14ac:dyDescent="0.2">
      <c r="C23" s="28"/>
      <c r="D23" s="28"/>
      <c r="E23" s="28"/>
      <c r="F23" s="28"/>
      <c r="G23" s="28"/>
      <c r="H23" s="42"/>
      <c r="I23" s="42"/>
    </row>
    <row r="24" spans="2:9" x14ac:dyDescent="0.2">
      <c r="B24" s="5" t="s">
        <v>17</v>
      </c>
      <c r="C24" s="62">
        <f>'Data Sheet'!K29</f>
        <v>8457.44</v>
      </c>
      <c r="D24" s="62">
        <v>20376</v>
      </c>
      <c r="E24" s="28">
        <f>D24*E25</f>
        <v>7131.5999999999995</v>
      </c>
      <c r="F24" s="28">
        <f t="shared" ref="F24:I24" si="13">E24*F25</f>
        <v>2496.0599999999995</v>
      </c>
      <c r="G24" s="28">
        <f t="shared" si="13"/>
        <v>873.62099999999975</v>
      </c>
      <c r="H24" s="28">
        <f t="shared" si="13"/>
        <v>305.76734999999991</v>
      </c>
      <c r="I24" s="28">
        <f t="shared" si="13"/>
        <v>107.01857249999996</v>
      </c>
    </row>
    <row r="25" spans="2:9" x14ac:dyDescent="0.2">
      <c r="B25" s="15" t="s">
        <v>18</v>
      </c>
      <c r="C25" s="22" t="s">
        <v>13</v>
      </c>
      <c r="D25" s="22" t="s">
        <v>13</v>
      </c>
      <c r="E25" s="20">
        <v>0.35</v>
      </c>
      <c r="F25" s="20">
        <v>0.35</v>
      </c>
      <c r="G25" s="20">
        <v>0.35</v>
      </c>
      <c r="H25" s="20">
        <v>0.35</v>
      </c>
      <c r="I25" s="20">
        <v>0.35</v>
      </c>
    </row>
    <row r="26" spans="2:9" x14ac:dyDescent="0.2">
      <c r="C26" s="7"/>
      <c r="D26" s="7"/>
    </row>
    <row r="27" spans="2:9" x14ac:dyDescent="0.2">
      <c r="B27" s="10" t="s">
        <v>28</v>
      </c>
      <c r="C27" s="63">
        <f>C22-C24</f>
        <v>109447.18</v>
      </c>
      <c r="D27" s="63">
        <f t="shared" ref="D27:I27" si="14">D22-D24</f>
        <v>128481.81</v>
      </c>
      <c r="E27" s="64">
        <f t="shared" si="14"/>
        <v>87533.075743936031</v>
      </c>
      <c r="F27" s="64">
        <f t="shared" si="14"/>
        <v>104402.41804636162</v>
      </c>
      <c r="G27" s="64">
        <f t="shared" si="14"/>
        <v>110990.83846345091</v>
      </c>
      <c r="H27" s="64">
        <f t="shared" si="14"/>
        <v>123219.86067145094</v>
      </c>
      <c r="I27" s="64">
        <f t="shared" si="14"/>
        <v>134054.19617905517</v>
      </c>
    </row>
    <row r="28" spans="2:9" x14ac:dyDescent="0.2">
      <c r="C28" s="7"/>
      <c r="D28" s="7"/>
    </row>
    <row r="29" spans="2:9" x14ac:dyDescent="0.2">
      <c r="B29" s="113" t="s">
        <v>29</v>
      </c>
      <c r="C29" s="113"/>
      <c r="D29" s="113"/>
      <c r="E29" s="113"/>
      <c r="F29" s="113"/>
      <c r="G29" s="113"/>
    </row>
    <row r="30" spans="2:9" x14ac:dyDescent="0.2">
      <c r="B30" s="6"/>
      <c r="C30" s="6"/>
      <c r="D30" s="6"/>
      <c r="E30" s="6"/>
      <c r="F30" s="6"/>
      <c r="G30" s="6"/>
    </row>
    <row r="31" spans="2:9" x14ac:dyDescent="0.2">
      <c r="B31" s="5" t="s">
        <v>15</v>
      </c>
      <c r="C31" s="28">
        <f>C17</f>
        <v>14608.5</v>
      </c>
      <c r="D31" s="28">
        <f>D17</f>
        <v>33202.429999999993</v>
      </c>
      <c r="E31" s="28">
        <f t="shared" ref="E31:I31" si="15">E17</f>
        <v>31043.955743936036</v>
      </c>
      <c r="F31" s="28">
        <f t="shared" si="15"/>
        <v>42532.123046361623</v>
      </c>
      <c r="G31" s="28">
        <f t="shared" si="15"/>
        <v>47870.921963450921</v>
      </c>
      <c r="H31" s="28">
        <f t="shared" si="15"/>
        <v>59345.681771450938</v>
      </c>
      <c r="I31" s="28">
        <f t="shared" si="15"/>
        <v>70074.472876555199</v>
      </c>
    </row>
    <row r="32" spans="2:9" x14ac:dyDescent="0.2">
      <c r="B32" s="5" t="s">
        <v>78</v>
      </c>
      <c r="C32" s="42">
        <f>'Data Sheet'!K26</f>
        <v>1330.01</v>
      </c>
      <c r="D32" s="42">
        <f>'Data Sheet'!L26</f>
        <v>1514.56</v>
      </c>
      <c r="E32" s="57">
        <f>'PP&amp;E Sch'!D8</f>
        <v>1921.3679077531838</v>
      </c>
      <c r="F32" s="57">
        <f>'PP&amp;E Sch'!E8</f>
        <v>2243.3039446519101</v>
      </c>
      <c r="G32" s="57">
        <f>'PP&amp;E Sch'!F8</f>
        <v>2729.3672603734385</v>
      </c>
      <c r="H32" s="57">
        <f>'PP&amp;E Sch'!G8</f>
        <v>3252.799196373438</v>
      </c>
      <c r="I32" s="57">
        <f>'PP&amp;E Sch'!H8</f>
        <v>3916.8239452929383</v>
      </c>
    </row>
    <row r="33" spans="2:9" x14ac:dyDescent="0.2">
      <c r="B33" s="5" t="s">
        <v>79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2:9" x14ac:dyDescent="0.2">
      <c r="B34" s="18" t="s">
        <v>22</v>
      </c>
      <c r="C34" s="64">
        <f>C17+C32</f>
        <v>15938.51</v>
      </c>
      <c r="D34" s="64">
        <f>D17+D32</f>
        <v>34716.989999999991</v>
      </c>
      <c r="E34" s="64">
        <f t="shared" ref="E34:I34" si="16">E17+E32</f>
        <v>32965.323651689221</v>
      </c>
      <c r="F34" s="64">
        <f t="shared" si="16"/>
        <v>44775.426991013534</v>
      </c>
      <c r="G34" s="64">
        <f t="shared" si="16"/>
        <v>50600.289223824358</v>
      </c>
      <c r="H34" s="64">
        <f t="shared" si="16"/>
        <v>62598.480967824376</v>
      </c>
      <c r="I34" s="64">
        <f t="shared" si="16"/>
        <v>73991.29682184814</v>
      </c>
    </row>
  </sheetData>
  <mergeCells count="2">
    <mergeCell ref="B29:G29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E07-8A71-4619-A946-A4727BD5D3C6}">
  <sheetPr>
    <tabColor theme="4" tint="-0.249977111117893"/>
  </sheetPr>
  <dimension ref="B2:L57"/>
  <sheetViews>
    <sheetView showGridLines="0" workbookViewId="0">
      <pane ySplit="4" topLeftCell="A5" activePane="bottomLeft" state="frozen"/>
      <selection pane="bottomLeft" activeCell="P20" sqref="P20"/>
    </sheetView>
  </sheetViews>
  <sheetFormatPr baseColWidth="10" defaultColWidth="8.83203125" defaultRowHeight="15" x14ac:dyDescent="0.2"/>
  <cols>
    <col min="1" max="1" width="1.83203125" customWidth="1"/>
    <col min="2" max="2" width="43.1640625" style="5" customWidth="1"/>
    <col min="3" max="4" width="12.83203125" style="30" bestFit="1" customWidth="1"/>
    <col min="5" max="5" width="12.83203125" style="5" bestFit="1" customWidth="1"/>
    <col min="6" max="6" width="12.33203125" bestFit="1" customWidth="1"/>
    <col min="7" max="8" width="12.5" bestFit="1" customWidth="1"/>
    <col min="9" max="9" width="13.1640625" customWidth="1"/>
  </cols>
  <sheetData>
    <row r="2" spans="2:10" ht="21" x14ac:dyDescent="0.25">
      <c r="B2" s="114" t="s">
        <v>170</v>
      </c>
      <c r="C2" s="114"/>
      <c r="D2" s="114"/>
      <c r="E2" s="114"/>
      <c r="F2" s="114"/>
      <c r="G2" s="114"/>
      <c r="H2" s="114"/>
      <c r="I2" s="114"/>
    </row>
    <row r="3" spans="2:10" x14ac:dyDescent="0.2">
      <c r="B3" s="3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10" x14ac:dyDescent="0.2">
      <c r="B4" s="8" t="s">
        <v>95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10" x14ac:dyDescent="0.2">
      <c r="B5" s="26" t="s">
        <v>30</v>
      </c>
    </row>
    <row r="6" spans="2:10" x14ac:dyDescent="0.2">
      <c r="B6" s="27" t="s">
        <v>31</v>
      </c>
      <c r="C6" s="31"/>
      <c r="D6" s="31"/>
    </row>
    <row r="7" spans="2:10" x14ac:dyDescent="0.2">
      <c r="B7" s="24" t="s">
        <v>46</v>
      </c>
      <c r="C7" s="65">
        <f>'Data Sheet'!K69</f>
        <v>183125.98</v>
      </c>
      <c r="D7" s="65">
        <f>'Data Sheet'!L69</f>
        <v>136456.49</v>
      </c>
      <c r="E7" s="28">
        <f>'Cash Flow Statement '!E32</f>
        <v>83935.043651689208</v>
      </c>
      <c r="F7" s="28">
        <f>'Cash Flow Statement '!F32</f>
        <v>92198.315642702728</v>
      </c>
      <c r="G7" s="28">
        <f>'Cash Flow Statement '!G32</f>
        <v>110351.82186652708</v>
      </c>
      <c r="H7" s="28">
        <f>'Cash Flow Statement '!H32</f>
        <v>130618.44295935145</v>
      </c>
      <c r="I7" s="28">
        <f>'Cash Flow Statement '!I32</f>
        <v>158474.90599994955</v>
      </c>
    </row>
    <row r="8" spans="2:10" x14ac:dyDescent="0.2">
      <c r="B8" s="24" t="s">
        <v>42</v>
      </c>
      <c r="C8" s="93">
        <f>'Data Sheet'!K67</f>
        <v>0</v>
      </c>
      <c r="D8" s="93">
        <f>'Data Sheet'!L67</f>
        <v>0</v>
      </c>
      <c r="E8" s="93">
        <f>'Data Sheet'!M67</f>
        <v>0</v>
      </c>
      <c r="F8" s="93" t="str">
        <f>'Data Sheet'!N67</f>
        <v>Trade Payables</v>
      </c>
      <c r="G8" s="93">
        <f>'Data Sheet'!O67</f>
        <v>3797</v>
      </c>
      <c r="H8" s="93">
        <f>'Data Sheet'!P67</f>
        <v>4321</v>
      </c>
      <c r="I8" s="93">
        <f>'Data Sheet'!Q67</f>
        <v>5216</v>
      </c>
    </row>
    <row r="9" spans="2:10" x14ac:dyDescent="0.2">
      <c r="B9" s="24" t="s">
        <v>43</v>
      </c>
      <c r="C9" s="93">
        <f>'Data Sheet'!K68</f>
        <v>0</v>
      </c>
      <c r="D9" s="93">
        <f>'Data Sheet'!L68</f>
        <v>0</v>
      </c>
      <c r="E9" s="93">
        <f>E53/365*'income statement '!E8</f>
        <v>0</v>
      </c>
      <c r="F9" s="93">
        <f>F53/365*'income statement '!F8</f>
        <v>0</v>
      </c>
      <c r="G9" s="93">
        <f>G53/365*'income statement '!G8</f>
        <v>0</v>
      </c>
      <c r="H9" s="93">
        <f>H53/365*'income statement '!H8</f>
        <v>0</v>
      </c>
      <c r="I9" s="93">
        <f>I53/365*'income statement '!I8</f>
        <v>0</v>
      </c>
    </row>
    <row r="10" spans="2:10" x14ac:dyDescent="0.2">
      <c r="B10" s="24" t="s">
        <v>44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</row>
    <row r="11" spans="2:10" x14ac:dyDescent="0.2">
      <c r="B11" s="27" t="s">
        <v>45</v>
      </c>
      <c r="C11" s="67">
        <f>SUM(C7:C10)</f>
        <v>183125.98</v>
      </c>
      <c r="D11" s="67">
        <f>SUM(D7:D10)</f>
        <v>136456.49</v>
      </c>
      <c r="E11" s="68">
        <f t="shared" ref="E11:I11" si="1">SUM(E7:E10)</f>
        <v>83935.043651689208</v>
      </c>
      <c r="F11" s="68">
        <f t="shared" si="1"/>
        <v>92198.315642702728</v>
      </c>
      <c r="G11" s="68">
        <f t="shared" si="1"/>
        <v>114148.82186652708</v>
      </c>
      <c r="H11" s="68">
        <f t="shared" si="1"/>
        <v>134939.44295935147</v>
      </c>
      <c r="I11" s="68">
        <f t="shared" si="1"/>
        <v>163690.90599994955</v>
      </c>
    </row>
    <row r="12" spans="2:10" x14ac:dyDescent="0.2">
      <c r="C12" s="33"/>
      <c r="D12" s="33"/>
    </row>
    <row r="13" spans="2:10" x14ac:dyDescent="0.2">
      <c r="B13" s="23" t="s">
        <v>90</v>
      </c>
      <c r="C13" s="32"/>
      <c r="D13" s="32"/>
    </row>
    <row r="14" spans="2:10" x14ac:dyDescent="0.2">
      <c r="B14" s="3" t="s">
        <v>91</v>
      </c>
      <c r="C14" s="66">
        <f>'Data Sheet'!K62</f>
        <v>10706.74</v>
      </c>
      <c r="D14" s="66">
        <f>'Data Sheet'!L62</f>
        <v>11070.34</v>
      </c>
      <c r="E14" s="69">
        <f>'PP&amp;E Sch'!D11</f>
        <v>84699.35790775319</v>
      </c>
      <c r="F14" s="69">
        <f>'PP&amp;E Sch'!E11</f>
        <v>162235.69435240512</v>
      </c>
      <c r="G14" s="69">
        <f>'PP&amp;E Sch'!F11</f>
        <v>244022.74573777855</v>
      </c>
      <c r="H14" s="69">
        <f>'PP&amp;E Sch'!G11</f>
        <v>330286.11326540203</v>
      </c>
      <c r="I14" s="69">
        <f>'PP&amp;E Sch'!H11</f>
        <v>421364.03395850747</v>
      </c>
    </row>
    <row r="15" spans="2:10" x14ac:dyDescent="0.2">
      <c r="B15" s="3" t="s">
        <v>80</v>
      </c>
      <c r="C15" s="93">
        <f>'Data Sheet'!K63</f>
        <v>0</v>
      </c>
      <c r="D15" s="93">
        <f>'Data Sheet'!L63</f>
        <v>0</v>
      </c>
      <c r="E15" s="93">
        <f>AVERAGE(C15:D15)</f>
        <v>0</v>
      </c>
      <c r="F15" s="93">
        <f t="shared" ref="F15:I15" si="2">AVERAGE(D15:E15)</f>
        <v>0</v>
      </c>
      <c r="G15" s="93">
        <f t="shared" si="2"/>
        <v>0</v>
      </c>
      <c r="H15" s="93">
        <f t="shared" si="2"/>
        <v>0</v>
      </c>
      <c r="I15" s="93">
        <f t="shared" si="2"/>
        <v>0</v>
      </c>
      <c r="J15" s="93"/>
    </row>
    <row r="16" spans="2:10" x14ac:dyDescent="0.2">
      <c r="B16" s="3" t="s">
        <v>81</v>
      </c>
      <c r="C16" s="66">
        <f>'Data Sheet'!K64</f>
        <v>567097.72</v>
      </c>
      <c r="D16" s="66">
        <f>'Data Sheet'!L64</f>
        <v>639551.97</v>
      </c>
      <c r="E16" s="28">
        <f>D16*(1.15)</f>
        <v>735484.76549999986</v>
      </c>
      <c r="F16" s="28">
        <f t="shared" ref="F16:I16" si="3">E16*(1.15)</f>
        <v>845807.48032499978</v>
      </c>
      <c r="G16" s="28">
        <f t="shared" si="3"/>
        <v>972678.60237374972</v>
      </c>
      <c r="H16" s="28">
        <f t="shared" si="3"/>
        <v>1118580.3927298121</v>
      </c>
      <c r="I16" s="28">
        <f t="shared" si="3"/>
        <v>1286367.4516392837</v>
      </c>
    </row>
    <row r="17" spans="2:9" x14ac:dyDescent="0.2">
      <c r="B17" s="3" t="s">
        <v>82</v>
      </c>
      <c r="C17" s="66">
        <f>'Data Sheet'!K65-'balances sheet'!C11 +0.62</f>
        <v>991707.55999999994</v>
      </c>
      <c r="D17" s="66">
        <f>'Data Sheet'!L65-'balances sheet'!D11+0.5</f>
        <v>1171412.2</v>
      </c>
      <c r="E17" s="28">
        <f>AVERAGE(C17:D17)</f>
        <v>1081559.8799999999</v>
      </c>
      <c r="F17" s="28">
        <f t="shared" ref="F17:I17" si="4">AVERAGE(D17:E17)</f>
        <v>1126486.04</v>
      </c>
      <c r="G17" s="28">
        <f t="shared" si="4"/>
        <v>1104022.96</v>
      </c>
      <c r="H17" s="28">
        <f t="shared" si="4"/>
        <v>1115254.5</v>
      </c>
      <c r="I17" s="28">
        <f t="shared" si="4"/>
        <v>1109638.73</v>
      </c>
    </row>
    <row r="18" spans="2:9" x14ac:dyDescent="0.2">
      <c r="B18" s="23" t="s">
        <v>92</v>
      </c>
      <c r="C18" s="67">
        <f>SUM(C14:C17)</f>
        <v>1569512.02</v>
      </c>
      <c r="D18" s="67">
        <f t="shared" ref="D18" si="5">SUM(D14:D17)</f>
        <v>1822034.5099999998</v>
      </c>
      <c r="E18" s="68">
        <f t="shared" ref="E18" si="6">SUM(E14:E17)</f>
        <v>1901744.0034077531</v>
      </c>
      <c r="F18" s="68">
        <f t="shared" ref="F18" si="7">SUM(F14:F17)</f>
        <v>2134529.2146774051</v>
      </c>
      <c r="G18" s="68">
        <f t="shared" ref="G18" si="8">SUM(G14:G17)</f>
        <v>2320724.3081115279</v>
      </c>
      <c r="H18" s="68">
        <f t="shared" ref="H18" si="9">SUM(H14:H17)</f>
        <v>2564121.005995214</v>
      </c>
      <c r="I18" s="68">
        <f t="shared" ref="I18" si="10">SUM(I14:I17)</f>
        <v>2817370.2155977911</v>
      </c>
    </row>
    <row r="19" spans="2:9" x14ac:dyDescent="0.2">
      <c r="B19"/>
      <c r="C19" s="33"/>
      <c r="D19" s="33"/>
    </row>
    <row r="20" spans="2:9" ht="16.5" customHeight="1" x14ac:dyDescent="0.2">
      <c r="B20" s="10" t="s">
        <v>93</v>
      </c>
      <c r="C20" s="70">
        <f>C18+C11</f>
        <v>1752638</v>
      </c>
      <c r="D20" s="70">
        <f t="shared" ref="D20:I20" si="11">D18+D11</f>
        <v>1958490.9999999998</v>
      </c>
      <c r="E20" s="71">
        <f t="shared" si="11"/>
        <v>1985679.0470594424</v>
      </c>
      <c r="F20" s="71">
        <f t="shared" si="11"/>
        <v>2226727.5303201079</v>
      </c>
      <c r="G20" s="71">
        <f t="shared" si="11"/>
        <v>2434873.1299780551</v>
      </c>
      <c r="H20" s="71">
        <f t="shared" si="11"/>
        <v>2699060.4489545655</v>
      </c>
      <c r="I20" s="71">
        <f t="shared" si="11"/>
        <v>2981061.1215977408</v>
      </c>
    </row>
    <row r="21" spans="2:9" ht="16.5" customHeight="1" x14ac:dyDescent="0.2">
      <c r="B21" s="10"/>
      <c r="C21" s="34"/>
      <c r="D21" s="34"/>
    </row>
    <row r="22" spans="2:9" ht="16.5" customHeight="1" x14ac:dyDescent="0.2">
      <c r="B22" s="26" t="s">
        <v>96</v>
      </c>
      <c r="C22" s="33"/>
      <c r="D22" s="33"/>
    </row>
    <row r="23" spans="2:9" x14ac:dyDescent="0.2">
      <c r="B23" s="27" t="s">
        <v>33</v>
      </c>
      <c r="C23" s="33"/>
      <c r="D23" s="33"/>
    </row>
    <row r="24" spans="2:9" x14ac:dyDescent="0.2">
      <c r="B24" s="3" t="s">
        <v>83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</row>
    <row r="25" spans="2:9" x14ac:dyDescent="0.2">
      <c r="B25" s="24" t="s">
        <v>34</v>
      </c>
      <c r="C25" s="66">
        <v>13069</v>
      </c>
      <c r="D25" s="66">
        <v>13604</v>
      </c>
      <c r="E25" s="28">
        <f>E54/365*'income statement '!E8</f>
        <v>18096.260130554721</v>
      </c>
      <c r="F25" s="28">
        <f>F54/365*'income statement '!F8</f>
        <v>20647.684290710044</v>
      </c>
      <c r="G25" s="28">
        <f>G54/365*'income statement '!G8</f>
        <v>25416.432332138589</v>
      </c>
      <c r="H25" s="28">
        <f>H54/365*'income statement '!H8</f>
        <v>30115.746427708338</v>
      </c>
      <c r="I25" s="28">
        <f>I54/365*'income statement '!I8</f>
        <v>36369.14543749897</v>
      </c>
    </row>
    <row r="26" spans="2:9" x14ac:dyDescent="0.2">
      <c r="B26" s="24" t="s">
        <v>101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</row>
    <row r="27" spans="2:9" x14ac:dyDescent="0.2">
      <c r="B27" s="24" t="s">
        <v>36</v>
      </c>
      <c r="C27" s="39">
        <f>'Debt Sch'!B16</f>
        <v>0</v>
      </c>
      <c r="D27" s="39">
        <v>0</v>
      </c>
      <c r="E27" s="39">
        <f>'Debt Sch'!D16</f>
        <v>0</v>
      </c>
      <c r="F27" s="39">
        <f>'Debt Sch'!E16</f>
        <v>0</v>
      </c>
      <c r="G27" s="39">
        <f>'Debt Sch'!F16</f>
        <v>0</v>
      </c>
      <c r="H27" s="39">
        <f>'Debt Sch'!G16</f>
        <v>0</v>
      </c>
      <c r="I27" s="39">
        <f>'Debt Sch'!H16</f>
        <v>0</v>
      </c>
    </row>
    <row r="28" spans="2:9" x14ac:dyDescent="0.2">
      <c r="B28" s="3" t="s">
        <v>84</v>
      </c>
      <c r="C28" s="66">
        <v>298567</v>
      </c>
      <c r="D28" s="66">
        <v>323808</v>
      </c>
      <c r="E28" s="28">
        <f>E56*'income statement '!E14</f>
        <v>422210.1997851652</v>
      </c>
      <c r="F28" s="28">
        <f>F56*'income statement '!F14</f>
        <v>486649.36501018587</v>
      </c>
      <c r="G28" s="28">
        <f>G56*'income statement '!G14</f>
        <v>596035.40839315648</v>
      </c>
      <c r="H28" s="28">
        <f>H56*'income statement '!H14</f>
        <v>708025.12150574534</v>
      </c>
      <c r="I28" s="28">
        <f>I56*'income statement '!I14</f>
        <v>853965.46704527503</v>
      </c>
    </row>
    <row r="29" spans="2:9" x14ac:dyDescent="0.2">
      <c r="B29" s="27" t="s">
        <v>47</v>
      </c>
      <c r="C29" s="67">
        <f t="shared" ref="C29:I29" si="12">SUM(C24:C28)</f>
        <v>311636</v>
      </c>
      <c r="D29" s="67">
        <f t="shared" si="12"/>
        <v>337412</v>
      </c>
      <c r="E29" s="68">
        <f t="shared" si="12"/>
        <v>440306.45991571993</v>
      </c>
      <c r="F29" s="68">
        <f t="shared" si="12"/>
        <v>507297.04930089589</v>
      </c>
      <c r="G29" s="68">
        <f t="shared" si="12"/>
        <v>621451.84072529501</v>
      </c>
      <c r="H29" s="68">
        <f t="shared" si="12"/>
        <v>738140.86793345364</v>
      </c>
      <c r="I29" s="68">
        <f t="shared" si="12"/>
        <v>890334.61248277395</v>
      </c>
    </row>
    <row r="30" spans="2:9" x14ac:dyDescent="0.2">
      <c r="B30" s="27"/>
      <c r="C30" s="34"/>
      <c r="D30" s="34"/>
    </row>
    <row r="31" spans="2:9" ht="14" customHeight="1" x14ac:dyDescent="0.2">
      <c r="B31" s="27" t="s">
        <v>97</v>
      </c>
      <c r="C31" s="33"/>
      <c r="D31" s="33"/>
    </row>
    <row r="32" spans="2:9" ht="14" customHeight="1" x14ac:dyDescent="0.2">
      <c r="B32" s="3" t="s">
        <v>85</v>
      </c>
      <c r="C32" s="39">
        <v>0</v>
      </c>
      <c r="D32" s="39">
        <v>0</v>
      </c>
      <c r="E32" s="39">
        <f>'Debt Sch'!D15</f>
        <v>0</v>
      </c>
      <c r="F32" s="39">
        <f>'Debt Sch'!E15</f>
        <v>0</v>
      </c>
      <c r="G32" s="39">
        <f>'Debt Sch'!F15</f>
        <v>0</v>
      </c>
      <c r="H32" s="39">
        <f>'Debt Sch'!G15</f>
        <v>0</v>
      </c>
      <c r="I32" s="39">
        <f>'Debt Sch'!H15</f>
        <v>0</v>
      </c>
    </row>
    <row r="33" spans="2:12" x14ac:dyDescent="0.2">
      <c r="B33" s="3" t="s">
        <v>86</v>
      </c>
      <c r="C33" s="66">
        <v>5981</v>
      </c>
      <c r="D33" s="66">
        <v>6687</v>
      </c>
      <c r="E33" s="28">
        <f>AVERAGE(C33:D33)</f>
        <v>6334</v>
      </c>
      <c r="F33" s="28">
        <f t="shared" ref="F33:I33" si="13">AVERAGE(D33:E33)</f>
        <v>6510.5</v>
      </c>
      <c r="G33" s="28">
        <f t="shared" si="13"/>
        <v>6422.25</v>
      </c>
      <c r="H33" s="28">
        <f t="shared" si="13"/>
        <v>6466.375</v>
      </c>
      <c r="I33" s="28">
        <f t="shared" si="13"/>
        <v>6444.3125</v>
      </c>
    </row>
    <row r="34" spans="2:12" x14ac:dyDescent="0.2">
      <c r="B34" s="3" t="s">
        <v>87</v>
      </c>
      <c r="C34" s="66">
        <v>1252968</v>
      </c>
      <c r="D34" s="66">
        <v>1399894</v>
      </c>
      <c r="E34" s="28">
        <f>E57*'income statement '!E14</f>
        <v>1798988.5307780141</v>
      </c>
      <c r="F34" s="28">
        <f>F57*'income statement '!F14</f>
        <v>2088840.1437639957</v>
      </c>
      <c r="G34" s="28">
        <f>G57*'income statement '!G14</f>
        <v>2549032.8320077239</v>
      </c>
      <c r="H34" s="28">
        <f>H57*'income statement '!H14</f>
        <v>3033521.7037914572</v>
      </c>
      <c r="I34" s="28">
        <f>I57*'income statement '!I14</f>
        <v>3655457.7916434598</v>
      </c>
    </row>
    <row r="35" spans="2:12" x14ac:dyDescent="0.2">
      <c r="B35" s="23" t="s">
        <v>88</v>
      </c>
      <c r="C35" s="67">
        <f>SUM(C32:C34)</f>
        <v>1258949</v>
      </c>
      <c r="D35" s="67">
        <f t="shared" ref="D35" si="14">SUM(D32:D34)</f>
        <v>1406581</v>
      </c>
      <c r="E35" s="68">
        <f t="shared" ref="E35" si="15">SUM(E32:E34)</f>
        <v>1805322.5307780141</v>
      </c>
      <c r="F35" s="68">
        <f t="shared" ref="F35" si="16">SUM(F32:F34)</f>
        <v>2095350.6437639957</v>
      </c>
      <c r="G35" s="68">
        <f t="shared" ref="G35" si="17">SUM(G32:G34)</f>
        <v>2555455.0820077239</v>
      </c>
      <c r="H35" s="68">
        <f t="shared" ref="H35" si="18">SUM(H32:H34)</f>
        <v>3039988.0787914572</v>
      </c>
      <c r="I35" s="68">
        <f t="shared" ref="I35" si="19">SUM(I32:I34)</f>
        <v>3661902.1041434598</v>
      </c>
    </row>
    <row r="36" spans="2:12" x14ac:dyDescent="0.2">
      <c r="B36"/>
      <c r="C36" s="33"/>
      <c r="D36" s="33"/>
      <c r="L36" s="58"/>
    </row>
    <row r="37" spans="2:12" ht="11.5" customHeight="1" x14ac:dyDescent="0.2">
      <c r="B37" s="23" t="s">
        <v>89</v>
      </c>
      <c r="C37" s="70">
        <f>C29+C35</f>
        <v>1570585</v>
      </c>
      <c r="D37" s="70">
        <f t="shared" ref="D37:I37" si="20">D29+D35</f>
        <v>1743993</v>
      </c>
      <c r="E37" s="71">
        <f>E29+E35</f>
        <v>2245628.990693734</v>
      </c>
      <c r="F37" s="71">
        <f t="shared" si="20"/>
        <v>2602647.6930648917</v>
      </c>
      <c r="G37" s="71">
        <f t="shared" si="20"/>
        <v>3176906.9227330191</v>
      </c>
      <c r="H37" s="71">
        <f t="shared" si="20"/>
        <v>3778128.9467249108</v>
      </c>
      <c r="I37" s="71">
        <f t="shared" si="20"/>
        <v>4552236.7166262334</v>
      </c>
    </row>
    <row r="38" spans="2:12" ht="11.5" customHeight="1" x14ac:dyDescent="0.2">
      <c r="B38"/>
      <c r="C38" s="70"/>
      <c r="D38" s="70"/>
      <c r="E38" s="46"/>
      <c r="F38" s="58"/>
      <c r="G38" s="58"/>
      <c r="H38" s="58"/>
      <c r="I38" s="58"/>
    </row>
    <row r="39" spans="2:12" x14ac:dyDescent="0.2">
      <c r="B39" s="27" t="s">
        <v>38</v>
      </c>
      <c r="C39" s="72"/>
      <c r="D39" s="72"/>
      <c r="E39" s="46"/>
      <c r="F39" s="58"/>
      <c r="G39" s="58"/>
      <c r="H39" s="58"/>
      <c r="I39" s="58"/>
    </row>
    <row r="40" spans="2:12" x14ac:dyDescent="0.2">
      <c r="B40" s="24" t="s">
        <v>39</v>
      </c>
      <c r="C40" s="73">
        <f>'Data Sheet'!Y60</f>
        <v>1390</v>
      </c>
      <c r="D40" s="73">
        <f>'Data Sheet'!Z60</f>
        <v>1397</v>
      </c>
      <c r="E40" s="47">
        <v>6766</v>
      </c>
      <c r="F40" s="47">
        <v>6766</v>
      </c>
      <c r="G40" s="47">
        <v>6766</v>
      </c>
      <c r="H40" s="47">
        <v>6766</v>
      </c>
      <c r="I40" s="47">
        <v>6766</v>
      </c>
    </row>
    <row r="41" spans="2:12" x14ac:dyDescent="0.2">
      <c r="B41" s="24" t="s">
        <v>49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0</v>
      </c>
    </row>
    <row r="42" spans="2:12" x14ac:dyDescent="0.2">
      <c r="B42" s="24" t="s">
        <v>48</v>
      </c>
      <c r="C42" s="73">
        <f>'Data Sheet'!Y61</f>
        <v>180663</v>
      </c>
      <c r="D42" s="73">
        <f>'Data Sheet'!Z61</f>
        <v>213101</v>
      </c>
      <c r="E42" s="46">
        <f>D42+'income statement '!E27</f>
        <v>300634.075743936</v>
      </c>
      <c r="F42" s="46">
        <f>E42+'income statement '!F27</f>
        <v>405036.49379029765</v>
      </c>
      <c r="G42" s="46">
        <f>F42+'income statement '!G27</f>
        <v>516027.33225374855</v>
      </c>
      <c r="H42" s="46">
        <f>G42+'income statement '!H27</f>
        <v>639247.19292519952</v>
      </c>
      <c r="I42" s="46">
        <f>H42+'income statement '!I27</f>
        <v>773301.38910425466</v>
      </c>
    </row>
    <row r="43" spans="2:12" x14ac:dyDescent="0.2">
      <c r="B43" s="27" t="s">
        <v>40</v>
      </c>
      <c r="C43" s="74">
        <f>SUM(C40:C42)</f>
        <v>182053</v>
      </c>
      <c r="D43" s="74">
        <f>SUM(D40:D42)</f>
        <v>214498</v>
      </c>
      <c r="E43" s="45">
        <f t="shared" ref="E43:I43" si="21">SUM(E40:E42)</f>
        <v>307400.075743936</v>
      </c>
      <c r="F43" s="45">
        <f t="shared" si="21"/>
        <v>411802.49379029765</v>
      </c>
      <c r="G43" s="45">
        <f t="shared" si="21"/>
        <v>522793.33225374855</v>
      </c>
      <c r="H43" s="45">
        <f t="shared" si="21"/>
        <v>646013.19292519952</v>
      </c>
      <c r="I43" s="45">
        <f t="shared" si="21"/>
        <v>780067.38910425466</v>
      </c>
    </row>
    <row r="44" spans="2:12" x14ac:dyDescent="0.2">
      <c r="B44" s="27"/>
      <c r="C44" s="34"/>
      <c r="D44" s="34"/>
    </row>
    <row r="45" spans="2:12" ht="3" customHeight="1" x14ac:dyDescent="0.2">
      <c r="C45" s="33"/>
      <c r="D45" s="33"/>
    </row>
    <row r="46" spans="2:12" x14ac:dyDescent="0.2">
      <c r="B46" s="10" t="s">
        <v>41</v>
      </c>
      <c r="C46" s="70">
        <f>C43+C37</f>
        <v>1752638</v>
      </c>
      <c r="D46" s="70">
        <f t="shared" ref="D46:I46" si="22">D43+D37</f>
        <v>1958491</v>
      </c>
      <c r="E46" s="71">
        <f t="shared" si="22"/>
        <v>2553029.06643767</v>
      </c>
      <c r="F46" s="71">
        <f t="shared" si="22"/>
        <v>3014450.1868551895</v>
      </c>
      <c r="G46" s="71">
        <f t="shared" si="22"/>
        <v>3699700.2549867677</v>
      </c>
      <c r="H46" s="71">
        <f t="shared" si="22"/>
        <v>4424142.1396501102</v>
      </c>
      <c r="I46" s="71">
        <f t="shared" si="22"/>
        <v>5332304.105730488</v>
      </c>
    </row>
    <row r="47" spans="2:12" x14ac:dyDescent="0.2">
      <c r="C47" s="35"/>
      <c r="D47" s="35"/>
    </row>
    <row r="48" spans="2:12" x14ac:dyDescent="0.2">
      <c r="B48" s="5" t="s">
        <v>94</v>
      </c>
      <c r="C48" s="36" t="b">
        <f t="shared" ref="C48:I48" si="23">C46=C20</f>
        <v>1</v>
      </c>
      <c r="D48" s="36" t="b">
        <f t="shared" si="23"/>
        <v>1</v>
      </c>
      <c r="E48" s="36" t="b">
        <f t="shared" si="23"/>
        <v>0</v>
      </c>
      <c r="F48" s="36" t="b">
        <f t="shared" si="23"/>
        <v>0</v>
      </c>
      <c r="G48" s="36" t="b">
        <f t="shared" si="23"/>
        <v>0</v>
      </c>
      <c r="H48" s="36" t="b">
        <f t="shared" si="23"/>
        <v>0</v>
      </c>
      <c r="I48" s="36" t="b">
        <f t="shared" si="23"/>
        <v>0</v>
      </c>
    </row>
    <row r="49" spans="2:9" x14ac:dyDescent="0.2">
      <c r="C49" s="37"/>
      <c r="D49" s="37"/>
    </row>
    <row r="51" spans="2:9" x14ac:dyDescent="0.2">
      <c r="B51" s="10" t="s">
        <v>52</v>
      </c>
    </row>
    <row r="52" spans="2:9" x14ac:dyDescent="0.2">
      <c r="B52" s="5" t="s">
        <v>99</v>
      </c>
      <c r="C52" s="40">
        <f>C8/('income statement '!C5/365)</f>
        <v>0</v>
      </c>
      <c r="D52" s="40">
        <f>D8/('income statement '!D5/365)</f>
        <v>0</v>
      </c>
      <c r="E52" s="41">
        <f>AVERAGE(C52:D52)</f>
        <v>0</v>
      </c>
      <c r="F52" s="41">
        <f t="shared" ref="F52:I52" si="24">AVERAGE(D52:E52)</f>
        <v>0</v>
      </c>
      <c r="G52" s="41">
        <f t="shared" si="24"/>
        <v>0</v>
      </c>
      <c r="H52" s="41">
        <f t="shared" si="24"/>
        <v>0</v>
      </c>
      <c r="I52" s="41">
        <f t="shared" si="24"/>
        <v>0</v>
      </c>
    </row>
    <row r="53" spans="2:9" x14ac:dyDescent="0.2">
      <c r="B53" s="5" t="s">
        <v>98</v>
      </c>
      <c r="C53" s="40">
        <f>C9/('income statement '!C8/365)</f>
        <v>0</v>
      </c>
      <c r="D53" s="40">
        <f>D9/('income statement '!D8/365)</f>
        <v>0</v>
      </c>
      <c r="E53" s="41">
        <f t="shared" ref="E53:I53" si="25">AVERAGE(C53:D53)</f>
        <v>0</v>
      </c>
      <c r="F53" s="41">
        <f t="shared" si="25"/>
        <v>0</v>
      </c>
      <c r="G53" s="41">
        <f t="shared" si="25"/>
        <v>0</v>
      </c>
      <c r="H53" s="41">
        <f t="shared" si="25"/>
        <v>0</v>
      </c>
      <c r="I53" s="41">
        <f t="shared" si="25"/>
        <v>0</v>
      </c>
    </row>
    <row r="54" spans="2:9" x14ac:dyDescent="0.2">
      <c r="B54" s="5" t="s">
        <v>100</v>
      </c>
      <c r="C54" s="40">
        <f>C25/('income statement '!C8/365)</f>
        <v>316.8838044776536</v>
      </c>
      <c r="D54" s="40">
        <f>D25/('income statement '!D8/365)</f>
        <v>265.35765455183827</v>
      </c>
      <c r="E54" s="41">
        <f t="shared" ref="E54:I54" si="26">AVERAGE(C54:D54)</f>
        <v>291.1207295147459</v>
      </c>
      <c r="F54" s="41">
        <f t="shared" si="26"/>
        <v>278.23919203329206</v>
      </c>
      <c r="G54" s="41">
        <f t="shared" si="26"/>
        <v>284.67996077401898</v>
      </c>
      <c r="H54" s="41">
        <f t="shared" si="26"/>
        <v>281.45957640365555</v>
      </c>
      <c r="I54" s="41">
        <f t="shared" si="26"/>
        <v>283.06976858883729</v>
      </c>
    </row>
    <row r="55" spans="2:9" x14ac:dyDescent="0.2">
      <c r="B55" t="s">
        <v>102</v>
      </c>
      <c r="C55" s="75">
        <f>C24/'income statement '!C14</f>
        <v>0</v>
      </c>
      <c r="D55" s="75">
        <f>D24/'income statement '!D14</f>
        <v>0</v>
      </c>
      <c r="E55" s="41">
        <f>AVERAGE(C55:D55)</f>
        <v>0</v>
      </c>
      <c r="F55" s="41">
        <f t="shared" ref="F55:I55" si="27">AVERAGE(D55:E55)</f>
        <v>0</v>
      </c>
      <c r="G55" s="41">
        <f t="shared" si="27"/>
        <v>0</v>
      </c>
      <c r="H55" s="41">
        <f t="shared" si="27"/>
        <v>0</v>
      </c>
      <c r="I55" s="41">
        <f t="shared" si="27"/>
        <v>0</v>
      </c>
    </row>
    <row r="56" spans="2:9" x14ac:dyDescent="0.2">
      <c r="B56" t="s">
        <v>103</v>
      </c>
      <c r="C56" s="75">
        <f>C28/'income statement '!C14</f>
        <v>4.5412917646146207</v>
      </c>
      <c r="D56" s="75">
        <f>D28/'income statement '!D14</f>
        <v>4.6825509872809263</v>
      </c>
      <c r="E56" s="75">
        <f>AVERAGE(C56:D56)</f>
        <v>4.6119213759477731</v>
      </c>
      <c r="F56" s="75">
        <f t="shared" ref="F56:I56" si="28">AVERAGE(D56:E56)</f>
        <v>4.6472361816143497</v>
      </c>
      <c r="G56" s="75">
        <f t="shared" si="28"/>
        <v>4.6295787787810614</v>
      </c>
      <c r="H56" s="75">
        <f t="shared" si="28"/>
        <v>4.6384074801977055</v>
      </c>
      <c r="I56" s="75">
        <f t="shared" si="28"/>
        <v>4.633993129489383</v>
      </c>
    </row>
    <row r="57" spans="2:9" x14ac:dyDescent="0.2">
      <c r="B57" t="s">
        <v>104</v>
      </c>
      <c r="C57" s="75">
        <f>C34/'income statement '!C14</f>
        <v>19.058011299727205</v>
      </c>
      <c r="D57" s="75">
        <f>D34/'income statement '!D14</f>
        <v>20.243709333273561</v>
      </c>
      <c r="E57" s="41">
        <f>AVERAGE(C57:D57)</f>
        <v>19.650860316500385</v>
      </c>
      <c r="F57" s="41">
        <f t="shared" ref="F57:I57" si="29">AVERAGE(D57:E57)</f>
        <v>19.947284824886971</v>
      </c>
      <c r="G57" s="41">
        <f t="shared" si="29"/>
        <v>19.799072570693678</v>
      </c>
      <c r="H57" s="41">
        <f t="shared" si="29"/>
        <v>19.873178697790323</v>
      </c>
      <c r="I57" s="41">
        <f t="shared" si="29"/>
        <v>19.836125634242002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AF4B-CC34-450D-95BB-74E73F1439DD}">
  <sheetPr>
    <tabColor rgb="FF7030A0"/>
  </sheetPr>
  <dimension ref="B2:I58"/>
  <sheetViews>
    <sheetView showGridLines="0" workbookViewId="0">
      <pane ySplit="4" topLeftCell="A14" activePane="bottomLeft" state="frozen"/>
      <selection pane="bottomLeft" activeCell="B2" sqref="B2:I2"/>
    </sheetView>
  </sheetViews>
  <sheetFormatPr baseColWidth="10" defaultColWidth="8.83203125" defaultRowHeight="15" x14ac:dyDescent="0.2"/>
  <cols>
    <col min="1" max="1" width="1.83203125" customWidth="1"/>
    <col min="2" max="2" width="43.83203125" style="6" customWidth="1"/>
    <col min="3" max="3" width="11.83203125" style="30" bestFit="1" customWidth="1"/>
    <col min="4" max="4" width="13.1640625" style="30" customWidth="1"/>
    <col min="5" max="5" width="11.1640625" style="5" bestFit="1" customWidth="1"/>
    <col min="6" max="6" width="11.5" style="5" bestFit="1" customWidth="1"/>
    <col min="7" max="7" width="12.5" style="5" customWidth="1"/>
    <col min="8" max="8" width="11.5" style="5" customWidth="1"/>
    <col min="9" max="9" width="11.5" style="5" bestFit="1" customWidth="1"/>
  </cols>
  <sheetData>
    <row r="2" spans="2:9" ht="21" x14ac:dyDescent="0.25">
      <c r="B2" s="114" t="s">
        <v>170</v>
      </c>
      <c r="C2" s="114"/>
      <c r="D2" s="114"/>
      <c r="E2" s="114"/>
      <c r="F2" s="114"/>
      <c r="G2" s="114"/>
      <c r="H2" s="114"/>
      <c r="I2" s="114"/>
    </row>
    <row r="3" spans="2:9" x14ac:dyDescent="0.2">
      <c r="B3" s="38"/>
      <c r="C3" s="29" t="s">
        <v>50</v>
      </c>
      <c r="D3" s="29" t="s">
        <v>50</v>
      </c>
      <c r="E3" s="9" t="s">
        <v>51</v>
      </c>
      <c r="F3" s="9" t="s">
        <v>51</v>
      </c>
      <c r="G3" s="9" t="s">
        <v>51</v>
      </c>
      <c r="H3" s="9" t="s">
        <v>51</v>
      </c>
      <c r="I3" s="9" t="s">
        <v>51</v>
      </c>
    </row>
    <row r="4" spans="2:9" x14ac:dyDescent="0.2">
      <c r="B4" s="38" t="s">
        <v>105</v>
      </c>
      <c r="C4" s="29">
        <v>2022</v>
      </c>
      <c r="D4" s="29">
        <f>C4+1</f>
        <v>2023</v>
      </c>
      <c r="E4" s="9">
        <f t="shared" ref="E4:I4" si="0">D4+1</f>
        <v>2024</v>
      </c>
      <c r="F4" s="9">
        <f t="shared" si="0"/>
        <v>2025</v>
      </c>
      <c r="G4" s="9">
        <f t="shared" si="0"/>
        <v>2026</v>
      </c>
      <c r="H4" s="9">
        <f t="shared" si="0"/>
        <v>2027</v>
      </c>
      <c r="I4" s="9">
        <f t="shared" si="0"/>
        <v>2028</v>
      </c>
    </row>
    <row r="5" spans="2:9" x14ac:dyDescent="0.2">
      <c r="B5" s="6" t="s">
        <v>53</v>
      </c>
    </row>
    <row r="6" spans="2:9" x14ac:dyDescent="0.2">
      <c r="B6" s="43" t="s">
        <v>19</v>
      </c>
      <c r="C6" s="49">
        <f>'income statement '!C27</f>
        <v>109447.18</v>
      </c>
      <c r="D6" s="49">
        <f>'income statement '!D27</f>
        <v>128481.81</v>
      </c>
      <c r="E6" s="48">
        <f>'income statement '!E27</f>
        <v>87533.075743936031</v>
      </c>
      <c r="F6" s="48">
        <f>'income statement '!F27</f>
        <v>104402.41804636162</v>
      </c>
      <c r="G6" s="48">
        <f>'income statement '!G27</f>
        <v>110990.83846345091</v>
      </c>
      <c r="H6" s="48">
        <f>'income statement '!H27</f>
        <v>123219.86067145094</v>
      </c>
      <c r="I6" s="48">
        <f>'income statement '!I27</f>
        <v>134054.19617905517</v>
      </c>
    </row>
    <row r="7" spans="2:9" x14ac:dyDescent="0.2">
      <c r="B7" s="6" t="s">
        <v>54</v>
      </c>
      <c r="C7" s="49"/>
      <c r="D7" s="49"/>
      <c r="E7" s="48"/>
      <c r="F7" s="48"/>
      <c r="G7" s="48"/>
      <c r="H7" s="48"/>
      <c r="I7" s="48"/>
    </row>
    <row r="8" spans="2:9" x14ac:dyDescent="0.2">
      <c r="B8" s="6" t="s">
        <v>20</v>
      </c>
      <c r="C8" s="49">
        <f>'income statement '!C32</f>
        <v>1330.01</v>
      </c>
      <c r="D8" s="49">
        <f>'income statement '!D32</f>
        <v>1514.56</v>
      </c>
      <c r="E8" s="48">
        <f>'PP&amp;E Sch'!D8</f>
        <v>1921.3679077531838</v>
      </c>
      <c r="F8" s="48">
        <f>'PP&amp;E Sch'!E8</f>
        <v>2243.3039446519101</v>
      </c>
      <c r="G8" s="48">
        <f>'PP&amp;E Sch'!F8</f>
        <v>2729.3672603734385</v>
      </c>
      <c r="H8" s="48">
        <f>'PP&amp;E Sch'!G8</f>
        <v>3252.799196373438</v>
      </c>
      <c r="I8" s="48">
        <f>'PP&amp;E Sch'!H8</f>
        <v>3916.8239452929383</v>
      </c>
    </row>
    <row r="9" spans="2:9" x14ac:dyDescent="0.2">
      <c r="B9" s="6" t="s">
        <v>190</v>
      </c>
      <c r="C9" s="49">
        <f>'Data Sheet'!M107</f>
        <v>-4982</v>
      </c>
      <c r="D9" s="49">
        <f>'Data Sheet'!N107</f>
        <v>-10875</v>
      </c>
      <c r="E9" s="48">
        <f>AVERAGE(C9:D9)</f>
        <v>-7928.5</v>
      </c>
      <c r="F9" s="48">
        <f t="shared" ref="F9:I9" si="1">AVERAGE(D9:E9)</f>
        <v>-9401.75</v>
      </c>
      <c r="G9" s="48">
        <f t="shared" si="1"/>
        <v>-8665.125</v>
      </c>
      <c r="H9" s="48">
        <f t="shared" si="1"/>
        <v>-9033.4375</v>
      </c>
      <c r="I9" s="48">
        <f t="shared" si="1"/>
        <v>-8849.28125</v>
      </c>
    </row>
    <row r="10" spans="2:9" x14ac:dyDescent="0.2">
      <c r="B10" s="6" t="s">
        <v>21</v>
      </c>
      <c r="C10" s="39">
        <f>'income statement '!C33</f>
        <v>0</v>
      </c>
      <c r="D10" s="39">
        <f>'income statement '!D33</f>
        <v>0</v>
      </c>
      <c r="E10" s="76">
        <f>'income statement '!E33</f>
        <v>0</v>
      </c>
      <c r="F10" s="76">
        <f>'income statement '!F33</f>
        <v>0</v>
      </c>
      <c r="G10" s="76">
        <f>'income statement '!G33</f>
        <v>0</v>
      </c>
      <c r="H10" s="76">
        <f>'income statement '!H33</f>
        <v>0</v>
      </c>
      <c r="I10" s="76">
        <f>'income statement '!I33</f>
        <v>0</v>
      </c>
    </row>
    <row r="11" spans="2:9" x14ac:dyDescent="0.2">
      <c r="B11" s="6" t="s">
        <v>55</v>
      </c>
      <c r="C11" s="49">
        <f>'Data Sheet'!M106</f>
        <v>17517</v>
      </c>
      <c r="D11" s="49">
        <f>'Data Sheet'!N106</f>
        <v>-49089</v>
      </c>
      <c r="E11" s="48">
        <f>AVERAGE(C11:D11)</f>
        <v>-15786</v>
      </c>
      <c r="F11" s="48">
        <f t="shared" ref="F11:I11" si="2">AVERAGE(D11:E11)</f>
        <v>-32437.5</v>
      </c>
      <c r="G11" s="48">
        <f t="shared" si="2"/>
        <v>-24111.75</v>
      </c>
      <c r="H11" s="48">
        <f t="shared" si="2"/>
        <v>-28274.625</v>
      </c>
      <c r="I11" s="48">
        <f t="shared" si="2"/>
        <v>-26193.1875</v>
      </c>
    </row>
    <row r="12" spans="2:9" x14ac:dyDescent="0.2">
      <c r="B12" s="43" t="s">
        <v>106</v>
      </c>
      <c r="C12" s="77">
        <f t="shared" ref="C12:I12" si="3">SUM(C6:C11)</f>
        <v>123312.18999999999</v>
      </c>
      <c r="D12" s="77">
        <f t="shared" si="3"/>
        <v>70032.37</v>
      </c>
      <c r="E12" s="78">
        <f t="shared" si="3"/>
        <v>65739.943651689216</v>
      </c>
      <c r="F12" s="78">
        <f t="shared" si="3"/>
        <v>64806.471991013532</v>
      </c>
      <c r="G12" s="78">
        <f t="shared" si="3"/>
        <v>80943.330723824358</v>
      </c>
      <c r="H12" s="78">
        <f t="shared" si="3"/>
        <v>89164.597367824375</v>
      </c>
      <c r="I12" s="78">
        <f t="shared" si="3"/>
        <v>102928.55137434811</v>
      </c>
    </row>
    <row r="13" spans="2:9" x14ac:dyDescent="0.2">
      <c r="C13" s="49"/>
      <c r="D13" s="49"/>
      <c r="E13" s="48"/>
      <c r="F13" s="48"/>
      <c r="G13" s="48"/>
      <c r="H13" s="48"/>
      <c r="I13" s="48"/>
    </row>
    <row r="14" spans="2:9" x14ac:dyDescent="0.2">
      <c r="B14" s="6" t="s">
        <v>56</v>
      </c>
      <c r="C14" s="49"/>
      <c r="D14" s="49"/>
      <c r="E14" s="48"/>
      <c r="F14" s="48"/>
      <c r="G14" s="48"/>
      <c r="H14" s="48"/>
      <c r="I14" s="48"/>
    </row>
    <row r="15" spans="2:9" x14ac:dyDescent="0.2">
      <c r="B15" s="6" t="s">
        <v>115</v>
      </c>
      <c r="C15" s="49">
        <f>SUM('Data Sheet'!M110,'Data Sheet'!M112)</f>
        <v>-39439</v>
      </c>
      <c r="D15" s="49">
        <f>SUM('Data Sheet'!N110,'Data Sheet'!N112)</f>
        <v>-68293</v>
      </c>
      <c r="E15" s="48">
        <f>-'PP&amp;E Sch'!D6</f>
        <v>-71707.650000000009</v>
      </c>
      <c r="F15" s="48">
        <f>-'PP&amp;E Sch'!E6</f>
        <v>-75293.032500000016</v>
      </c>
      <c r="G15" s="48">
        <f>-'PP&amp;E Sch'!F6</f>
        <v>-79057.684125000014</v>
      </c>
      <c r="H15" s="48">
        <f>-'PP&amp;E Sch'!G6</f>
        <v>-83010.568331250019</v>
      </c>
      <c r="I15" s="48">
        <f>-'PP&amp;E Sch'!H6</f>
        <v>-87161.096747812524</v>
      </c>
    </row>
    <row r="16" spans="2:9" x14ac:dyDescent="0.2">
      <c r="B16" s="6" t="s">
        <v>117</v>
      </c>
      <c r="C16" s="49">
        <f>SUM('Data Sheet'!M111,'Data Sheet'!M113)</f>
        <v>-10</v>
      </c>
      <c r="D16" s="49">
        <f>SUM('Data Sheet'!N111,'Data Sheet'!N113)</f>
        <v>603</v>
      </c>
      <c r="E16" s="48">
        <f>AVERAGE(C16:D16)</f>
        <v>296.5</v>
      </c>
      <c r="F16" s="48">
        <f t="shared" ref="F16:I16" si="4">AVERAGE(D16:E16)</f>
        <v>449.75</v>
      </c>
      <c r="G16" s="48">
        <f t="shared" si="4"/>
        <v>373.125</v>
      </c>
      <c r="H16" s="48">
        <f t="shared" si="4"/>
        <v>411.4375</v>
      </c>
      <c r="I16" s="48">
        <f t="shared" si="4"/>
        <v>392.28125</v>
      </c>
    </row>
    <row r="17" spans="2:9" x14ac:dyDescent="0.2">
      <c r="B17" s="43" t="s">
        <v>116</v>
      </c>
      <c r="C17" s="77">
        <v>-109162</v>
      </c>
      <c r="D17" s="77">
        <v>-93001</v>
      </c>
      <c r="E17" s="78">
        <f>SUM(E15:E16)</f>
        <v>-71411.150000000009</v>
      </c>
      <c r="F17" s="78">
        <f t="shared" ref="F17:I17" si="5">SUM(F15:F16)</f>
        <v>-74843.282500000016</v>
      </c>
      <c r="G17" s="78">
        <f t="shared" si="5"/>
        <v>-78684.559125000014</v>
      </c>
      <c r="H17" s="78">
        <f t="shared" si="5"/>
        <v>-82599.130831250019</v>
      </c>
      <c r="I17" s="78">
        <f t="shared" si="5"/>
        <v>-86768.815497812524</v>
      </c>
    </row>
    <row r="18" spans="2:9" x14ac:dyDescent="0.2">
      <c r="C18" s="49"/>
      <c r="D18" s="49"/>
      <c r="E18" s="48"/>
      <c r="F18" s="48"/>
      <c r="G18" s="48"/>
      <c r="H18" s="48"/>
      <c r="I18" s="48"/>
    </row>
    <row r="19" spans="2:9" x14ac:dyDescent="0.2">
      <c r="B19" s="6" t="s">
        <v>57</v>
      </c>
      <c r="C19" s="49"/>
      <c r="D19" s="49"/>
      <c r="E19" s="48"/>
      <c r="F19" s="48"/>
      <c r="G19" s="48"/>
      <c r="H19" s="48"/>
      <c r="I19" s="48"/>
    </row>
    <row r="20" spans="2:9" x14ac:dyDescent="0.2">
      <c r="B20" s="44" t="s">
        <v>107</v>
      </c>
      <c r="C20" s="49">
        <f>'Data Sheet'!M115</f>
        <v>798</v>
      </c>
      <c r="D20" s="49">
        <f>'Data Sheet'!N115</f>
        <v>942</v>
      </c>
      <c r="E20" s="39">
        <f>'income statement '!E46</f>
        <v>0</v>
      </c>
      <c r="F20" s="39">
        <f>'income statement '!F46</f>
        <v>0</v>
      </c>
      <c r="G20" s="39">
        <f>'income statement '!G46</f>
        <v>0</v>
      </c>
      <c r="H20" s="39">
        <f>'income statement '!H46</f>
        <v>0</v>
      </c>
      <c r="I20" s="39">
        <f>'income statement '!I46</f>
        <v>0</v>
      </c>
    </row>
    <row r="21" spans="2:9" x14ac:dyDescent="0.2">
      <c r="B21" s="44" t="s">
        <v>108</v>
      </c>
      <c r="C21" s="49">
        <f>'Data Sheet'!M116</f>
        <v>52641</v>
      </c>
      <c r="D21" s="49">
        <f>'Data Sheet'!N116</f>
        <v>54220</v>
      </c>
      <c r="E21" s="48">
        <f>D21*(1-0.1)</f>
        <v>48798</v>
      </c>
      <c r="F21" s="48">
        <f t="shared" ref="F21:I21" si="6">E21*(1-0.1)</f>
        <v>43918.200000000004</v>
      </c>
      <c r="G21" s="48">
        <f t="shared" si="6"/>
        <v>39526.380000000005</v>
      </c>
      <c r="H21" s="48">
        <f t="shared" si="6"/>
        <v>35573.742000000006</v>
      </c>
      <c r="I21" s="48">
        <f t="shared" si="6"/>
        <v>32016.367800000007</v>
      </c>
    </row>
    <row r="22" spans="2:9" x14ac:dyDescent="0.2">
      <c r="B22" s="44" t="s">
        <v>109</v>
      </c>
      <c r="C22" s="49">
        <f>'Data Sheet'!M117</f>
        <v>-34603</v>
      </c>
      <c r="D22" s="49">
        <f>'Data Sheet'!N117</f>
        <v>-26892</v>
      </c>
      <c r="E22" s="48">
        <f t="shared" ref="E22:I22" si="7">D22*(1-0.1)</f>
        <v>-24202.799999999999</v>
      </c>
      <c r="F22" s="48">
        <f t="shared" si="7"/>
        <v>-21782.52</v>
      </c>
      <c r="G22" s="48">
        <f t="shared" si="7"/>
        <v>-19604.268</v>
      </c>
      <c r="H22" s="48">
        <f t="shared" si="7"/>
        <v>-17643.841199999999</v>
      </c>
      <c r="I22" s="48">
        <f t="shared" si="7"/>
        <v>-15879.45708</v>
      </c>
    </row>
    <row r="23" spans="2:9" x14ac:dyDescent="0.2">
      <c r="B23" s="44" t="s">
        <v>110</v>
      </c>
      <c r="C23" s="39">
        <v>0</v>
      </c>
      <c r="D23" s="39">
        <v>0</v>
      </c>
      <c r="E23" s="39">
        <f t="shared" ref="E23:I23" si="8">D23*(1-0.1)</f>
        <v>0</v>
      </c>
      <c r="F23" s="39">
        <f t="shared" si="8"/>
        <v>0</v>
      </c>
      <c r="G23" s="39">
        <f t="shared" si="8"/>
        <v>0</v>
      </c>
      <c r="H23" s="39">
        <f t="shared" si="8"/>
        <v>0</v>
      </c>
      <c r="I23" s="39">
        <f t="shared" si="8"/>
        <v>0</v>
      </c>
    </row>
    <row r="24" spans="2:9" x14ac:dyDescent="0.2">
      <c r="B24" s="44" t="s">
        <v>111</v>
      </c>
      <c r="C24" s="49">
        <f>'Data Sheet'!M118</f>
        <v>-1385</v>
      </c>
      <c r="D24" s="49">
        <f>'Data Sheet'!N118</f>
        <v>-3479</v>
      </c>
      <c r="E24" s="48">
        <f>D24*(1.05)</f>
        <v>-3652.9500000000003</v>
      </c>
      <c r="F24" s="48">
        <f t="shared" ref="F24:I24" si="9">E24*(1.05)</f>
        <v>-3835.5975000000003</v>
      </c>
      <c r="G24" s="48">
        <f t="shared" si="9"/>
        <v>-4027.3773750000005</v>
      </c>
      <c r="H24" s="48">
        <f t="shared" si="9"/>
        <v>-4228.7462437500008</v>
      </c>
      <c r="I24" s="48">
        <f t="shared" si="9"/>
        <v>-4440.1835559375013</v>
      </c>
    </row>
    <row r="25" spans="2:9" x14ac:dyDescent="0.2">
      <c r="B25" s="44" t="s">
        <v>112</v>
      </c>
      <c r="C25" s="39">
        <v>0</v>
      </c>
      <c r="D25" s="39">
        <v>0</v>
      </c>
      <c r="E25" s="39">
        <f>D25</f>
        <v>0</v>
      </c>
      <c r="F25" s="39">
        <f t="shared" ref="F25:I25" si="10">E25</f>
        <v>0</v>
      </c>
      <c r="G25" s="39">
        <f t="shared" si="10"/>
        <v>0</v>
      </c>
      <c r="H25" s="39">
        <f t="shared" si="10"/>
        <v>0</v>
      </c>
      <c r="I25" s="39">
        <f t="shared" si="10"/>
        <v>0</v>
      </c>
    </row>
    <row r="26" spans="2:9" x14ac:dyDescent="0.2">
      <c r="B26" s="44" t="s">
        <v>113</v>
      </c>
      <c r="C26" s="39">
        <v>0</v>
      </c>
      <c r="D26" s="39">
        <v>0</v>
      </c>
      <c r="E26" s="48"/>
      <c r="F26" s="48"/>
      <c r="G26" s="48"/>
      <c r="H26" s="48"/>
      <c r="I26" s="48"/>
    </row>
    <row r="27" spans="2:9" x14ac:dyDescent="0.2">
      <c r="B27" s="44" t="s">
        <v>114</v>
      </c>
      <c r="C27" s="39">
        <f>'Data Sheet'!M119</f>
        <v>0</v>
      </c>
      <c r="D27" s="39">
        <f>'Data Sheet'!N119</f>
        <v>0</v>
      </c>
      <c r="E27" s="39">
        <f>'income statement '!E53</f>
        <v>0</v>
      </c>
      <c r="F27" s="39">
        <f>'income statement '!F53</f>
        <v>0</v>
      </c>
      <c r="G27" s="39">
        <f>'income statement '!G53</f>
        <v>0</v>
      </c>
      <c r="H27" s="39">
        <f>'income statement '!H53</f>
        <v>0</v>
      </c>
      <c r="I27" s="39">
        <f>'income statement '!I53</f>
        <v>0</v>
      </c>
    </row>
    <row r="28" spans="2:9" x14ac:dyDescent="0.2">
      <c r="B28" s="43" t="s">
        <v>118</v>
      </c>
      <c r="C28" s="77">
        <f>SUM(C20:C27)</f>
        <v>17451</v>
      </c>
      <c r="D28" s="77">
        <f t="shared" ref="D28:I28" si="11">SUM(D20:D27)</f>
        <v>24791</v>
      </c>
      <c r="E28" s="79">
        <f t="shared" si="11"/>
        <v>20942.25</v>
      </c>
      <c r="F28" s="79">
        <f t="shared" si="11"/>
        <v>18300.082500000004</v>
      </c>
      <c r="G28" s="79">
        <f t="shared" si="11"/>
        <v>15894.734625000005</v>
      </c>
      <c r="H28" s="79">
        <f t="shared" si="11"/>
        <v>13701.154556250007</v>
      </c>
      <c r="I28" s="79">
        <f t="shared" si="11"/>
        <v>11696.727164062506</v>
      </c>
    </row>
    <row r="29" spans="2:9" x14ac:dyDescent="0.2">
      <c r="C29" s="49"/>
      <c r="D29" s="49"/>
      <c r="E29" s="48"/>
      <c r="F29" s="48"/>
      <c r="G29" s="48"/>
      <c r="H29" s="48"/>
      <c r="I29" s="48"/>
    </row>
    <row r="30" spans="2:9" x14ac:dyDescent="0.2">
      <c r="B30" s="44" t="s">
        <v>58</v>
      </c>
      <c r="C30" s="49">
        <f>C12+C17+C28</f>
        <v>31601.189999999988</v>
      </c>
      <c r="D30" s="49">
        <f t="shared" ref="D30:I30" si="12">D12+D17+D28</f>
        <v>1822.3699999999953</v>
      </c>
      <c r="E30" s="48">
        <f t="shared" si="12"/>
        <v>15271.043651689208</v>
      </c>
      <c r="F30" s="48">
        <f t="shared" si="12"/>
        <v>8263.2719910135202</v>
      </c>
      <c r="G30" s="48">
        <f t="shared" si="12"/>
        <v>18153.506223824348</v>
      </c>
      <c r="H30" s="48">
        <f t="shared" si="12"/>
        <v>20266.621092824364</v>
      </c>
      <c r="I30" s="48">
        <f t="shared" si="12"/>
        <v>27856.463040598093</v>
      </c>
    </row>
    <row r="31" spans="2:9" x14ac:dyDescent="0.2">
      <c r="B31" s="44" t="s">
        <v>119</v>
      </c>
      <c r="C31" s="49"/>
      <c r="D31" s="48">
        <f t="shared" ref="D31" si="13">C32</f>
        <v>36178</v>
      </c>
      <c r="E31" s="48">
        <f>D32</f>
        <v>68664</v>
      </c>
      <c r="F31" s="48">
        <f t="shared" ref="F31:I31" si="14">E32</f>
        <v>83935.043651689208</v>
      </c>
      <c r="G31" s="48">
        <f t="shared" si="14"/>
        <v>92198.315642702728</v>
      </c>
      <c r="H31" s="48">
        <f t="shared" si="14"/>
        <v>110351.82186652708</v>
      </c>
      <c r="I31" s="48">
        <f t="shared" si="14"/>
        <v>130618.44295935145</v>
      </c>
    </row>
    <row r="32" spans="2:9" x14ac:dyDescent="0.2">
      <c r="B32" s="44" t="s">
        <v>120</v>
      </c>
      <c r="C32" s="77">
        <v>36178</v>
      </c>
      <c r="D32" s="77">
        <v>68664</v>
      </c>
      <c r="E32" s="78">
        <f>SUM(E30:E31)</f>
        <v>83935.043651689208</v>
      </c>
      <c r="F32" s="78">
        <f t="shared" ref="F32:I32" si="15">SUM(F30:F31)</f>
        <v>92198.315642702728</v>
      </c>
      <c r="G32" s="78">
        <f t="shared" si="15"/>
        <v>110351.82186652708</v>
      </c>
      <c r="H32" s="78">
        <f t="shared" si="15"/>
        <v>130618.44295935145</v>
      </c>
      <c r="I32" s="78">
        <f t="shared" si="15"/>
        <v>158474.90599994955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3BE7-591B-4504-9E27-0A191B3586A2}">
  <sheetPr>
    <tabColor rgb="FFFFC000"/>
  </sheetPr>
  <dimension ref="A1:I23"/>
  <sheetViews>
    <sheetView showGridLines="0" workbookViewId="0">
      <selection activeCell="I1" sqref="I1:I1048576"/>
    </sheetView>
  </sheetViews>
  <sheetFormatPr baseColWidth="10" defaultColWidth="8.83203125" defaultRowHeight="15" x14ac:dyDescent="0.2"/>
  <cols>
    <col min="1" max="1" width="45.6640625" style="6" customWidth="1"/>
    <col min="2" max="3" width="13.6640625" style="5" bestFit="1" customWidth="1"/>
    <col min="4" max="4" width="11.33203125" style="5" customWidth="1"/>
    <col min="5" max="5" width="11.1640625" style="5" customWidth="1"/>
    <col min="6" max="6" width="10.5" style="5" customWidth="1"/>
    <col min="7" max="7" width="12" style="5" customWidth="1"/>
    <col min="8" max="8" width="10.33203125" style="5" customWidth="1"/>
    <col min="9" max="9" width="101.6640625" style="5" bestFit="1" customWidth="1"/>
  </cols>
  <sheetData>
    <row r="1" spans="1:8" x14ac:dyDescent="0.2">
      <c r="A1" s="4"/>
      <c r="B1"/>
      <c r="C1"/>
      <c r="D1"/>
      <c r="E1"/>
      <c r="F1"/>
      <c r="G1"/>
      <c r="H1"/>
    </row>
    <row r="2" spans="1:8" x14ac:dyDescent="0.2">
      <c r="A2" s="4"/>
      <c r="B2"/>
      <c r="C2"/>
      <c r="D2"/>
      <c r="E2"/>
      <c r="F2"/>
      <c r="G2"/>
      <c r="H2"/>
    </row>
    <row r="3" spans="1:8" ht="21" x14ac:dyDescent="0.25">
      <c r="A3" s="114" t="s">
        <v>170</v>
      </c>
      <c r="B3" s="114"/>
      <c r="C3" s="114"/>
      <c r="D3" s="114"/>
      <c r="E3" s="114"/>
      <c r="F3" s="114"/>
      <c r="G3" s="114"/>
      <c r="H3" s="114"/>
    </row>
    <row r="4" spans="1:8" x14ac:dyDescent="0.2">
      <c r="A4" s="38"/>
      <c r="B4" s="9" t="s">
        <v>50</v>
      </c>
      <c r="C4" s="9" t="s">
        <v>50</v>
      </c>
      <c r="D4" s="9" t="s">
        <v>51</v>
      </c>
      <c r="E4" s="9" t="s">
        <v>51</v>
      </c>
      <c r="F4" s="9" t="s">
        <v>51</v>
      </c>
      <c r="G4" s="9" t="s">
        <v>51</v>
      </c>
      <c r="H4" s="9" t="s">
        <v>51</v>
      </c>
    </row>
    <row r="5" spans="1:8" x14ac:dyDescent="0.2">
      <c r="A5" s="38" t="s">
        <v>121</v>
      </c>
      <c r="B5" s="9">
        <v>2022</v>
      </c>
      <c r="C5" s="9">
        <f>B5+1</f>
        <v>2023</v>
      </c>
      <c r="D5" s="9">
        <f t="shared" ref="D5:H5" si="0">C5+1</f>
        <v>2024</v>
      </c>
      <c r="E5" s="9">
        <f t="shared" si="0"/>
        <v>2025</v>
      </c>
      <c r="F5" s="9">
        <f t="shared" si="0"/>
        <v>2026</v>
      </c>
      <c r="G5" s="9">
        <f t="shared" si="0"/>
        <v>2027</v>
      </c>
      <c r="H5" s="9">
        <f t="shared" si="0"/>
        <v>2028</v>
      </c>
    </row>
    <row r="6" spans="1:8" x14ac:dyDescent="0.2">
      <c r="A6" s="6" t="s">
        <v>59</v>
      </c>
      <c r="B6"/>
      <c r="C6" s="51"/>
      <c r="D6" s="51">
        <f>'Cash Flow Statement '!E31</f>
        <v>68664</v>
      </c>
      <c r="E6" s="51">
        <f>D10</f>
        <v>85935.043651689208</v>
      </c>
      <c r="F6" s="51">
        <f t="shared" ref="F6:H6" si="1">E10</f>
        <v>96198.315642702728</v>
      </c>
      <c r="G6" s="51">
        <f t="shared" si="1"/>
        <v>116351.82186652708</v>
      </c>
      <c r="H6" s="51">
        <f t="shared" si="1"/>
        <v>138618.44295935144</v>
      </c>
    </row>
    <row r="7" spans="1:8" x14ac:dyDescent="0.2">
      <c r="A7" s="6" t="s">
        <v>60</v>
      </c>
      <c r="B7"/>
      <c r="C7"/>
      <c r="D7" s="51">
        <f>'Cash Flow Statement '!E12+'Cash Flow Statement '!E17</f>
        <v>-5671.2063483107922</v>
      </c>
      <c r="E7" s="51">
        <f>'Cash Flow Statement '!F12+'Cash Flow Statement '!F17</f>
        <v>-10036.810508986484</v>
      </c>
      <c r="F7" s="51">
        <f>'Cash Flow Statement '!G12+'Cash Flow Statement '!G17</f>
        <v>2258.7715988243435</v>
      </c>
      <c r="G7" s="51">
        <f>'Cash Flow Statement '!H12+'Cash Flow Statement '!H17</f>
        <v>6565.4665365743567</v>
      </c>
      <c r="H7" s="51">
        <f>'Cash Flow Statement '!I12+'Cash Flow Statement '!I17</f>
        <v>16159.735876535589</v>
      </c>
    </row>
    <row r="8" spans="1:8" x14ac:dyDescent="0.2">
      <c r="A8" s="6" t="s">
        <v>61</v>
      </c>
      <c r="B8"/>
      <c r="C8"/>
      <c r="D8" s="51">
        <f>'Cash Flow Statement '!E28</f>
        <v>20942.25</v>
      </c>
      <c r="E8" s="51">
        <f>'Cash Flow Statement '!F28</f>
        <v>18300.082500000004</v>
      </c>
      <c r="F8" s="51">
        <f>'Cash Flow Statement '!G28</f>
        <v>15894.734625000005</v>
      </c>
      <c r="G8" s="51">
        <f>'Cash Flow Statement '!H28</f>
        <v>13701.154556250007</v>
      </c>
      <c r="H8" s="51">
        <f>'Cash Flow Statement '!I28</f>
        <v>11696.727164062506</v>
      </c>
    </row>
    <row r="9" spans="1:8" x14ac:dyDescent="0.2">
      <c r="A9" s="6" t="s">
        <v>62</v>
      </c>
      <c r="B9"/>
      <c r="C9"/>
      <c r="D9" s="21">
        <v>2000</v>
      </c>
      <c r="E9" s="21">
        <v>2000</v>
      </c>
      <c r="F9" s="21">
        <v>2000</v>
      </c>
      <c r="G9" s="21">
        <v>2000</v>
      </c>
      <c r="H9" s="21">
        <v>2000</v>
      </c>
    </row>
    <row r="10" spans="1:8" x14ac:dyDescent="0.2">
      <c r="A10" s="6" t="s">
        <v>63</v>
      </c>
      <c r="B10"/>
      <c r="C10"/>
      <c r="D10" s="51">
        <f>SUM(D6:D9)</f>
        <v>85935.043651689208</v>
      </c>
      <c r="E10" s="51">
        <f t="shared" ref="E10:H10" si="2">SUM(E6:E9)</f>
        <v>96198.315642702728</v>
      </c>
      <c r="F10" s="51">
        <f t="shared" si="2"/>
        <v>116351.82186652708</v>
      </c>
      <c r="G10" s="51">
        <f t="shared" si="2"/>
        <v>138618.44295935144</v>
      </c>
      <c r="H10" s="51">
        <f t="shared" si="2"/>
        <v>168474.90599994952</v>
      </c>
    </row>
    <row r="11" spans="1:8" x14ac:dyDescent="0.2">
      <c r="A11" s="6" t="s">
        <v>35</v>
      </c>
      <c r="B11"/>
      <c r="C11"/>
      <c r="D11" s="52">
        <v>0</v>
      </c>
      <c r="E11" s="52">
        <v>0</v>
      </c>
      <c r="F11" s="52">
        <v>0</v>
      </c>
      <c r="G11" s="52">
        <v>0</v>
      </c>
      <c r="H11" s="52">
        <v>0</v>
      </c>
    </row>
    <row r="12" spans="1:8" x14ac:dyDescent="0.2">
      <c r="A12" s="6" t="s">
        <v>35</v>
      </c>
      <c r="B12"/>
      <c r="C12"/>
      <c r="D12" s="52">
        <v>0</v>
      </c>
      <c r="E12" s="52">
        <v>0</v>
      </c>
      <c r="F12" s="52">
        <v>0</v>
      </c>
      <c r="G12" s="52">
        <v>0</v>
      </c>
      <c r="H12" s="52">
        <v>0</v>
      </c>
    </row>
    <row r="13" spans="1:8" x14ac:dyDescent="0.2">
      <c r="B13" s="50"/>
      <c r="C13"/>
      <c r="D13"/>
      <c r="E13"/>
      <c r="F13"/>
      <c r="G13"/>
      <c r="H13"/>
    </row>
    <row r="14" spans="1:8" x14ac:dyDescent="0.2">
      <c r="A14" s="6" t="s">
        <v>64</v>
      </c>
      <c r="B14"/>
      <c r="C14"/>
      <c r="D14"/>
      <c r="E14"/>
      <c r="F14"/>
      <c r="G14"/>
      <c r="H14"/>
    </row>
    <row r="15" spans="1:8" x14ac:dyDescent="0.2">
      <c r="A15" s="6" t="s">
        <v>37</v>
      </c>
      <c r="B15" s="42">
        <f>'balances sheet'!C32</f>
        <v>0</v>
      </c>
      <c r="C15" s="42">
        <f>'balances sheet'!D32</f>
        <v>0</v>
      </c>
      <c r="D15" s="42">
        <f>C15-C16</f>
        <v>0</v>
      </c>
      <c r="E15" s="42">
        <f t="shared" ref="E15:H15" si="3">D15-D16</f>
        <v>0</v>
      </c>
      <c r="F15" s="42">
        <f t="shared" si="3"/>
        <v>0</v>
      </c>
      <c r="G15" s="42">
        <f t="shared" si="3"/>
        <v>0</v>
      </c>
      <c r="H15" s="42">
        <f t="shared" si="3"/>
        <v>0</v>
      </c>
    </row>
    <row r="16" spans="1:8" x14ac:dyDescent="0.2">
      <c r="A16" s="6" t="s">
        <v>65</v>
      </c>
      <c r="B16" s="42"/>
      <c r="C16" s="42">
        <f>B15*10%</f>
        <v>0</v>
      </c>
      <c r="D16" s="42">
        <f t="shared" ref="D16:H16" si="4">C15*10%</f>
        <v>0</v>
      </c>
      <c r="E16" s="42">
        <f t="shared" si="4"/>
        <v>0</v>
      </c>
      <c r="F16" s="42">
        <f t="shared" si="4"/>
        <v>0</v>
      </c>
      <c r="G16" s="42">
        <f t="shared" si="4"/>
        <v>0</v>
      </c>
      <c r="H16" s="42">
        <f t="shared" si="4"/>
        <v>0</v>
      </c>
    </row>
    <row r="17" spans="1:8" x14ac:dyDescent="0.2">
      <c r="A17" s="6" t="s">
        <v>16</v>
      </c>
      <c r="B17"/>
      <c r="C17"/>
      <c r="D17"/>
      <c r="E17"/>
      <c r="F17"/>
      <c r="G17"/>
      <c r="H17"/>
    </row>
    <row r="18" spans="1:8" x14ac:dyDescent="0.2">
      <c r="A18" s="6" t="s">
        <v>66</v>
      </c>
      <c r="B18"/>
      <c r="C18"/>
      <c r="D18" s="53">
        <v>0.08</v>
      </c>
      <c r="E18" s="53">
        <v>0.08</v>
      </c>
      <c r="F18" s="53">
        <v>0.08</v>
      </c>
      <c r="G18" s="53">
        <v>0.08</v>
      </c>
      <c r="H18" s="53">
        <v>0.08</v>
      </c>
    </row>
    <row r="19" spans="1:8" x14ac:dyDescent="0.2">
      <c r="A19" s="6" t="s">
        <v>67</v>
      </c>
      <c r="B19"/>
      <c r="C19"/>
      <c r="D19" s="53">
        <v>0.05</v>
      </c>
      <c r="E19" s="53">
        <v>0.05</v>
      </c>
      <c r="F19" s="53">
        <v>0.05</v>
      </c>
      <c r="G19" s="53">
        <v>0.05</v>
      </c>
      <c r="H19" s="53">
        <v>0.05</v>
      </c>
    </row>
    <row r="20" spans="1:8" x14ac:dyDescent="0.2">
      <c r="B20"/>
      <c r="C20"/>
      <c r="D20"/>
      <c r="E20"/>
      <c r="F20"/>
      <c r="G20"/>
      <c r="H20"/>
    </row>
    <row r="21" spans="1:8" x14ac:dyDescent="0.2">
      <c r="A21" s="6" t="s">
        <v>69</v>
      </c>
      <c r="B21"/>
      <c r="C21"/>
      <c r="D21" s="52">
        <v>0</v>
      </c>
      <c r="E21" s="52">
        <v>0</v>
      </c>
      <c r="F21" s="52">
        <v>0</v>
      </c>
      <c r="G21" s="52">
        <v>0</v>
      </c>
      <c r="H21" s="52">
        <v>0</v>
      </c>
    </row>
    <row r="22" spans="1:8" x14ac:dyDescent="0.2">
      <c r="A22" s="6" t="s">
        <v>68</v>
      </c>
      <c r="B22"/>
      <c r="C22"/>
      <c r="D22" s="42">
        <f>AVERAGE(C15:C16,D15:D16)*D18</f>
        <v>0</v>
      </c>
      <c r="E22" s="42">
        <f t="shared" ref="E22:H22" si="5">AVERAGE(D15:D16,E15:E16)*E18</f>
        <v>0</v>
      </c>
      <c r="F22" s="42">
        <f t="shared" si="5"/>
        <v>0</v>
      </c>
      <c r="G22" s="42">
        <f t="shared" si="5"/>
        <v>0</v>
      </c>
      <c r="H22" s="42">
        <f t="shared" si="5"/>
        <v>0</v>
      </c>
    </row>
    <row r="23" spans="1:8" ht="16" thickBot="1" x14ac:dyDescent="0.25">
      <c r="A23" s="43" t="s">
        <v>70</v>
      </c>
      <c r="B23" s="1"/>
      <c r="C23" s="1"/>
      <c r="D23" s="54">
        <f>D22</f>
        <v>0</v>
      </c>
      <c r="E23" s="54">
        <f t="shared" ref="E23:H23" si="6">E22</f>
        <v>0</v>
      </c>
      <c r="F23" s="54">
        <f t="shared" si="6"/>
        <v>0</v>
      </c>
      <c r="G23" s="54">
        <f t="shared" si="6"/>
        <v>0</v>
      </c>
      <c r="H23" s="54">
        <f t="shared" si="6"/>
        <v>0</v>
      </c>
    </row>
  </sheetData>
  <mergeCells count="1">
    <mergeCell ref="A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91C1-5623-4BA8-9044-3EF5666600D6}">
  <sheetPr>
    <tabColor rgb="FFFFC000"/>
  </sheetPr>
  <dimension ref="A1:H11"/>
  <sheetViews>
    <sheetView showGridLines="0" workbookViewId="0">
      <selection activeCell="I1" sqref="I1:I1048576"/>
    </sheetView>
  </sheetViews>
  <sheetFormatPr baseColWidth="10" defaultColWidth="8.83203125" defaultRowHeight="15" x14ac:dyDescent="0.2"/>
  <cols>
    <col min="1" max="1" width="33.33203125" style="5" bestFit="1" customWidth="1"/>
    <col min="2" max="2" width="13.1640625" style="5" customWidth="1"/>
    <col min="3" max="3" width="12.6640625" style="5" customWidth="1"/>
    <col min="4" max="8" width="12.33203125" style="5" bestFit="1" customWidth="1"/>
    <col min="9" max="9" width="93.1640625" bestFit="1" customWidth="1"/>
  </cols>
  <sheetData>
    <row r="1" spans="1:8" ht="21" x14ac:dyDescent="0.25">
      <c r="A1" s="114" t="s">
        <v>170</v>
      </c>
      <c r="B1" s="114"/>
      <c r="C1" s="114"/>
      <c r="D1" s="114"/>
      <c r="E1" s="114"/>
      <c r="F1" s="114"/>
      <c r="G1" s="114"/>
      <c r="H1" s="114"/>
    </row>
    <row r="2" spans="1:8" x14ac:dyDescent="0.2">
      <c r="A2" s="38"/>
      <c r="B2" s="9" t="s">
        <v>50</v>
      </c>
      <c r="C2" s="9" t="s">
        <v>50</v>
      </c>
      <c r="D2" s="9" t="s">
        <v>51</v>
      </c>
      <c r="E2" s="9" t="s">
        <v>51</v>
      </c>
      <c r="F2" s="9" t="s">
        <v>51</v>
      </c>
      <c r="G2" s="9" t="s">
        <v>51</v>
      </c>
      <c r="H2" s="9" t="s">
        <v>51</v>
      </c>
    </row>
    <row r="3" spans="1:8" x14ac:dyDescent="0.2">
      <c r="A3" s="38" t="s">
        <v>121</v>
      </c>
      <c r="B3" s="9">
        <v>2022</v>
      </c>
      <c r="C3" s="9">
        <f>B3+1</f>
        <v>2023</v>
      </c>
      <c r="D3" s="9">
        <f t="shared" ref="D3:H3" si="0">C3+1</f>
        <v>2024</v>
      </c>
      <c r="E3" s="9">
        <f t="shared" si="0"/>
        <v>2025</v>
      </c>
      <c r="F3" s="9">
        <f t="shared" si="0"/>
        <v>2026</v>
      </c>
      <c r="G3" s="9">
        <f t="shared" si="0"/>
        <v>2027</v>
      </c>
      <c r="H3" s="9">
        <f t="shared" si="0"/>
        <v>2028</v>
      </c>
    </row>
    <row r="4" spans="1:8" x14ac:dyDescent="0.2">
      <c r="A4" s="55" t="s">
        <v>71</v>
      </c>
      <c r="B4" s="51"/>
      <c r="C4" s="51"/>
    </row>
    <row r="5" spans="1:8" x14ac:dyDescent="0.2">
      <c r="A5" s="6" t="s">
        <v>72</v>
      </c>
      <c r="B5" s="51"/>
      <c r="C5" s="51"/>
      <c r="D5" s="51">
        <f>'balances sheet'!D14</f>
        <v>11070.34</v>
      </c>
      <c r="E5" s="51">
        <f>D11</f>
        <v>84699.35790775319</v>
      </c>
      <c r="F5" s="51">
        <f>E11</f>
        <v>162235.69435240512</v>
      </c>
      <c r="G5" s="51">
        <f>F11</f>
        <v>244022.74573777855</v>
      </c>
      <c r="H5" s="51">
        <f>G11</f>
        <v>330286.11326540203</v>
      </c>
    </row>
    <row r="6" spans="1:8" x14ac:dyDescent="0.2">
      <c r="A6" s="5" t="s">
        <v>73</v>
      </c>
      <c r="B6" s="51">
        <f>-'Cash Flow Statement '!C15</f>
        <v>39439</v>
      </c>
      <c r="C6" s="51">
        <f>-'Cash Flow Statement '!D15</f>
        <v>68293</v>
      </c>
      <c r="D6" s="51">
        <f>C6*1.05</f>
        <v>71707.650000000009</v>
      </c>
      <c r="E6" s="51">
        <f t="shared" ref="E6:H6" si="1">D6*1.05</f>
        <v>75293.032500000016</v>
      </c>
      <c r="F6" s="51">
        <f t="shared" si="1"/>
        <v>79057.684125000014</v>
      </c>
      <c r="G6" s="51">
        <f t="shared" si="1"/>
        <v>83010.568331250019</v>
      </c>
      <c r="H6" s="51">
        <f t="shared" si="1"/>
        <v>87161.096747812524</v>
      </c>
    </row>
    <row r="7" spans="1:8" x14ac:dyDescent="0.2">
      <c r="B7" s="51"/>
      <c r="C7" s="51"/>
      <c r="D7" s="51"/>
      <c r="E7" s="51"/>
      <c r="F7" s="51"/>
      <c r="G7" s="51"/>
      <c r="H7" s="51"/>
    </row>
    <row r="8" spans="1:8" x14ac:dyDescent="0.2">
      <c r="A8" s="5" t="s">
        <v>74</v>
      </c>
      <c r="B8" s="51">
        <f>'income statement '!C32</f>
        <v>1330.01</v>
      </c>
      <c r="C8" s="51">
        <f>'income statement '!D32</f>
        <v>1514.56</v>
      </c>
      <c r="D8" s="51">
        <f>'income statement '!E5*'PP&amp;E Sch'!D9</f>
        <v>1921.3679077531838</v>
      </c>
      <c r="E8" s="51">
        <f>'income statement '!F5*'PP&amp;E Sch'!E9</f>
        <v>2243.3039446519101</v>
      </c>
      <c r="F8" s="51">
        <f>'income statement '!G5*'PP&amp;E Sch'!F9</f>
        <v>2729.3672603734385</v>
      </c>
      <c r="G8" s="51">
        <f>'income statement '!H5*'PP&amp;E Sch'!G9</f>
        <v>3252.799196373438</v>
      </c>
      <c r="H8" s="51">
        <f>'income statement '!I5*'PP&amp;E Sch'!H9</f>
        <v>3916.8239452929383</v>
      </c>
    </row>
    <row r="9" spans="1:8" x14ac:dyDescent="0.2">
      <c r="A9" s="24" t="s">
        <v>75</v>
      </c>
      <c r="B9" s="51">
        <f>'income statement '!C32/'income statement '!C5</f>
        <v>1.3940400727955965E-2</v>
      </c>
      <c r="C9" s="51">
        <f>'income statement '!D32/'income statement '!D5</f>
        <v>1.251011734760336E-2</v>
      </c>
      <c r="D9" s="51">
        <f>AVERAGE(B9:C9)</f>
        <v>1.3225259037779663E-2</v>
      </c>
      <c r="E9" s="51">
        <f t="shared" ref="E9:H9" si="2">AVERAGE(C9:D9)</f>
        <v>1.2867688192691511E-2</v>
      </c>
      <c r="F9" s="51">
        <f t="shared" si="2"/>
        <v>1.3046473615235588E-2</v>
      </c>
      <c r="G9" s="51">
        <f t="shared" si="2"/>
        <v>1.2957080903963549E-2</v>
      </c>
      <c r="H9" s="51">
        <f t="shared" si="2"/>
        <v>1.3001777259599568E-2</v>
      </c>
    </row>
    <row r="10" spans="1:8" x14ac:dyDescent="0.2">
      <c r="B10" s="51"/>
      <c r="C10" s="51"/>
      <c r="D10" s="51"/>
      <c r="E10" s="51"/>
      <c r="F10" s="51"/>
      <c r="G10" s="51"/>
      <c r="H10" s="51"/>
    </row>
    <row r="11" spans="1:8" ht="16" thickBot="1" x14ac:dyDescent="0.25">
      <c r="A11" s="10" t="s">
        <v>76</v>
      </c>
      <c r="B11" s="51"/>
      <c r="C11" s="51"/>
      <c r="D11" s="56">
        <f>SUM(D5:D8)</f>
        <v>84699.35790775319</v>
      </c>
      <c r="E11" s="56">
        <f>SUM(E5:E8)</f>
        <v>162235.69435240512</v>
      </c>
      <c r="F11" s="56">
        <f>SUM(F5:F8)</f>
        <v>244022.74573777855</v>
      </c>
      <c r="G11" s="56">
        <f>SUM(G5:G8)</f>
        <v>330286.11326540203</v>
      </c>
      <c r="H11" s="56">
        <f>SUM(H5:H8)</f>
        <v>421364.03395850747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2E-1773-4031-9A41-C7EA0884331E}">
  <sheetPr>
    <tabColor rgb="FFFF0000"/>
  </sheetPr>
  <dimension ref="A1:Z120"/>
  <sheetViews>
    <sheetView workbookViewId="0">
      <pane xSplit="2" ySplit="1" topLeftCell="C98" activePane="bottomRight" state="frozen"/>
      <selection activeCell="C4" sqref="C4"/>
      <selection pane="topRight" activeCell="C4" sqref="C4"/>
      <selection pane="bottomLeft" activeCell="C4" sqref="C4"/>
      <selection pane="bottomRight" activeCell="C1" sqref="C1:D1"/>
    </sheetView>
  </sheetViews>
  <sheetFormatPr baseColWidth="10" defaultColWidth="10.5" defaultRowHeight="13" x14ac:dyDescent="0.15"/>
  <cols>
    <col min="1" max="1" width="1.83203125" style="91" customWidth="1"/>
    <col min="2" max="2" width="31.33203125" style="25" bestFit="1" customWidth="1"/>
    <col min="3" max="12" width="11.5" style="25" bestFit="1" customWidth="1"/>
    <col min="13" max="13" width="10.5" style="25"/>
    <col min="14" max="14" width="20.6640625" style="25" bestFit="1" customWidth="1"/>
    <col min="15" max="24" width="10.5" style="25"/>
    <col min="25" max="26" width="10.83203125" style="25" bestFit="1" customWidth="1"/>
    <col min="27" max="16384" width="10.5" style="25"/>
  </cols>
  <sheetData>
    <row r="1" spans="1:12" s="81" customFormat="1" x14ac:dyDescent="0.15">
      <c r="A1" s="90"/>
      <c r="B1" s="81" t="s">
        <v>171</v>
      </c>
      <c r="C1" s="81" t="s">
        <v>170</v>
      </c>
      <c r="F1" s="115" t="str">
        <f>IF(C2&lt;&gt;C3, "A NEW VERSION OF THE WORKSHEET IS AVAILABLE", "")</f>
        <v/>
      </c>
      <c r="G1" s="115"/>
      <c r="H1" s="115"/>
      <c r="I1" s="115"/>
      <c r="J1" s="115"/>
      <c r="K1" s="115"/>
      <c r="L1" s="115"/>
    </row>
    <row r="2" spans="1:12" x14ac:dyDescent="0.15">
      <c r="B2" s="81" t="s">
        <v>169</v>
      </c>
      <c r="C2" s="25">
        <v>2.1</v>
      </c>
      <c r="F2" s="116" t="s">
        <v>168</v>
      </c>
      <c r="G2" s="116"/>
      <c r="H2" s="116"/>
      <c r="I2" s="116"/>
      <c r="J2" s="116"/>
      <c r="K2" s="116"/>
      <c r="L2" s="116"/>
    </row>
    <row r="3" spans="1:12" x14ac:dyDescent="0.15">
      <c r="B3" s="81" t="s">
        <v>167</v>
      </c>
      <c r="C3" s="25">
        <v>2.1</v>
      </c>
    </row>
    <row r="4" spans="1:12" x14ac:dyDescent="0.15">
      <c r="B4" s="81"/>
    </row>
    <row r="5" spans="1:12" x14ac:dyDescent="0.15">
      <c r="B5" s="81" t="s">
        <v>166</v>
      </c>
    </row>
    <row r="6" spans="1:12" x14ac:dyDescent="0.15">
      <c r="B6" s="25" t="s">
        <v>165</v>
      </c>
      <c r="C6" s="25">
        <f>IF(C9&gt;0, C9/C8, 0)</f>
        <v>702.14657433733839</v>
      </c>
    </row>
    <row r="7" spans="1:12" x14ac:dyDescent="0.15">
      <c r="B7" s="25" t="s">
        <v>164</v>
      </c>
      <c r="C7" s="82">
        <v>2</v>
      </c>
    </row>
    <row r="8" spans="1:12" x14ac:dyDescent="0.15">
      <c r="B8" s="25" t="s">
        <v>163</v>
      </c>
      <c r="C8" s="82">
        <v>1090.3</v>
      </c>
    </row>
    <row r="9" spans="1:12" x14ac:dyDescent="0.15">
      <c r="B9" s="25" t="s">
        <v>162</v>
      </c>
      <c r="C9" s="82">
        <v>765550.41</v>
      </c>
    </row>
    <row r="15" spans="1:12" x14ac:dyDescent="0.15">
      <c r="B15" s="81" t="s">
        <v>161</v>
      </c>
      <c r="C15" s="25">
        <f>C26+C34</f>
        <v>46794.92</v>
      </c>
      <c r="L15" s="25">
        <f>L17-L18-L20-L21-L22-L23-L19</f>
        <v>94789.28</v>
      </c>
    </row>
    <row r="16" spans="1:12" s="83" customFormat="1" x14ac:dyDescent="0.15">
      <c r="A16" s="92"/>
      <c r="B16" s="85" t="s">
        <v>128</v>
      </c>
      <c r="C16" s="84">
        <v>41729</v>
      </c>
      <c r="D16" s="84">
        <v>42094</v>
      </c>
      <c r="E16" s="84">
        <v>42460</v>
      </c>
      <c r="F16" s="84">
        <v>42825</v>
      </c>
      <c r="G16" s="84">
        <v>43190</v>
      </c>
      <c r="H16" s="84">
        <v>43555</v>
      </c>
      <c r="I16" s="84">
        <v>43921</v>
      </c>
      <c r="J16" s="84">
        <v>44286</v>
      </c>
      <c r="K16" s="84">
        <v>44651</v>
      </c>
      <c r="L16" s="84">
        <v>45016</v>
      </c>
    </row>
    <row r="17" spans="2:12" x14ac:dyDescent="0.15">
      <c r="B17" s="25" t="s">
        <v>150</v>
      </c>
      <c r="C17" s="82">
        <v>49479.25</v>
      </c>
      <c r="D17" s="82">
        <v>54964</v>
      </c>
      <c r="E17" s="82">
        <v>59293.71</v>
      </c>
      <c r="F17" s="82">
        <v>60939.98</v>
      </c>
      <c r="G17" s="82">
        <v>62162.35</v>
      </c>
      <c r="H17" s="82">
        <v>71981.649999999994</v>
      </c>
      <c r="I17" s="82">
        <v>84835.77</v>
      </c>
      <c r="J17" s="82">
        <v>89162.66</v>
      </c>
      <c r="K17" s="82">
        <v>95406.87</v>
      </c>
      <c r="L17" s="82">
        <v>121066.81</v>
      </c>
    </row>
    <row r="18" spans="2:12" ht="15" x14ac:dyDescent="0.2">
      <c r="B18" s="25" t="s">
        <v>160</v>
      </c>
      <c r="C18" s="88"/>
      <c r="D18" s="88"/>
      <c r="E18" s="88"/>
      <c r="F18" s="88"/>
      <c r="G18" s="88"/>
      <c r="H18" s="88"/>
      <c r="I18" s="88"/>
      <c r="J18" s="88"/>
      <c r="K18" s="88"/>
      <c r="L18" s="88"/>
    </row>
    <row r="19" spans="2:12" ht="15" x14ac:dyDescent="0.2">
      <c r="B19" s="25" t="s">
        <v>159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</row>
    <row r="20" spans="2:12" x14ac:dyDescent="0.15">
      <c r="B20" s="25" t="s">
        <v>158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 x14ac:dyDescent="0.15">
      <c r="B21" s="25" t="s">
        <v>157</v>
      </c>
      <c r="C21" s="82">
        <v>854.02</v>
      </c>
      <c r="D21" s="82">
        <v>1008.28</v>
      </c>
      <c r="E21" s="82">
        <v>1154.03</v>
      </c>
      <c r="F21" s="82">
        <v>1340.41</v>
      </c>
      <c r="G21" s="82">
        <v>1720.34</v>
      </c>
      <c r="H21" s="82">
        <v>1778.56</v>
      </c>
      <c r="I21" s="82">
        <v>2016</v>
      </c>
      <c r="J21" s="82">
        <v>2178.52</v>
      </c>
      <c r="K21" s="82">
        <v>2699.47</v>
      </c>
      <c r="L21" s="82">
        <v>3464.42</v>
      </c>
    </row>
    <row r="22" spans="2:12" x14ac:dyDescent="0.15">
      <c r="B22" s="25" t="s">
        <v>156</v>
      </c>
      <c r="C22" s="82">
        <v>5973.68</v>
      </c>
      <c r="D22" s="82">
        <v>6574.24</v>
      </c>
      <c r="E22" s="82">
        <v>6918.58</v>
      </c>
      <c r="F22" s="82">
        <v>7902.81</v>
      </c>
      <c r="G22" s="82">
        <v>8342.58</v>
      </c>
      <c r="H22" s="82">
        <v>9437.0300000000007</v>
      </c>
      <c r="I22" s="82">
        <v>11169.57</v>
      </c>
      <c r="J22" s="82">
        <v>11063.46</v>
      </c>
      <c r="K22" s="82">
        <v>12353.95</v>
      </c>
      <c r="L22" s="82">
        <v>15247.91</v>
      </c>
    </row>
    <row r="23" spans="2:12" x14ac:dyDescent="0.15">
      <c r="B23" s="25" t="s">
        <v>155</v>
      </c>
      <c r="C23" s="82">
        <v>7127.2</v>
      </c>
      <c r="D23" s="82">
        <v>2679.71</v>
      </c>
      <c r="E23" s="82">
        <v>3008.5</v>
      </c>
      <c r="F23" s="82">
        <v>3546.3</v>
      </c>
      <c r="G23" s="82">
        <v>3974.96</v>
      </c>
      <c r="H23" s="82">
        <v>5419.74</v>
      </c>
      <c r="I23" s="82">
        <v>6135.79</v>
      </c>
      <c r="J23" s="82">
        <v>6402.88</v>
      </c>
      <c r="K23" s="82">
        <v>6167.72</v>
      </c>
      <c r="L23" s="82">
        <v>7565.2</v>
      </c>
    </row>
    <row r="24" spans="2:12" x14ac:dyDescent="0.15">
      <c r="B24" s="25" t="s">
        <v>154</v>
      </c>
      <c r="C24" s="82">
        <v>18897.57</v>
      </c>
      <c r="D24" s="82">
        <v>28503.72</v>
      </c>
      <c r="E24" s="82">
        <v>41170.769999999997</v>
      </c>
      <c r="F24" s="82">
        <v>51051.29</v>
      </c>
      <c r="G24" s="82">
        <v>58768.56</v>
      </c>
      <c r="H24" s="82">
        <v>67139.53</v>
      </c>
      <c r="I24" s="82">
        <v>66039.39</v>
      </c>
      <c r="J24" s="82">
        <v>71664.12</v>
      </c>
      <c r="K24" s="82">
        <v>59577.23</v>
      </c>
      <c r="L24" s="82">
        <v>61586.85</v>
      </c>
    </row>
    <row r="25" spans="2:12" x14ac:dyDescent="0.15">
      <c r="B25" s="25" t="s">
        <v>148</v>
      </c>
      <c r="C25" s="82">
        <v>30084.61</v>
      </c>
      <c r="D25" s="82">
        <v>35252.239999999998</v>
      </c>
      <c r="E25" s="82">
        <v>42102.14</v>
      </c>
      <c r="F25" s="82">
        <v>52457.65</v>
      </c>
      <c r="G25" s="82">
        <v>56806.75</v>
      </c>
      <c r="H25" s="82">
        <v>59324.85</v>
      </c>
      <c r="I25" s="82">
        <v>64950.33</v>
      </c>
      <c r="J25" s="82">
        <v>72029.53</v>
      </c>
      <c r="K25" s="82">
        <v>62129.45</v>
      </c>
      <c r="L25" s="82">
        <v>65111.99</v>
      </c>
    </row>
    <row r="26" spans="2:12" x14ac:dyDescent="0.15">
      <c r="B26" s="25" t="s">
        <v>147</v>
      </c>
      <c r="C26" s="82">
        <v>719.27</v>
      </c>
      <c r="D26" s="82">
        <v>798.22</v>
      </c>
      <c r="E26" s="82">
        <v>843.11</v>
      </c>
      <c r="F26" s="82">
        <v>911.64</v>
      </c>
      <c r="G26" s="82">
        <v>922.14</v>
      </c>
      <c r="H26" s="82">
        <v>945.84</v>
      </c>
      <c r="I26" s="82">
        <v>1171.22</v>
      </c>
      <c r="J26" s="82">
        <v>1340.07</v>
      </c>
      <c r="K26" s="82">
        <v>1330.01</v>
      </c>
      <c r="L26" s="82">
        <v>1514.56</v>
      </c>
    </row>
    <row r="27" spans="2:12" ht="15" x14ac:dyDescent="0.2">
      <c r="B27" s="25" t="s">
        <v>146</v>
      </c>
      <c r="C27" s="82">
        <v>29710.61</v>
      </c>
      <c r="D27" s="82">
        <v>32318.15</v>
      </c>
      <c r="E27" s="82">
        <v>33996.47</v>
      </c>
      <c r="F27" s="82">
        <v>34835.83</v>
      </c>
      <c r="G27" s="82">
        <v>34262.050000000003</v>
      </c>
      <c r="H27" s="82">
        <v>39177.54</v>
      </c>
      <c r="I27" s="82">
        <v>44665.52</v>
      </c>
      <c r="J27" s="82">
        <v>42659.09</v>
      </c>
      <c r="K27" s="88">
        <v>41166.67</v>
      </c>
      <c r="L27" s="88">
        <v>50543.39</v>
      </c>
    </row>
    <row r="28" spans="2:12" x14ac:dyDescent="0.15">
      <c r="B28" s="25" t="s">
        <v>145</v>
      </c>
      <c r="C28" s="82">
        <v>16281.51</v>
      </c>
      <c r="D28" s="82">
        <v>18333.919999999998</v>
      </c>
      <c r="E28" s="82">
        <v>14304.39</v>
      </c>
      <c r="F28" s="82">
        <v>13809.35</v>
      </c>
      <c r="G28" s="82">
        <v>10978.47</v>
      </c>
      <c r="H28" s="82">
        <v>7408.26</v>
      </c>
      <c r="I28" s="82">
        <v>18588.61</v>
      </c>
      <c r="J28" s="82">
        <v>25884.05</v>
      </c>
      <c r="K28" s="82">
        <v>34241.269999999997</v>
      </c>
      <c r="L28" s="82">
        <v>46256.47</v>
      </c>
    </row>
    <row r="29" spans="2:12" x14ac:dyDescent="0.15">
      <c r="B29" s="25" t="s">
        <v>144</v>
      </c>
      <c r="C29" s="82">
        <v>4604.3999999999996</v>
      </c>
      <c r="D29" s="82">
        <v>5391.62</v>
      </c>
      <c r="E29" s="82">
        <v>3377.5</v>
      </c>
      <c r="F29" s="82">
        <v>2469.02</v>
      </c>
      <c r="G29" s="82">
        <v>1878.92</v>
      </c>
      <c r="H29" s="82">
        <v>1719.1</v>
      </c>
      <c r="I29" s="82">
        <v>7363.14</v>
      </c>
      <c r="J29" s="82">
        <v>5664.37</v>
      </c>
      <c r="K29" s="82">
        <v>8457.44</v>
      </c>
      <c r="L29" s="82">
        <v>11793.44</v>
      </c>
    </row>
    <row r="30" spans="2:12" x14ac:dyDescent="0.15">
      <c r="B30" s="25" t="s">
        <v>143</v>
      </c>
      <c r="C30" s="82">
        <v>11041.37</v>
      </c>
      <c r="D30" s="82">
        <v>12246.87</v>
      </c>
      <c r="E30" s="82">
        <v>10179.959999999999</v>
      </c>
      <c r="F30" s="82">
        <v>10188.379999999999</v>
      </c>
      <c r="G30" s="82">
        <v>7712.19</v>
      </c>
      <c r="H30" s="82">
        <v>4254.24</v>
      </c>
      <c r="I30" s="82">
        <v>9566.31</v>
      </c>
      <c r="J30" s="82">
        <v>18384.32</v>
      </c>
      <c r="K30" s="82">
        <v>25110.1</v>
      </c>
      <c r="L30" s="82">
        <v>34036.639999999999</v>
      </c>
    </row>
    <row r="31" spans="2:12" x14ac:dyDescent="0.15">
      <c r="B31" s="25" t="s">
        <v>153</v>
      </c>
      <c r="C31" s="82">
        <v>2656.59</v>
      </c>
      <c r="D31" s="82">
        <v>2899.15</v>
      </c>
      <c r="E31" s="82">
        <v>2907.92</v>
      </c>
      <c r="F31" s="82">
        <v>1456.39</v>
      </c>
      <c r="G31" s="82">
        <v>964.36</v>
      </c>
      <c r="H31" s="82">
        <v>644.73</v>
      </c>
      <c r="I31" s="82"/>
      <c r="J31" s="82">
        <v>1383.41</v>
      </c>
      <c r="K31" s="82">
        <v>3474.92</v>
      </c>
      <c r="L31" s="82">
        <v>5587.12</v>
      </c>
    </row>
    <row r="32" spans="2:12" x14ac:dyDescent="0.15">
      <c r="B32" s="25" t="s">
        <v>152</v>
      </c>
      <c r="C32" s="89">
        <f t="shared" ref="C32:L32" si="0">C29/C28</f>
        <v>0.28279932266724644</v>
      </c>
      <c r="D32" s="89">
        <f t="shared" si="0"/>
        <v>0.29407895310986415</v>
      </c>
      <c r="E32" s="89">
        <f t="shared" si="0"/>
        <v>0.23611632512815997</v>
      </c>
      <c r="F32" s="89">
        <f t="shared" si="0"/>
        <v>0.17879335377841823</v>
      </c>
      <c r="G32" s="89">
        <f t="shared" si="0"/>
        <v>0.17114588827040564</v>
      </c>
      <c r="H32" s="89">
        <f t="shared" si="0"/>
        <v>0.23205179083887442</v>
      </c>
      <c r="I32" s="89">
        <f t="shared" si="0"/>
        <v>0.39611030625743399</v>
      </c>
      <c r="J32" s="89">
        <f t="shared" si="0"/>
        <v>0.21883631039192089</v>
      </c>
      <c r="K32" s="89">
        <f t="shared" si="0"/>
        <v>0.24699551155666835</v>
      </c>
      <c r="L32" s="89">
        <f t="shared" si="0"/>
        <v>0.25495763079197353</v>
      </c>
    </row>
    <row r="34" spans="1:12" x14ac:dyDescent="0.15">
      <c r="B34" s="25" t="s">
        <v>22</v>
      </c>
      <c r="C34" s="25">
        <f t="shared" ref="C34:L34" si="1">+C30+C29+C27+C26</f>
        <v>46075.65</v>
      </c>
      <c r="D34" s="25">
        <f t="shared" si="1"/>
        <v>50754.86</v>
      </c>
      <c r="E34" s="25">
        <f t="shared" si="1"/>
        <v>48397.04</v>
      </c>
      <c r="F34" s="25">
        <f t="shared" si="1"/>
        <v>48404.87</v>
      </c>
      <c r="G34" s="25">
        <f t="shared" si="1"/>
        <v>44775.3</v>
      </c>
      <c r="H34" s="25">
        <f t="shared" si="1"/>
        <v>46096.72</v>
      </c>
      <c r="I34" s="25">
        <f t="shared" si="1"/>
        <v>62766.19</v>
      </c>
      <c r="J34" s="25">
        <f t="shared" si="1"/>
        <v>68047.850000000006</v>
      </c>
      <c r="K34" s="25">
        <f t="shared" si="1"/>
        <v>76064.219999999987</v>
      </c>
      <c r="L34" s="25">
        <f t="shared" si="1"/>
        <v>97888.03</v>
      </c>
    </row>
    <row r="40" spans="1:12" x14ac:dyDescent="0.15">
      <c r="B40" s="81" t="s">
        <v>151</v>
      </c>
    </row>
    <row r="41" spans="1:12" s="83" customFormat="1" x14ac:dyDescent="0.15">
      <c r="A41" s="92"/>
      <c r="B41" s="85" t="s">
        <v>128</v>
      </c>
      <c r="C41" s="84">
        <v>44469</v>
      </c>
      <c r="D41" s="84">
        <v>44561</v>
      </c>
      <c r="E41" s="84">
        <v>44651</v>
      </c>
      <c r="F41" s="84">
        <v>44742</v>
      </c>
      <c r="G41" s="84">
        <v>44834</v>
      </c>
      <c r="H41" s="84">
        <v>44926</v>
      </c>
      <c r="I41" s="84">
        <v>45016</v>
      </c>
      <c r="J41" s="84">
        <v>45107</v>
      </c>
      <c r="K41" s="84">
        <v>45199</v>
      </c>
      <c r="L41" s="84">
        <v>45291</v>
      </c>
    </row>
    <row r="42" spans="1:12" x14ac:dyDescent="0.15">
      <c r="B42" s="25" t="s">
        <v>150</v>
      </c>
      <c r="C42" s="82">
        <v>23478</v>
      </c>
      <c r="D42" s="82">
        <v>24314.25</v>
      </c>
      <c r="E42" s="82">
        <v>24999.46</v>
      </c>
      <c r="F42" s="82">
        <v>26158.6</v>
      </c>
      <c r="G42" s="82">
        <v>28850.49</v>
      </c>
      <c r="H42" s="82">
        <v>31618.81</v>
      </c>
      <c r="I42" s="82">
        <v>34438.910000000003</v>
      </c>
      <c r="J42" s="82">
        <v>37105.89</v>
      </c>
      <c r="K42" s="82">
        <v>38938.080000000002</v>
      </c>
      <c r="L42" s="82">
        <v>40865.230000000003</v>
      </c>
    </row>
    <row r="43" spans="1:12" x14ac:dyDescent="0.15">
      <c r="B43" s="25" t="s">
        <v>149</v>
      </c>
      <c r="C43" s="82">
        <v>21041.18</v>
      </c>
      <c r="D43" s="82">
        <v>20470.330000000002</v>
      </c>
      <c r="E43" s="82">
        <v>21775.360000000001</v>
      </c>
      <c r="F43" s="82">
        <v>18137.48</v>
      </c>
      <c r="G43" s="82">
        <v>22336.31</v>
      </c>
      <c r="H43" s="82">
        <v>22946.02</v>
      </c>
      <c r="I43" s="82">
        <v>25959.14</v>
      </c>
      <c r="J43" s="82">
        <v>21401.71</v>
      </c>
      <c r="K43" s="82">
        <v>24560.02</v>
      </c>
      <c r="L43" s="82">
        <v>24929.14</v>
      </c>
    </row>
    <row r="44" spans="1:12" x14ac:dyDescent="0.15">
      <c r="B44" s="25" t="s">
        <v>148</v>
      </c>
      <c r="C44" s="82">
        <v>16261.26</v>
      </c>
      <c r="D44" s="82">
        <v>15744.54</v>
      </c>
      <c r="E44" s="82">
        <v>18013.36</v>
      </c>
      <c r="F44" s="82">
        <v>13270.99</v>
      </c>
      <c r="G44" s="82">
        <v>16634.25</v>
      </c>
      <c r="H44" s="82">
        <v>16470.13</v>
      </c>
      <c r="I44" s="82">
        <v>19734.91</v>
      </c>
      <c r="J44" s="82">
        <v>15229.15</v>
      </c>
      <c r="K44" s="82">
        <v>18689.63</v>
      </c>
      <c r="L44" s="82">
        <v>18874.490000000002</v>
      </c>
    </row>
    <row r="45" spans="1:12" x14ac:dyDescent="0.15">
      <c r="B45" s="25" t="s">
        <v>147</v>
      </c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1:12" ht="15" x14ac:dyDescent="0.2">
      <c r="B46" s="25" t="s">
        <v>146</v>
      </c>
      <c r="C46" s="88">
        <v>10092.56</v>
      </c>
      <c r="D46" s="88">
        <v>10372.370000000001</v>
      </c>
      <c r="E46" s="88">
        <v>10633.93</v>
      </c>
      <c r="F46" s="88">
        <v>11089.06</v>
      </c>
      <c r="G46" s="88">
        <v>11996.97</v>
      </c>
      <c r="H46" s="88">
        <v>12977.89</v>
      </c>
      <c r="I46" s="88">
        <v>14479.47</v>
      </c>
      <c r="J46" s="88">
        <v>16367.66</v>
      </c>
      <c r="K46" s="88">
        <v>17908.009999999998</v>
      </c>
      <c r="L46" s="88">
        <v>19408.759999999998</v>
      </c>
    </row>
    <row r="47" spans="1:12" x14ac:dyDescent="0.15">
      <c r="B47" s="25" t="s">
        <v>145</v>
      </c>
      <c r="C47" s="82">
        <v>8605.52</v>
      </c>
      <c r="D47" s="82">
        <v>9216.09</v>
      </c>
      <c r="E47" s="82">
        <v>10603.53</v>
      </c>
      <c r="F47" s="82">
        <v>10203.049999999999</v>
      </c>
      <c r="G47" s="82">
        <v>11151.46</v>
      </c>
      <c r="H47" s="82">
        <v>12165.03</v>
      </c>
      <c r="I47" s="82">
        <v>13735.21</v>
      </c>
      <c r="J47" s="82">
        <v>14565.67</v>
      </c>
      <c r="K47" s="82">
        <v>15159.68</v>
      </c>
      <c r="L47" s="82">
        <v>15401.82</v>
      </c>
    </row>
    <row r="48" spans="1:12" x14ac:dyDescent="0.15">
      <c r="B48" s="25" t="s">
        <v>144</v>
      </c>
      <c r="C48" s="82">
        <v>2034.92</v>
      </c>
      <c r="D48" s="82">
        <v>2256.1999999999998</v>
      </c>
      <c r="E48" s="82">
        <v>2514.42</v>
      </c>
      <c r="F48" s="82">
        <v>2504.86</v>
      </c>
      <c r="G48" s="82">
        <v>2790.25</v>
      </c>
      <c r="H48" s="82">
        <v>2999.41</v>
      </c>
      <c r="I48" s="82">
        <v>3498.92</v>
      </c>
      <c r="J48" s="82">
        <v>3551.22</v>
      </c>
      <c r="K48" s="82">
        <v>3808.82</v>
      </c>
      <c r="L48" s="82">
        <v>3886.67</v>
      </c>
    </row>
    <row r="49" spans="1:26" x14ac:dyDescent="0.15">
      <c r="B49" s="25" t="s">
        <v>143</v>
      </c>
      <c r="C49" s="82">
        <v>6091.84</v>
      </c>
      <c r="D49" s="82">
        <v>6536.55</v>
      </c>
      <c r="E49" s="82">
        <v>7718.94</v>
      </c>
      <c r="F49" s="82">
        <v>7384.53</v>
      </c>
      <c r="G49" s="82">
        <v>8006.99</v>
      </c>
      <c r="H49" s="82">
        <v>8792.42</v>
      </c>
      <c r="I49" s="82">
        <v>9852.7000000000007</v>
      </c>
      <c r="J49" s="82">
        <v>10636.12</v>
      </c>
      <c r="K49" s="82">
        <v>10896.13</v>
      </c>
      <c r="L49" s="82">
        <v>11052.6</v>
      </c>
    </row>
    <row r="50" spans="1:26" x14ac:dyDescent="0.15">
      <c r="B50" s="25" t="s">
        <v>142</v>
      </c>
      <c r="C50" s="82">
        <v>2436.8200000000002</v>
      </c>
      <c r="D50" s="82">
        <v>3843.92</v>
      </c>
      <c r="E50" s="82">
        <v>3224.1</v>
      </c>
      <c r="F50" s="82">
        <v>8021.12</v>
      </c>
      <c r="G50" s="82">
        <v>6514.18</v>
      </c>
      <c r="H50" s="82">
        <v>8672.7900000000009</v>
      </c>
      <c r="I50" s="82">
        <v>8479.77</v>
      </c>
      <c r="J50" s="82">
        <v>15704.18</v>
      </c>
      <c r="K50" s="82">
        <v>14378.06</v>
      </c>
      <c r="L50" s="82">
        <v>15936.09</v>
      </c>
    </row>
    <row r="51" spans="1:26" x14ac:dyDescent="0.15">
      <c r="B51" s="25" t="s">
        <v>22</v>
      </c>
      <c r="C51" s="25">
        <f t="shared" ref="C51:L51" si="2">C49+C48+C46+C45</f>
        <v>18219.32</v>
      </c>
      <c r="D51" s="25">
        <f t="shared" si="2"/>
        <v>19165.120000000003</v>
      </c>
      <c r="E51" s="25">
        <f t="shared" si="2"/>
        <v>20867.29</v>
      </c>
      <c r="F51" s="25">
        <f t="shared" si="2"/>
        <v>20978.449999999997</v>
      </c>
      <c r="G51" s="25">
        <f t="shared" si="2"/>
        <v>22794.21</v>
      </c>
      <c r="H51" s="25">
        <f t="shared" si="2"/>
        <v>24769.72</v>
      </c>
      <c r="I51" s="25">
        <f t="shared" si="2"/>
        <v>27831.09</v>
      </c>
      <c r="J51" s="25">
        <f t="shared" si="2"/>
        <v>30555</v>
      </c>
      <c r="K51" s="25">
        <f t="shared" si="2"/>
        <v>32612.959999999999</v>
      </c>
      <c r="L51" s="25">
        <f t="shared" si="2"/>
        <v>34348.03</v>
      </c>
    </row>
    <row r="55" spans="1:26" x14ac:dyDescent="0.15">
      <c r="B55" s="81" t="s">
        <v>141</v>
      </c>
    </row>
    <row r="56" spans="1:26" s="83" customFormat="1" x14ac:dyDescent="0.15">
      <c r="A56" s="92"/>
      <c r="B56" s="85" t="s">
        <v>128</v>
      </c>
      <c r="C56" s="84">
        <v>41729</v>
      </c>
      <c r="D56" s="84">
        <v>42094</v>
      </c>
      <c r="E56" s="84">
        <v>42460</v>
      </c>
      <c r="F56" s="84">
        <v>42825</v>
      </c>
      <c r="G56" s="84">
        <v>43190</v>
      </c>
      <c r="H56" s="84">
        <v>43555</v>
      </c>
      <c r="I56" s="84">
        <v>43921</v>
      </c>
      <c r="J56" s="84">
        <v>44286</v>
      </c>
      <c r="K56" s="84">
        <v>44651</v>
      </c>
      <c r="L56" s="84">
        <v>45016</v>
      </c>
    </row>
    <row r="57" spans="1:26" x14ac:dyDescent="0.15">
      <c r="B57" s="25" t="s">
        <v>140</v>
      </c>
      <c r="C57" s="82">
        <v>1155.04</v>
      </c>
      <c r="D57" s="82">
        <v>1159.6600000000001</v>
      </c>
      <c r="E57" s="82">
        <v>1163.17</v>
      </c>
      <c r="F57" s="82">
        <v>1165.1099999999999</v>
      </c>
      <c r="G57" s="82">
        <v>1285.81</v>
      </c>
      <c r="H57" s="82">
        <v>1289.46</v>
      </c>
      <c r="I57" s="82">
        <v>1294.76</v>
      </c>
      <c r="J57" s="82">
        <v>1383.41</v>
      </c>
      <c r="K57" s="82">
        <v>1389.97</v>
      </c>
      <c r="L57" s="82">
        <v>1396.78</v>
      </c>
    </row>
    <row r="58" spans="1:26" x14ac:dyDescent="0.15">
      <c r="B58" s="25" t="s">
        <v>139</v>
      </c>
      <c r="C58" s="82">
        <v>75274.8</v>
      </c>
      <c r="D58" s="82">
        <v>83544.88</v>
      </c>
      <c r="E58" s="82">
        <v>92947.55</v>
      </c>
      <c r="F58" s="82">
        <v>103466.89</v>
      </c>
      <c r="G58" s="82">
        <v>109343.89</v>
      </c>
      <c r="H58" s="82">
        <v>112963.95</v>
      </c>
      <c r="I58" s="82">
        <v>121665.3</v>
      </c>
      <c r="J58" s="82">
        <v>156204.09</v>
      </c>
      <c r="K58" s="82">
        <v>180662.52</v>
      </c>
      <c r="L58" s="82">
        <v>213101.01</v>
      </c>
    </row>
    <row r="59" spans="1:26" ht="15" x14ac:dyDescent="0.2">
      <c r="B59" s="25" t="s">
        <v>138</v>
      </c>
      <c r="C59" s="88">
        <v>543054.75</v>
      </c>
      <c r="D59" s="88">
        <v>597207.25</v>
      </c>
      <c r="E59" s="88">
        <v>671455.05</v>
      </c>
      <c r="F59" s="88">
        <v>700874.02</v>
      </c>
      <c r="G59" s="88">
        <v>815197.94</v>
      </c>
      <c r="H59" s="88">
        <v>891641.06</v>
      </c>
      <c r="I59" s="88">
        <v>1014636.24</v>
      </c>
      <c r="J59" s="88">
        <v>1103839.96</v>
      </c>
      <c r="K59" s="88">
        <v>1252968.47</v>
      </c>
      <c r="L59" s="88">
        <v>1399893.96</v>
      </c>
      <c r="N59" s="95">
        <v>40969</v>
      </c>
      <c r="O59" s="95">
        <v>41334</v>
      </c>
      <c r="P59" s="95">
        <v>41699</v>
      </c>
      <c r="Q59" s="95">
        <v>42064</v>
      </c>
      <c r="R59" s="95">
        <v>42430</v>
      </c>
      <c r="S59" s="95">
        <v>42795</v>
      </c>
      <c r="T59" s="95">
        <v>43160</v>
      </c>
      <c r="U59" s="95">
        <v>43525</v>
      </c>
      <c r="V59" s="95">
        <v>43891</v>
      </c>
      <c r="W59" s="95">
        <v>44256</v>
      </c>
      <c r="X59" s="95">
        <v>44621</v>
      </c>
      <c r="Y59" s="95">
        <v>44986</v>
      </c>
      <c r="Z59" s="94"/>
    </row>
    <row r="60" spans="1:26" ht="14" x14ac:dyDescent="0.15">
      <c r="B60" s="25" t="s">
        <v>137</v>
      </c>
      <c r="C60" s="82">
        <v>128277.78</v>
      </c>
      <c r="D60" s="82">
        <v>144167.38</v>
      </c>
      <c r="E60" s="82">
        <v>153190.43</v>
      </c>
      <c r="F60" s="82">
        <v>180218.63</v>
      </c>
      <c r="G60" s="82">
        <v>198453.41</v>
      </c>
      <c r="H60" s="82">
        <v>232899.42</v>
      </c>
      <c r="I60" s="82">
        <v>239695.93</v>
      </c>
      <c r="J60" s="82">
        <v>312384.78999999998</v>
      </c>
      <c r="K60" s="82">
        <v>317616.42</v>
      </c>
      <c r="L60" s="82">
        <v>344098.75</v>
      </c>
      <c r="N60" s="96" t="s">
        <v>172</v>
      </c>
      <c r="O60" s="97">
        <v>1153</v>
      </c>
      <c r="P60" s="97">
        <v>1154</v>
      </c>
      <c r="Q60" s="97">
        <v>1155</v>
      </c>
      <c r="R60" s="97">
        <v>1160</v>
      </c>
      <c r="S60" s="97">
        <v>1163</v>
      </c>
      <c r="T60" s="97">
        <v>1165</v>
      </c>
      <c r="U60" s="97">
        <v>1286</v>
      </c>
      <c r="V60" s="97">
        <v>1289</v>
      </c>
      <c r="W60" s="97">
        <v>1295</v>
      </c>
      <c r="X60" s="97">
        <v>1383</v>
      </c>
      <c r="Y60" s="97">
        <v>1390</v>
      </c>
      <c r="Z60" s="97">
        <v>1397</v>
      </c>
    </row>
    <row r="61" spans="1:26" s="81" customFormat="1" ht="14" x14ac:dyDescent="0.15">
      <c r="A61" s="90"/>
      <c r="B61" s="81" t="s">
        <v>135</v>
      </c>
      <c r="C61" s="82">
        <v>747762.37</v>
      </c>
      <c r="D61" s="82">
        <v>826079.17</v>
      </c>
      <c r="E61" s="82">
        <v>918756.2</v>
      </c>
      <c r="F61" s="82">
        <v>985724.65</v>
      </c>
      <c r="G61" s="82">
        <v>1124281.05</v>
      </c>
      <c r="H61" s="82">
        <v>1238793.8899999999</v>
      </c>
      <c r="I61" s="82">
        <v>1377292.23</v>
      </c>
      <c r="J61" s="82">
        <v>1573812.25</v>
      </c>
      <c r="K61" s="82">
        <v>1752637.38</v>
      </c>
      <c r="L61" s="82">
        <v>1958490.5</v>
      </c>
      <c r="N61" s="96" t="s">
        <v>139</v>
      </c>
      <c r="O61" s="97">
        <v>60124</v>
      </c>
      <c r="P61" s="97">
        <v>67609</v>
      </c>
      <c r="Q61" s="97">
        <v>75275</v>
      </c>
      <c r="R61" s="97">
        <v>83545</v>
      </c>
      <c r="S61" s="97">
        <v>92948</v>
      </c>
      <c r="T61" s="97">
        <v>103467</v>
      </c>
      <c r="U61" s="97">
        <v>109344</v>
      </c>
      <c r="V61" s="97">
        <v>112964</v>
      </c>
      <c r="W61" s="97">
        <v>121665</v>
      </c>
      <c r="X61" s="97">
        <v>156204</v>
      </c>
      <c r="Y61" s="97">
        <v>180663</v>
      </c>
      <c r="Z61" s="97">
        <v>213101</v>
      </c>
    </row>
    <row r="62" spans="1:26" ht="14" x14ac:dyDescent="0.15">
      <c r="B62" s="25" t="s">
        <v>136</v>
      </c>
      <c r="C62" s="82">
        <v>5506.83</v>
      </c>
      <c r="D62" s="82">
        <v>5871.21</v>
      </c>
      <c r="E62" s="82">
        <v>8713.4599999999991</v>
      </c>
      <c r="F62" s="82">
        <v>9337.9599999999991</v>
      </c>
      <c r="G62" s="82">
        <v>9465.01</v>
      </c>
      <c r="H62" s="82">
        <v>9660.42</v>
      </c>
      <c r="I62" s="82">
        <v>10408.66</v>
      </c>
      <c r="J62" s="82">
        <v>10916.93</v>
      </c>
      <c r="K62" s="82">
        <v>10706.74</v>
      </c>
      <c r="L62" s="82">
        <v>11070.34</v>
      </c>
      <c r="N62" s="98" t="s">
        <v>173</v>
      </c>
      <c r="O62" s="99">
        <v>443247</v>
      </c>
      <c r="P62" s="99">
        <v>487659</v>
      </c>
      <c r="Q62" s="99">
        <v>543055</v>
      </c>
      <c r="R62" s="99">
        <v>597207</v>
      </c>
      <c r="S62" s="99">
        <v>671455</v>
      </c>
      <c r="T62" s="99">
        <v>700874</v>
      </c>
      <c r="U62" s="99">
        <v>815198</v>
      </c>
      <c r="V62" s="99">
        <v>891641</v>
      </c>
      <c r="W62" s="99">
        <v>1014636</v>
      </c>
      <c r="X62" s="99">
        <v>1103840</v>
      </c>
      <c r="Y62" s="99">
        <v>1252968</v>
      </c>
      <c r="Z62" s="99">
        <v>1399894</v>
      </c>
    </row>
    <row r="63" spans="1:26" ht="14" x14ac:dyDescent="0.15">
      <c r="B63" s="25" t="s">
        <v>80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N63" s="96" t="s">
        <v>174</v>
      </c>
      <c r="O63" s="97">
        <v>161297</v>
      </c>
      <c r="P63" s="97">
        <v>172888</v>
      </c>
      <c r="Q63" s="97">
        <v>183542</v>
      </c>
      <c r="R63" s="97">
        <v>211252</v>
      </c>
      <c r="S63" s="97">
        <v>220378</v>
      </c>
      <c r="T63" s="97">
        <v>188287</v>
      </c>
      <c r="U63" s="97">
        <v>229402</v>
      </c>
      <c r="V63" s="97">
        <v>210324</v>
      </c>
      <c r="W63" s="97">
        <v>213852</v>
      </c>
      <c r="X63" s="100">
        <v>0</v>
      </c>
      <c r="Y63" s="100">
        <v>0</v>
      </c>
      <c r="Z63" s="100">
        <v>0</v>
      </c>
    </row>
    <row r="64" spans="1:26" ht="15" x14ac:dyDescent="0.2">
      <c r="B64" s="25" t="s">
        <v>81</v>
      </c>
      <c r="C64" s="82">
        <v>267609.44</v>
      </c>
      <c r="D64" s="88">
        <v>274310.81</v>
      </c>
      <c r="E64" s="82">
        <v>286044.09000000003</v>
      </c>
      <c r="F64" s="82">
        <v>304373.28999999998</v>
      </c>
      <c r="G64" s="82">
        <v>372207.68</v>
      </c>
      <c r="H64" s="82">
        <v>398200.76</v>
      </c>
      <c r="I64" s="82">
        <v>443472.63</v>
      </c>
      <c r="J64" s="82">
        <v>536578.62</v>
      </c>
      <c r="K64" s="82">
        <v>567097.72</v>
      </c>
      <c r="L64" s="82">
        <v>639551.97</v>
      </c>
      <c r="N64" s="96" t="s">
        <v>175</v>
      </c>
      <c r="O64" s="97">
        <v>281950</v>
      </c>
      <c r="P64" s="97">
        <v>314771</v>
      </c>
      <c r="Q64" s="97">
        <v>359513</v>
      </c>
      <c r="R64" s="97">
        <v>385955</v>
      </c>
      <c r="S64" s="97">
        <v>451077</v>
      </c>
      <c r="T64" s="97">
        <v>512587</v>
      </c>
      <c r="U64" s="97">
        <v>585796</v>
      </c>
      <c r="V64" s="97">
        <v>681317</v>
      </c>
      <c r="W64" s="97">
        <v>800784</v>
      </c>
      <c r="X64" s="97">
        <v>1103840</v>
      </c>
      <c r="Y64" s="97">
        <v>1252968</v>
      </c>
      <c r="Z64" s="97">
        <v>1399894</v>
      </c>
    </row>
    <row r="65" spans="1:26" ht="14" x14ac:dyDescent="0.15">
      <c r="B65" s="25" t="s">
        <v>82</v>
      </c>
      <c r="C65" s="82">
        <v>474646.1</v>
      </c>
      <c r="D65" s="82">
        <v>545897.15</v>
      </c>
      <c r="E65" s="82">
        <v>623998.65</v>
      </c>
      <c r="F65" s="82">
        <v>672013.4</v>
      </c>
      <c r="G65" s="82">
        <v>742608.36</v>
      </c>
      <c r="H65" s="82">
        <v>830932.71</v>
      </c>
      <c r="I65" s="82">
        <v>923410.94</v>
      </c>
      <c r="J65" s="82">
        <v>1026316.7</v>
      </c>
      <c r="K65" s="82">
        <v>1174832.92</v>
      </c>
      <c r="L65" s="82">
        <v>1307868.19</v>
      </c>
      <c r="N65" s="98" t="s">
        <v>176</v>
      </c>
      <c r="O65" s="99">
        <v>114763</v>
      </c>
      <c r="P65" s="99">
        <v>118401</v>
      </c>
      <c r="Q65" s="99">
        <v>128278</v>
      </c>
      <c r="R65" s="99">
        <v>144167</v>
      </c>
      <c r="S65" s="99">
        <v>153190</v>
      </c>
      <c r="T65" s="99">
        <v>180219</v>
      </c>
      <c r="U65" s="99">
        <v>198453</v>
      </c>
      <c r="V65" s="99">
        <v>232899</v>
      </c>
      <c r="W65" s="99">
        <v>239696</v>
      </c>
      <c r="X65" s="99">
        <v>312385</v>
      </c>
      <c r="Y65" s="99">
        <v>317616</v>
      </c>
      <c r="Z65" s="99">
        <v>344099</v>
      </c>
    </row>
    <row r="66" spans="1:26" s="81" customFormat="1" ht="14" x14ac:dyDescent="0.15">
      <c r="A66" s="90"/>
      <c r="B66" s="81" t="s">
        <v>135</v>
      </c>
      <c r="C66" s="82">
        <v>747762.37</v>
      </c>
      <c r="D66" s="82">
        <v>826079.17</v>
      </c>
      <c r="E66" s="82">
        <v>918756.2</v>
      </c>
      <c r="F66" s="82">
        <v>985724.65</v>
      </c>
      <c r="G66" s="82">
        <v>1124281.05</v>
      </c>
      <c r="H66" s="82">
        <v>1238793.8899999999</v>
      </c>
      <c r="I66" s="82">
        <v>1377292.23</v>
      </c>
      <c r="J66" s="82">
        <v>1573812.25</v>
      </c>
      <c r="K66" s="82">
        <v>1752637.38</v>
      </c>
      <c r="L66" s="82">
        <v>1958490.5</v>
      </c>
      <c r="N66" s="96" t="s">
        <v>177</v>
      </c>
      <c r="O66" s="97">
        <v>1428</v>
      </c>
      <c r="P66" s="97">
        <v>1706</v>
      </c>
      <c r="Q66" s="97">
        <v>2011</v>
      </c>
      <c r="R66" s="97">
        <v>2506</v>
      </c>
      <c r="S66" s="97">
        <v>3356</v>
      </c>
      <c r="T66" s="97">
        <v>4865</v>
      </c>
      <c r="U66" s="97">
        <v>6008</v>
      </c>
      <c r="V66" s="97">
        <v>6581</v>
      </c>
      <c r="W66" s="97">
        <v>6795</v>
      </c>
      <c r="X66" s="97">
        <v>9588</v>
      </c>
      <c r="Y66" s="97">
        <v>5981</v>
      </c>
      <c r="Z66" s="97">
        <v>6687</v>
      </c>
    </row>
    <row r="67" spans="1:26" ht="14" x14ac:dyDescent="0.15">
      <c r="B67" s="25" t="s">
        <v>134</v>
      </c>
      <c r="C67" s="82"/>
      <c r="D67" s="82"/>
      <c r="E67" s="82"/>
      <c r="F67" s="82"/>
      <c r="G67" s="82"/>
      <c r="H67" s="82"/>
      <c r="I67" s="82"/>
      <c r="J67" s="82"/>
      <c r="K67" s="82"/>
      <c r="L67" s="82"/>
      <c r="N67" s="96" t="s">
        <v>178</v>
      </c>
      <c r="O67" s="97">
        <v>3797</v>
      </c>
      <c r="P67" s="97">
        <v>4321</v>
      </c>
      <c r="Q67" s="97">
        <v>5216</v>
      </c>
      <c r="R67" s="97">
        <v>5291</v>
      </c>
      <c r="S67" s="97">
        <v>4842</v>
      </c>
      <c r="T67" s="97">
        <v>8308</v>
      </c>
      <c r="U67" s="97">
        <v>7307</v>
      </c>
      <c r="V67" s="97">
        <v>8619</v>
      </c>
      <c r="W67" s="97">
        <v>5714</v>
      </c>
      <c r="X67" s="97">
        <v>12848</v>
      </c>
      <c r="Y67" s="97">
        <v>13069</v>
      </c>
      <c r="Z67" s="97">
        <v>13604</v>
      </c>
    </row>
    <row r="68" spans="1:26" ht="15" x14ac:dyDescent="0.2">
      <c r="B68" s="25" t="s">
        <v>32</v>
      </c>
      <c r="C68" s="88"/>
      <c r="D68" s="88"/>
      <c r="E68" s="88"/>
      <c r="F68" s="88"/>
      <c r="G68" s="88"/>
      <c r="H68" s="88"/>
      <c r="I68" s="88"/>
      <c r="J68" s="88"/>
      <c r="K68" s="88"/>
      <c r="L68" s="88"/>
      <c r="N68" s="96" t="s">
        <v>179</v>
      </c>
      <c r="O68" s="97">
        <v>109538</v>
      </c>
      <c r="P68" s="97">
        <v>112374</v>
      </c>
      <c r="Q68" s="97">
        <v>121051</v>
      </c>
      <c r="R68" s="97">
        <v>136370</v>
      </c>
      <c r="S68" s="97">
        <v>144993</v>
      </c>
      <c r="T68" s="97">
        <v>167045</v>
      </c>
      <c r="U68" s="97">
        <v>185138</v>
      </c>
      <c r="V68" s="97">
        <v>217700</v>
      </c>
      <c r="W68" s="97">
        <v>227187</v>
      </c>
      <c r="X68" s="97">
        <v>289948</v>
      </c>
      <c r="Y68" s="97">
        <v>298567</v>
      </c>
      <c r="Z68" s="97">
        <v>323808</v>
      </c>
    </row>
    <row r="69" spans="1:26" ht="14" x14ac:dyDescent="0.15">
      <c r="B69" s="25" t="s">
        <v>133</v>
      </c>
      <c r="C69" s="82">
        <v>48258.23</v>
      </c>
      <c r="D69" s="82">
        <v>47637.17</v>
      </c>
      <c r="E69" s="82">
        <v>65035.97</v>
      </c>
      <c r="F69" s="82">
        <v>80490.87</v>
      </c>
      <c r="G69" s="82">
        <v>88999.13</v>
      </c>
      <c r="H69" s="82">
        <v>87390.9</v>
      </c>
      <c r="I69" s="82">
        <v>127852.92</v>
      </c>
      <c r="J69" s="82">
        <v>147570.53</v>
      </c>
      <c r="K69" s="82">
        <v>183125.98</v>
      </c>
      <c r="L69" s="82">
        <v>136456.49</v>
      </c>
      <c r="N69" s="98" t="s">
        <v>180</v>
      </c>
      <c r="O69" s="99">
        <v>619287</v>
      </c>
      <c r="P69" s="99">
        <v>674822</v>
      </c>
      <c r="Q69" s="99">
        <v>747762</v>
      </c>
      <c r="R69" s="99">
        <v>826079</v>
      </c>
      <c r="S69" s="99">
        <v>918756</v>
      </c>
      <c r="T69" s="99">
        <v>985725</v>
      </c>
      <c r="U69" s="99">
        <v>1124281</v>
      </c>
      <c r="V69" s="99">
        <v>1238794</v>
      </c>
      <c r="W69" s="99">
        <v>1377292</v>
      </c>
      <c r="X69" s="99">
        <v>1573812</v>
      </c>
      <c r="Y69" s="99">
        <v>1752637</v>
      </c>
      <c r="Z69" s="99">
        <v>1958490</v>
      </c>
    </row>
    <row r="70" spans="1:26" x14ac:dyDescent="0.15">
      <c r="B70" s="25" t="s">
        <v>132</v>
      </c>
      <c r="C70" s="82">
        <v>1155098858</v>
      </c>
      <c r="D70" s="82">
        <v>5797510734</v>
      </c>
      <c r="E70" s="82">
        <v>5815034519</v>
      </c>
      <c r="F70" s="82">
        <v>5824742224</v>
      </c>
      <c r="G70" s="82">
        <v>6428256865</v>
      </c>
      <c r="H70" s="82">
        <v>6446505742</v>
      </c>
      <c r="I70" s="82">
        <v>6473031292</v>
      </c>
      <c r="J70" s="82">
        <v>6916258476</v>
      </c>
      <c r="K70" s="82">
        <v>6949037464</v>
      </c>
      <c r="L70" s="82">
        <v>6983081820</v>
      </c>
    </row>
    <row r="71" spans="1:26" ht="15" x14ac:dyDescent="0.2">
      <c r="B71" s="25" t="s">
        <v>131</v>
      </c>
      <c r="C71" s="86"/>
      <c r="D71" s="86"/>
      <c r="G71" s="87">
        <v>582984544</v>
      </c>
      <c r="H71" s="86"/>
      <c r="I71" s="86"/>
      <c r="U71" s="97">
        <v>1252968</v>
      </c>
      <c r="V71" s="97">
        <v>1399894</v>
      </c>
    </row>
    <row r="72" spans="1:26" x14ac:dyDescent="0.15">
      <c r="B72" s="25" t="s">
        <v>130</v>
      </c>
      <c r="C72" s="82">
        <v>10</v>
      </c>
      <c r="D72" s="82">
        <v>2</v>
      </c>
      <c r="E72" s="82">
        <v>2</v>
      </c>
      <c r="F72" s="82">
        <v>2</v>
      </c>
      <c r="G72" s="82">
        <v>2</v>
      </c>
      <c r="H72" s="82">
        <v>2</v>
      </c>
      <c r="I72" s="82">
        <v>2</v>
      </c>
      <c r="J72" s="82">
        <v>2</v>
      </c>
      <c r="K72" s="82">
        <v>2</v>
      </c>
      <c r="L72" s="82">
        <v>2</v>
      </c>
    </row>
    <row r="73" spans="1:26" x14ac:dyDescent="0.15">
      <c r="I73" s="25">
        <f>I62-H62+I45</f>
        <v>748.23999999999978</v>
      </c>
      <c r="J73" s="25">
        <f>J62-I62+J45</f>
        <v>508.27000000000044</v>
      </c>
      <c r="K73" s="25">
        <f>K62-J62+K45</f>
        <v>-210.19000000000051</v>
      </c>
      <c r="L73" s="25">
        <f>L62-K62+L45</f>
        <v>363.60000000000036</v>
      </c>
    </row>
    <row r="80" spans="1:26" x14ac:dyDescent="0.15">
      <c r="B80" s="81" t="s">
        <v>129</v>
      </c>
    </row>
    <row r="81" spans="1:13" s="83" customFormat="1" x14ac:dyDescent="0.15">
      <c r="A81" s="92"/>
      <c r="B81" s="85" t="s">
        <v>128</v>
      </c>
      <c r="C81" s="84">
        <v>41729</v>
      </c>
      <c r="D81" s="84">
        <v>42094</v>
      </c>
      <c r="E81" s="84">
        <v>42460</v>
      </c>
      <c r="F81" s="84">
        <v>42825</v>
      </c>
      <c r="G81" s="84">
        <v>43190</v>
      </c>
      <c r="H81" s="84">
        <v>43555</v>
      </c>
      <c r="I81" s="84">
        <v>43921</v>
      </c>
      <c r="J81" s="84">
        <v>44286</v>
      </c>
      <c r="K81" s="84">
        <v>44651</v>
      </c>
      <c r="L81" s="84">
        <v>45016</v>
      </c>
      <c r="M81" s="84"/>
    </row>
    <row r="82" spans="1:13" s="81" customFormat="1" x14ac:dyDescent="0.15">
      <c r="A82" s="90"/>
      <c r="B82" s="25" t="s">
        <v>127</v>
      </c>
      <c r="C82" s="82">
        <v>6764.79</v>
      </c>
      <c r="D82" s="82">
        <v>-12273.14</v>
      </c>
      <c r="E82" s="82">
        <v>23645.32</v>
      </c>
      <c r="F82" s="82">
        <v>52635.53</v>
      </c>
      <c r="G82" s="82">
        <v>19382.93</v>
      </c>
      <c r="H82" s="82">
        <v>48671.05</v>
      </c>
      <c r="I82" s="82">
        <v>79564.75</v>
      </c>
      <c r="J82" s="82">
        <v>138015.29999999999</v>
      </c>
      <c r="K82" s="82">
        <v>58111.43</v>
      </c>
      <c r="L82" s="82">
        <v>-3771.19</v>
      </c>
    </row>
    <row r="83" spans="1:13" x14ac:dyDescent="0.15">
      <c r="B83" s="25" t="s">
        <v>126</v>
      </c>
      <c r="C83" s="82">
        <v>-15749.71</v>
      </c>
      <c r="D83" s="82">
        <v>-13175.12</v>
      </c>
      <c r="E83" s="82">
        <v>-12060.44</v>
      </c>
      <c r="F83" s="82">
        <v>-1711.1</v>
      </c>
      <c r="G83" s="82">
        <v>-50550.64</v>
      </c>
      <c r="H83" s="82">
        <v>-30281.86</v>
      </c>
      <c r="I83" s="82">
        <v>-42094.9</v>
      </c>
      <c r="J83" s="82">
        <v>-63630.92</v>
      </c>
      <c r="K83" s="82">
        <v>-39448.29</v>
      </c>
      <c r="L83" s="82">
        <v>-67689.02</v>
      </c>
    </row>
    <row r="84" spans="1:13" x14ac:dyDescent="0.15">
      <c r="B84" s="25" t="s">
        <v>125</v>
      </c>
      <c r="C84" s="82">
        <v>7872.29</v>
      </c>
      <c r="D84" s="82">
        <v>24827.200000000001</v>
      </c>
      <c r="E84" s="82">
        <v>5813.91</v>
      </c>
      <c r="F84" s="82">
        <v>-35469.54</v>
      </c>
      <c r="G84" s="82">
        <v>39675.97</v>
      </c>
      <c r="H84" s="82">
        <v>-19997.43</v>
      </c>
      <c r="I84" s="82">
        <v>2992.18</v>
      </c>
      <c r="J84" s="82">
        <v>-54666.77</v>
      </c>
      <c r="K84" s="82">
        <v>17451</v>
      </c>
      <c r="L84" s="82">
        <v>24790.720000000001</v>
      </c>
    </row>
    <row r="85" spans="1:13" s="81" customFormat="1" x14ac:dyDescent="0.15">
      <c r="A85" s="90"/>
      <c r="B85" s="25" t="s">
        <v>58</v>
      </c>
      <c r="C85" s="82">
        <v>-1112.6300000000001</v>
      </c>
      <c r="D85" s="82">
        <v>-621.05999999999995</v>
      </c>
      <c r="E85" s="82">
        <v>17398.8</v>
      </c>
      <c r="F85" s="82">
        <v>15454.9</v>
      </c>
      <c r="G85" s="82">
        <v>8508.26</v>
      </c>
      <c r="H85" s="82">
        <v>-1608.24</v>
      </c>
      <c r="I85" s="82">
        <v>40462.03</v>
      </c>
      <c r="J85" s="82">
        <v>19717.61</v>
      </c>
      <c r="K85" s="82">
        <v>36114.14</v>
      </c>
      <c r="L85" s="82">
        <v>-46669.49</v>
      </c>
    </row>
    <row r="90" spans="1:13" s="81" customFormat="1" x14ac:dyDescent="0.15">
      <c r="A90" s="90"/>
      <c r="B90" s="81" t="s">
        <v>124</v>
      </c>
      <c r="C90" s="82">
        <v>226.37</v>
      </c>
      <c r="D90" s="82">
        <v>286.82</v>
      </c>
      <c r="E90" s="82">
        <v>215.14</v>
      </c>
      <c r="F90" s="82">
        <v>251.68</v>
      </c>
      <c r="G90" s="82">
        <v>278.35000000000002</v>
      </c>
      <c r="H90" s="82">
        <v>400.5</v>
      </c>
      <c r="I90" s="82">
        <v>323.75</v>
      </c>
      <c r="J90" s="82">
        <v>582.1</v>
      </c>
      <c r="K90" s="82">
        <v>730.3</v>
      </c>
      <c r="L90" s="82">
        <v>877.25</v>
      </c>
    </row>
    <row r="92" spans="1:13" s="81" customFormat="1" x14ac:dyDescent="0.15">
      <c r="A92" s="90"/>
      <c r="B92" s="81" t="s">
        <v>123</v>
      </c>
    </row>
    <row r="93" spans="1:13" x14ac:dyDescent="0.15">
      <c r="B93" s="25" t="s">
        <v>122</v>
      </c>
      <c r="C93" s="80">
        <v>635.20000000000005</v>
      </c>
      <c r="D93" s="80">
        <v>637.70000000000005</v>
      </c>
      <c r="E93" s="80">
        <v>639.62</v>
      </c>
      <c r="F93" s="80">
        <v>640.69000000000005</v>
      </c>
      <c r="G93" s="80">
        <v>642.79999999999995</v>
      </c>
      <c r="H93" s="80">
        <v>644.62</v>
      </c>
      <c r="I93" s="80">
        <v>647.28</v>
      </c>
      <c r="J93" s="80">
        <v>691.6</v>
      </c>
      <c r="K93" s="80">
        <v>694.88</v>
      </c>
      <c r="L93" s="80">
        <v>698.28</v>
      </c>
    </row>
    <row r="97" spans="2:14" ht="24" x14ac:dyDescent="0.2">
      <c r="B97" s="101" t="s">
        <v>181</v>
      </c>
      <c r="C97"/>
      <c r="D97"/>
      <c r="E97"/>
      <c r="F97"/>
      <c r="G97"/>
      <c r="H97"/>
      <c r="I97"/>
      <c r="J97"/>
      <c r="K97"/>
      <c r="L97"/>
      <c r="M97"/>
      <c r="N97"/>
    </row>
    <row r="98" spans="2:14" ht="32" x14ac:dyDescent="0.2">
      <c r="B98" s="102" t="s">
        <v>182</v>
      </c>
      <c r="C98"/>
      <c r="D98"/>
      <c r="E98"/>
      <c r="F98"/>
      <c r="G98"/>
      <c r="H98"/>
      <c r="I98"/>
      <c r="J98"/>
      <c r="K98"/>
      <c r="L98"/>
      <c r="M98"/>
      <c r="N98"/>
    </row>
    <row r="99" spans="2:14" ht="14" x14ac:dyDescent="0.15">
      <c r="B99" s="103"/>
      <c r="C99" s="104">
        <v>40969</v>
      </c>
      <c r="D99" s="104">
        <v>41334</v>
      </c>
      <c r="E99" s="104">
        <v>41699</v>
      </c>
      <c r="F99" s="104">
        <v>42064</v>
      </c>
      <c r="G99" s="104">
        <v>42430</v>
      </c>
      <c r="H99" s="104">
        <v>42795</v>
      </c>
      <c r="I99" s="104">
        <v>43160</v>
      </c>
      <c r="J99" s="104">
        <v>43525</v>
      </c>
      <c r="K99" s="104">
        <v>43891</v>
      </c>
      <c r="L99" s="104">
        <v>44256</v>
      </c>
      <c r="M99" s="104">
        <v>44621</v>
      </c>
      <c r="N99" s="104">
        <v>44986</v>
      </c>
    </row>
    <row r="100" spans="2:14" ht="14" x14ac:dyDescent="0.15">
      <c r="B100" s="105" t="s">
        <v>183</v>
      </c>
      <c r="C100" s="106">
        <v>-6405</v>
      </c>
      <c r="D100" s="106">
        <v>17494</v>
      </c>
      <c r="E100" s="106">
        <v>6765</v>
      </c>
      <c r="F100" s="106">
        <v>-12273</v>
      </c>
      <c r="G100" s="106">
        <v>23645</v>
      </c>
      <c r="H100" s="106">
        <v>52636</v>
      </c>
      <c r="I100" s="106">
        <v>19383</v>
      </c>
      <c r="J100" s="106">
        <v>48671</v>
      </c>
      <c r="K100" s="106">
        <v>79565</v>
      </c>
      <c r="L100" s="106">
        <v>138015</v>
      </c>
      <c r="M100" s="106">
        <v>58111</v>
      </c>
      <c r="N100" s="106">
        <v>-3771</v>
      </c>
    </row>
    <row r="101" spans="2:14" ht="14" x14ac:dyDescent="0.15">
      <c r="B101" s="105" t="s">
        <v>184</v>
      </c>
      <c r="C101" s="106">
        <v>13226</v>
      </c>
      <c r="D101" s="106">
        <v>16217</v>
      </c>
      <c r="E101" s="106">
        <v>19036</v>
      </c>
      <c r="F101" s="106">
        <v>22716</v>
      </c>
      <c r="G101" s="106">
        <v>23045</v>
      </c>
      <c r="H101" s="106">
        <v>23625</v>
      </c>
      <c r="I101" s="106">
        <v>24530</v>
      </c>
      <c r="J101" s="106">
        <v>27137</v>
      </c>
      <c r="K101" s="106">
        <v>33692</v>
      </c>
      <c r="L101" s="106">
        <v>39859</v>
      </c>
      <c r="M101" s="106">
        <v>45576</v>
      </c>
      <c r="N101" s="106">
        <v>56193</v>
      </c>
    </row>
    <row r="102" spans="2:14" ht="14" x14ac:dyDescent="0.15">
      <c r="B102" s="107" t="s">
        <v>185</v>
      </c>
      <c r="C102" s="108">
        <v>-33583</v>
      </c>
      <c r="D102" s="108">
        <v>-39486</v>
      </c>
      <c r="E102" s="108">
        <v>-57301</v>
      </c>
      <c r="F102" s="108">
        <v>-56766</v>
      </c>
      <c r="G102" s="108">
        <v>-64849</v>
      </c>
      <c r="H102" s="108">
        <v>-41180</v>
      </c>
      <c r="I102" s="108">
        <v>-68750</v>
      </c>
      <c r="J102" s="108">
        <v>-97298</v>
      </c>
      <c r="K102" s="108">
        <v>-69243</v>
      </c>
      <c r="L102" s="108">
        <v>-96893</v>
      </c>
      <c r="M102" s="108">
        <v>-134905</v>
      </c>
      <c r="N102" s="108">
        <v>-163893</v>
      </c>
    </row>
    <row r="103" spans="2:14" ht="14" x14ac:dyDescent="0.15">
      <c r="B103" s="107" t="s">
        <v>186</v>
      </c>
      <c r="C103" s="108">
        <v>-12608</v>
      </c>
      <c r="D103" s="108">
        <v>5389</v>
      </c>
      <c r="E103" s="108">
        <v>4919</v>
      </c>
      <c r="F103" s="108">
        <v>-14494</v>
      </c>
      <c r="G103" s="108">
        <v>-4018</v>
      </c>
      <c r="H103" s="108">
        <v>-6607</v>
      </c>
      <c r="I103" s="108">
        <v>-14737</v>
      </c>
      <c r="J103" s="108">
        <v>3346</v>
      </c>
      <c r="K103" s="108">
        <v>-31531</v>
      </c>
      <c r="L103" s="108">
        <v>9048</v>
      </c>
      <c r="M103" s="108">
        <v>-16669</v>
      </c>
      <c r="N103" s="108">
        <v>-15829</v>
      </c>
    </row>
    <row r="104" spans="2:14" ht="14" x14ac:dyDescent="0.15">
      <c r="B104" s="107" t="s">
        <v>187</v>
      </c>
      <c r="C104" s="108">
        <v>22844</v>
      </c>
      <c r="D104" s="108">
        <v>32820</v>
      </c>
      <c r="E104" s="108">
        <v>44742</v>
      </c>
      <c r="F104" s="108">
        <v>26443</v>
      </c>
      <c r="G104" s="108">
        <v>65122</v>
      </c>
      <c r="H104" s="108">
        <v>61510</v>
      </c>
      <c r="I104" s="108">
        <v>73209</v>
      </c>
      <c r="J104" s="108">
        <v>95521</v>
      </c>
      <c r="K104" s="108">
        <v>119468</v>
      </c>
      <c r="L104" s="108">
        <v>159156</v>
      </c>
      <c r="M104" s="108">
        <v>131426</v>
      </c>
      <c r="N104" s="108">
        <v>119466</v>
      </c>
    </row>
    <row r="105" spans="2:14" ht="14" x14ac:dyDescent="0.15">
      <c r="B105" s="107" t="s">
        <v>188</v>
      </c>
      <c r="C105" s="108">
        <v>5915</v>
      </c>
      <c r="D105" s="108">
        <v>6324</v>
      </c>
      <c r="E105" s="109">
        <v>-2</v>
      </c>
      <c r="F105" s="108">
        <v>15163</v>
      </c>
      <c r="G105" s="108">
        <v>10844</v>
      </c>
      <c r="H105" s="108">
        <v>21192</v>
      </c>
      <c r="I105" s="108">
        <v>9582</v>
      </c>
      <c r="J105" s="108">
        <v>28321</v>
      </c>
      <c r="K105" s="108">
        <v>29572</v>
      </c>
      <c r="L105" s="108">
        <v>30680</v>
      </c>
      <c r="M105" s="108">
        <v>37665</v>
      </c>
      <c r="N105" s="108">
        <v>11167</v>
      </c>
    </row>
    <row r="106" spans="2:14" ht="14" x14ac:dyDescent="0.15">
      <c r="B106" s="105" t="s">
        <v>189</v>
      </c>
      <c r="C106" s="106">
        <v>-17431</v>
      </c>
      <c r="D106" s="106">
        <v>5047</v>
      </c>
      <c r="E106" s="106">
        <v>-7642</v>
      </c>
      <c r="F106" s="106">
        <v>-29654</v>
      </c>
      <c r="G106" s="106">
        <v>7099</v>
      </c>
      <c r="H106" s="106">
        <v>34914</v>
      </c>
      <c r="I106" s="110">
        <v>-696</v>
      </c>
      <c r="J106" s="106">
        <v>29890</v>
      </c>
      <c r="K106" s="106">
        <v>48265</v>
      </c>
      <c r="L106" s="106">
        <v>101990</v>
      </c>
      <c r="M106" s="106">
        <v>17517</v>
      </c>
      <c r="N106" s="106">
        <v>-49089</v>
      </c>
    </row>
    <row r="107" spans="2:14" ht="14" x14ac:dyDescent="0.15">
      <c r="B107" s="107" t="s">
        <v>190</v>
      </c>
      <c r="C107" s="108">
        <v>-2608</v>
      </c>
      <c r="D107" s="108">
        <v>-3770</v>
      </c>
      <c r="E107" s="108">
        <v>-4630</v>
      </c>
      <c r="F107" s="108">
        <v>-5335</v>
      </c>
      <c r="G107" s="108">
        <v>-6499</v>
      </c>
      <c r="H107" s="108">
        <v>-5903</v>
      </c>
      <c r="I107" s="108">
        <v>-4451</v>
      </c>
      <c r="J107" s="108">
        <v>-8356</v>
      </c>
      <c r="K107" s="108">
        <v>-2392</v>
      </c>
      <c r="L107" s="108">
        <v>-3834</v>
      </c>
      <c r="M107" s="108">
        <v>-4982</v>
      </c>
      <c r="N107" s="108">
        <v>-10875</v>
      </c>
    </row>
    <row r="108" spans="2:14" ht="14" x14ac:dyDescent="0.15">
      <c r="B108" s="107" t="s">
        <v>191</v>
      </c>
      <c r="C108" s="109">
        <v>408</v>
      </c>
      <c r="D108" s="109">
        <v>0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9">
        <v>0</v>
      </c>
      <c r="L108" s="109">
        <v>0</v>
      </c>
      <c r="M108" s="109">
        <v>0</v>
      </c>
      <c r="N108" s="109">
        <v>0</v>
      </c>
    </row>
    <row r="109" spans="2:14" ht="14" x14ac:dyDescent="0.15">
      <c r="B109" s="105" t="s">
        <v>192</v>
      </c>
      <c r="C109" s="106">
        <v>-21263</v>
      </c>
      <c r="D109" s="106">
        <v>-18563</v>
      </c>
      <c r="E109" s="106">
        <v>-15750</v>
      </c>
      <c r="F109" s="106">
        <v>-13175</v>
      </c>
      <c r="G109" s="106">
        <v>-12060</v>
      </c>
      <c r="H109" s="106">
        <v>-1711</v>
      </c>
      <c r="I109" s="106">
        <v>-50551</v>
      </c>
      <c r="J109" s="106">
        <v>-30282</v>
      </c>
      <c r="K109" s="106">
        <v>-42095</v>
      </c>
      <c r="L109" s="106">
        <v>-63631</v>
      </c>
      <c r="M109" s="106">
        <v>-39448</v>
      </c>
      <c r="N109" s="106">
        <v>-67689</v>
      </c>
    </row>
    <row r="110" spans="2:14" ht="14" x14ac:dyDescent="0.15">
      <c r="B110" s="107" t="s">
        <v>193</v>
      </c>
      <c r="C110" s="109">
        <v>-605</v>
      </c>
      <c r="D110" s="109">
        <v>-625</v>
      </c>
      <c r="E110" s="109">
        <v>-837</v>
      </c>
      <c r="F110" s="108">
        <v>-1245</v>
      </c>
      <c r="G110" s="109">
        <v>-848</v>
      </c>
      <c r="H110" s="108">
        <v>-1317</v>
      </c>
      <c r="I110" s="108">
        <v>-1042</v>
      </c>
      <c r="J110" s="108">
        <v>-1148</v>
      </c>
      <c r="K110" s="108">
        <v>-1873</v>
      </c>
      <c r="L110" s="108">
        <v>-1688</v>
      </c>
      <c r="M110" s="108">
        <v>-1860</v>
      </c>
      <c r="N110" s="108">
        <v>-2468</v>
      </c>
    </row>
    <row r="111" spans="2:14" ht="14" x14ac:dyDescent="0.15">
      <c r="B111" s="107" t="s">
        <v>194</v>
      </c>
      <c r="C111" s="109">
        <v>18</v>
      </c>
      <c r="D111" s="109">
        <v>70</v>
      </c>
      <c r="E111" s="109">
        <v>205</v>
      </c>
      <c r="F111" s="109">
        <v>37</v>
      </c>
      <c r="G111" s="109">
        <v>70</v>
      </c>
      <c r="H111" s="109">
        <v>16</v>
      </c>
      <c r="I111" s="109">
        <v>27</v>
      </c>
      <c r="J111" s="109">
        <v>47</v>
      </c>
      <c r="K111" s="109">
        <v>26</v>
      </c>
      <c r="L111" s="109">
        <v>12</v>
      </c>
      <c r="M111" s="109">
        <v>117</v>
      </c>
      <c r="N111" s="109">
        <v>287</v>
      </c>
    </row>
    <row r="112" spans="2:14" ht="14" x14ac:dyDescent="0.15">
      <c r="B112" s="107" t="s">
        <v>195</v>
      </c>
      <c r="C112" s="108">
        <v>-20676</v>
      </c>
      <c r="D112" s="108">
        <v>-18593</v>
      </c>
      <c r="E112" s="108">
        <v>-16035</v>
      </c>
      <c r="F112" s="108">
        <v>-11724</v>
      </c>
      <c r="G112" s="108">
        <v>-11041</v>
      </c>
      <c r="H112" s="109">
        <v>-305</v>
      </c>
      <c r="I112" s="108">
        <v>-49558</v>
      </c>
      <c r="J112" s="108">
        <v>-29046</v>
      </c>
      <c r="K112" s="108">
        <v>-40461</v>
      </c>
      <c r="L112" s="108">
        <v>-61311</v>
      </c>
      <c r="M112" s="108">
        <v>-37579</v>
      </c>
      <c r="N112" s="108">
        <v>-65825</v>
      </c>
    </row>
    <row r="113" spans="2:14" ht="14" x14ac:dyDescent="0.15">
      <c r="B113" s="107" t="s">
        <v>196</v>
      </c>
      <c r="C113" s="109">
        <v>0</v>
      </c>
      <c r="D113" s="109">
        <v>585</v>
      </c>
      <c r="E113" s="109">
        <v>918</v>
      </c>
      <c r="F113" s="109">
        <v>-243</v>
      </c>
      <c r="G113" s="109">
        <v>-241</v>
      </c>
      <c r="H113" s="109">
        <v>-105</v>
      </c>
      <c r="I113" s="109">
        <v>23</v>
      </c>
      <c r="J113" s="109">
        <v>-135</v>
      </c>
      <c r="K113" s="109">
        <v>214</v>
      </c>
      <c r="L113" s="109">
        <v>-644</v>
      </c>
      <c r="M113" s="109">
        <v>-127</v>
      </c>
      <c r="N113" s="109">
        <v>316</v>
      </c>
    </row>
    <row r="114" spans="2:14" ht="14" x14ac:dyDescent="0.15">
      <c r="B114" s="105" t="s">
        <v>197</v>
      </c>
      <c r="C114" s="106">
        <v>29439</v>
      </c>
      <c r="D114" s="106">
        <v>9283</v>
      </c>
      <c r="E114" s="106">
        <v>7872</v>
      </c>
      <c r="F114" s="106">
        <v>24827</v>
      </c>
      <c r="G114" s="106">
        <v>5814</v>
      </c>
      <c r="H114" s="106">
        <v>-35470</v>
      </c>
      <c r="I114" s="106">
        <v>39676</v>
      </c>
      <c r="J114" s="106">
        <v>-19997</v>
      </c>
      <c r="K114" s="106">
        <v>2992</v>
      </c>
      <c r="L114" s="106">
        <v>-54667</v>
      </c>
      <c r="M114" s="106">
        <v>17451</v>
      </c>
      <c r="N114" s="106">
        <v>24791</v>
      </c>
    </row>
    <row r="115" spans="2:14" ht="14" x14ac:dyDescent="0.15">
      <c r="B115" s="107" t="s">
        <v>107</v>
      </c>
      <c r="C115" s="109">
        <v>59</v>
      </c>
      <c r="D115" s="109">
        <v>45</v>
      </c>
      <c r="E115" s="109">
        <v>76</v>
      </c>
      <c r="F115" s="109">
        <v>348</v>
      </c>
      <c r="G115" s="109">
        <v>282</v>
      </c>
      <c r="H115" s="109">
        <v>177</v>
      </c>
      <c r="I115" s="109">
        <v>394</v>
      </c>
      <c r="J115" s="109">
        <v>349</v>
      </c>
      <c r="K115" s="109">
        <v>549</v>
      </c>
      <c r="L115" s="108">
        <v>15460</v>
      </c>
      <c r="M115" s="109">
        <v>798</v>
      </c>
      <c r="N115" s="109">
        <v>942</v>
      </c>
    </row>
    <row r="116" spans="2:14" ht="14" x14ac:dyDescent="0.15">
      <c r="B116" s="107" t="s">
        <v>108</v>
      </c>
      <c r="C116" s="108">
        <v>31282</v>
      </c>
      <c r="D116" s="109">
        <v>0</v>
      </c>
      <c r="E116" s="108">
        <v>33389</v>
      </c>
      <c r="F116" s="108">
        <v>54698</v>
      </c>
      <c r="G116" s="108">
        <v>45560</v>
      </c>
      <c r="H116" s="108">
        <v>40376</v>
      </c>
      <c r="I116" s="108">
        <v>81432</v>
      </c>
      <c r="J116" s="108">
        <v>26239</v>
      </c>
      <c r="K116" s="108">
        <v>55330</v>
      </c>
      <c r="L116" s="108">
        <v>29422</v>
      </c>
      <c r="M116" s="108">
        <v>52641</v>
      </c>
      <c r="N116" s="108">
        <v>54220</v>
      </c>
    </row>
    <row r="117" spans="2:14" ht="14" x14ac:dyDescent="0.15">
      <c r="B117" s="107" t="s">
        <v>109</v>
      </c>
      <c r="C117" s="109">
        <v>0</v>
      </c>
      <c r="D117" s="109">
        <v>0</v>
      </c>
      <c r="E117" s="108">
        <v>-22889</v>
      </c>
      <c r="F117" s="108">
        <v>-27134</v>
      </c>
      <c r="G117" s="108">
        <v>-36576</v>
      </c>
      <c r="H117" s="108">
        <v>-72600</v>
      </c>
      <c r="I117" s="108">
        <v>-40434</v>
      </c>
      <c r="J117" s="108">
        <v>-45416</v>
      </c>
      <c r="K117" s="108">
        <v>-52001</v>
      </c>
      <c r="L117" s="108">
        <v>-99548</v>
      </c>
      <c r="M117" s="108">
        <v>-34603</v>
      </c>
      <c r="N117" s="108">
        <v>-26892</v>
      </c>
    </row>
    <row r="118" spans="2:14" ht="14" x14ac:dyDescent="0.15">
      <c r="B118" s="107" t="s">
        <v>111</v>
      </c>
      <c r="C118" s="108">
        <v>-1901</v>
      </c>
      <c r="D118" s="108">
        <v>-2219</v>
      </c>
      <c r="E118" s="108">
        <v>-2704</v>
      </c>
      <c r="F118" s="108">
        <v>-3084</v>
      </c>
      <c r="G118" s="108">
        <v>-3452</v>
      </c>
      <c r="H118" s="108">
        <v>-3423</v>
      </c>
      <c r="I118" s="108">
        <v>-1716</v>
      </c>
      <c r="J118" s="108">
        <v>-1169</v>
      </c>
      <c r="K118" s="109">
        <v>-886</v>
      </c>
      <c r="L118" s="109">
        <v>0</v>
      </c>
      <c r="M118" s="108">
        <v>-1385</v>
      </c>
      <c r="N118" s="108">
        <v>-3479</v>
      </c>
    </row>
    <row r="119" spans="2:14" ht="14" x14ac:dyDescent="0.15">
      <c r="B119" s="107" t="s">
        <v>114</v>
      </c>
      <c r="C119" s="109">
        <v>0</v>
      </c>
      <c r="D119" s="108">
        <v>11458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9">
        <v>0</v>
      </c>
      <c r="L119" s="109">
        <v>0</v>
      </c>
      <c r="M119" s="109">
        <v>0</v>
      </c>
      <c r="N119" s="109">
        <v>0</v>
      </c>
    </row>
    <row r="120" spans="2:14" ht="14" x14ac:dyDescent="0.15">
      <c r="B120" s="105" t="s">
        <v>58</v>
      </c>
      <c r="C120" s="106">
        <v>1771</v>
      </c>
      <c r="D120" s="106">
        <v>8215</v>
      </c>
      <c r="E120" s="106">
        <v>-1113</v>
      </c>
      <c r="F120" s="110">
        <v>-621</v>
      </c>
      <c r="G120" s="106">
        <v>17399</v>
      </c>
      <c r="H120" s="106">
        <v>15455</v>
      </c>
      <c r="I120" s="106">
        <v>8508</v>
      </c>
      <c r="J120" s="106">
        <v>-1608</v>
      </c>
      <c r="K120" s="106">
        <v>40462</v>
      </c>
      <c r="L120" s="106">
        <v>19718</v>
      </c>
      <c r="M120" s="106">
        <v>36114</v>
      </c>
      <c r="N120" s="106">
        <v>-46669</v>
      </c>
    </row>
  </sheetData>
  <mergeCells count="2">
    <mergeCell ref="F1:L1"/>
    <mergeCell ref="F2:L2"/>
  </mergeCells>
  <conditionalFormatting sqref="F1:L1">
    <cfRule type="cellIs" dxfId="0" priority="1" operator="notEqual">
      <formula>""</formula>
    </cfRule>
  </conditionalFormatting>
  <hyperlinks>
    <hyperlink ref="F1:L1" r:id="rId1" display="https://www.screener.in/excel/" xr:uid="{94B351B5-9F88-4538-AC0D-3A06811E6175}"/>
    <hyperlink ref="B98" r:id="rId2" location="cash-flow" display="https://www.screener.in/company/ICICIBANK/ - cash-flow" xr:uid="{8C1819A9-8C03-44A8-9186-B22E66C84CE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 Company &amp; Analysis</vt:lpstr>
      <vt:lpstr>income statement </vt:lpstr>
      <vt:lpstr>balances sheet</vt:lpstr>
      <vt:lpstr>Cash Flow Statement </vt:lpstr>
      <vt:lpstr>Debt Sch</vt:lpstr>
      <vt:lpstr>PP&amp;E Sch</vt:lpstr>
      <vt:lpstr>Data Sheet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Deekshitha R</cp:lastModifiedBy>
  <dcterms:created xsi:type="dcterms:W3CDTF">2022-07-24T06:36:42Z</dcterms:created>
  <dcterms:modified xsi:type="dcterms:W3CDTF">2024-03-31T05:48:58Z</dcterms:modified>
</cp:coreProperties>
</file>