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ar/Downloads/internship/Archive/"/>
    </mc:Choice>
  </mc:AlternateContent>
  <xr:revisionPtr revIDLastSave="0" documentId="13_ncr:1_{1BCDC769-5E5E-2642-B5FC-F9E9FD0DB4DA}" xr6:coauthVersionLast="47" xr6:coauthVersionMax="47" xr10:uidLastSave="{00000000-0000-0000-0000-000000000000}"/>
  <bookViews>
    <workbookView xWindow="0" yWindow="480" windowWidth="28800" windowHeight="17520" tabRatio="772" xr2:uid="{00C35B03-1FB5-47AD-AE0B-C640CDAE8AFD}"/>
  </bookViews>
  <sheets>
    <sheet name="About company and analysis" sheetId="9" r:id="rId1"/>
    <sheet name="income statement " sheetId="2" r:id="rId2"/>
    <sheet name="balances sheet" sheetId="3" r:id="rId3"/>
    <sheet name="Cash Flow Statement " sheetId="6" r:id="rId4"/>
    <sheet name="Debt Sch" sheetId="7" r:id="rId5"/>
    <sheet name="PP&amp;E Sch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F33" i="3" s="1"/>
  <c r="E15" i="3"/>
  <c r="F15" i="3" s="1"/>
  <c r="C27" i="3"/>
  <c r="I29" i="6"/>
  <c r="H29" i="6"/>
  <c r="G29" i="6"/>
  <c r="F29" i="6"/>
  <c r="E29" i="6"/>
  <c r="F27" i="6"/>
  <c r="G27" i="6" s="1"/>
  <c r="H27" i="6" s="1"/>
  <c r="I27" i="6" s="1"/>
  <c r="E27" i="6"/>
  <c r="E26" i="6"/>
  <c r="F26" i="6" s="1"/>
  <c r="G26" i="6" s="1"/>
  <c r="H26" i="6" s="1"/>
  <c r="I26" i="6" s="1"/>
  <c r="E25" i="6"/>
  <c r="F25" i="6" s="1"/>
  <c r="G25" i="6" s="1"/>
  <c r="H25" i="6" s="1"/>
  <c r="I25" i="6" s="1"/>
  <c r="E24" i="6"/>
  <c r="F24" i="6" s="1"/>
  <c r="G24" i="6" s="1"/>
  <c r="H24" i="6" s="1"/>
  <c r="I24" i="6" s="1"/>
  <c r="F23" i="6"/>
  <c r="G23" i="6" s="1"/>
  <c r="H23" i="6" s="1"/>
  <c r="I23" i="6" s="1"/>
  <c r="E23" i="6"/>
  <c r="I22" i="6"/>
  <c r="H22" i="6"/>
  <c r="G22" i="6"/>
  <c r="F22" i="6"/>
  <c r="E22" i="6"/>
  <c r="D5" i="8"/>
  <c r="C8" i="8"/>
  <c r="B8" i="8"/>
  <c r="C9" i="8"/>
  <c r="B9" i="8"/>
  <c r="D9" i="8" s="1"/>
  <c r="C3" i="8"/>
  <c r="D3" i="8" s="1"/>
  <c r="E3" i="8" s="1"/>
  <c r="F3" i="8" s="1"/>
  <c r="G3" i="8" s="1"/>
  <c r="H3" i="8" s="1"/>
  <c r="C6" i="8"/>
  <c r="D6" i="8" s="1"/>
  <c r="B6" i="8"/>
  <c r="E20" i="2"/>
  <c r="F20" i="2" s="1"/>
  <c r="G20" i="2" s="1"/>
  <c r="E6" i="8" l="1"/>
  <c r="E17" i="6"/>
  <c r="E9" i="8"/>
  <c r="F9" i="8" s="1"/>
  <c r="G33" i="3"/>
  <c r="G15" i="3"/>
  <c r="H20" i="2"/>
  <c r="I20" i="2" s="1"/>
  <c r="H8" i="7"/>
  <c r="D6" i="7"/>
  <c r="D33" i="6"/>
  <c r="C5" i="7"/>
  <c r="D5" i="7" s="1"/>
  <c r="E5" i="7" s="1"/>
  <c r="F5" i="7" s="1"/>
  <c r="G5" i="7" s="1"/>
  <c r="H5" i="7" s="1"/>
  <c r="E33" i="6"/>
  <c r="I30" i="6"/>
  <c r="H30" i="6"/>
  <c r="G8" i="7" s="1"/>
  <c r="G30" i="6"/>
  <c r="F8" i="7" s="1"/>
  <c r="F30" i="6"/>
  <c r="E8" i="7" s="1"/>
  <c r="E30" i="6"/>
  <c r="D8" i="7" s="1"/>
  <c r="D30" i="6"/>
  <c r="C30" i="6"/>
  <c r="D18" i="6"/>
  <c r="C18" i="6"/>
  <c r="I9" i="6"/>
  <c r="H9" i="6"/>
  <c r="G9" i="6"/>
  <c r="F9" i="6"/>
  <c r="E9" i="6"/>
  <c r="D9" i="6"/>
  <c r="C9" i="6"/>
  <c r="D8" i="6"/>
  <c r="C8" i="6"/>
  <c r="D4" i="6"/>
  <c r="E4" i="6" s="1"/>
  <c r="F4" i="6" s="1"/>
  <c r="G4" i="6" s="1"/>
  <c r="H4" i="6" s="1"/>
  <c r="I4" i="6" s="1"/>
  <c r="D57" i="3"/>
  <c r="C57" i="3"/>
  <c r="D56" i="3"/>
  <c r="C56" i="3"/>
  <c r="D55" i="3"/>
  <c r="C55" i="3"/>
  <c r="E17" i="3"/>
  <c r="F17" i="3" s="1"/>
  <c r="G17" i="3" s="1"/>
  <c r="E16" i="3"/>
  <c r="F16" i="3" s="1"/>
  <c r="G16" i="3" s="1"/>
  <c r="H16" i="3" s="1"/>
  <c r="I16" i="3" s="1"/>
  <c r="D52" i="3"/>
  <c r="C53" i="3"/>
  <c r="D53" i="3"/>
  <c r="C54" i="3"/>
  <c r="D54" i="3"/>
  <c r="C52" i="3"/>
  <c r="D4" i="3"/>
  <c r="E4" i="3" s="1"/>
  <c r="F4" i="3" s="1"/>
  <c r="G4" i="3" s="1"/>
  <c r="H4" i="3" s="1"/>
  <c r="I4" i="3" s="1"/>
  <c r="C29" i="3"/>
  <c r="D18" i="3"/>
  <c r="C18" i="3"/>
  <c r="F6" i="8" l="1"/>
  <c r="F17" i="6"/>
  <c r="E55" i="3"/>
  <c r="G9" i="8"/>
  <c r="H9" i="8" s="1"/>
  <c r="H33" i="3"/>
  <c r="I33" i="3" s="1"/>
  <c r="H15" i="3"/>
  <c r="I15" i="3" s="1"/>
  <c r="E54" i="3"/>
  <c r="F57" i="3"/>
  <c r="E52" i="3"/>
  <c r="F52" i="3" s="1"/>
  <c r="G52" i="3" s="1"/>
  <c r="E56" i="3"/>
  <c r="E57" i="3"/>
  <c r="E53" i="3"/>
  <c r="E18" i="6"/>
  <c r="E19" i="6" s="1"/>
  <c r="H17" i="3"/>
  <c r="G6" i="8" l="1"/>
  <c r="G17" i="6"/>
  <c r="F55" i="3"/>
  <c r="F56" i="3"/>
  <c r="F54" i="3"/>
  <c r="G54" i="3"/>
  <c r="G56" i="3"/>
  <c r="F53" i="3"/>
  <c r="G57" i="3"/>
  <c r="F18" i="6"/>
  <c r="F19" i="6" s="1"/>
  <c r="H52" i="3"/>
  <c r="I17" i="3"/>
  <c r="H6" i="8" l="1"/>
  <c r="I17" i="6" s="1"/>
  <c r="H17" i="6"/>
  <c r="H56" i="3"/>
  <c r="G55" i="3"/>
  <c r="H55" i="3" s="1"/>
  <c r="H54" i="3"/>
  <c r="I54" i="3" s="1"/>
  <c r="I56" i="3"/>
  <c r="G53" i="3"/>
  <c r="H53" i="3" s="1"/>
  <c r="H57" i="3"/>
  <c r="G18" i="6"/>
  <c r="I52" i="3"/>
  <c r="H18" i="6" l="1"/>
  <c r="G19" i="6"/>
  <c r="I55" i="3"/>
  <c r="I53" i="3"/>
  <c r="I57" i="3"/>
  <c r="I18" i="6" l="1"/>
  <c r="I19" i="6" s="1"/>
  <c r="H19" i="6"/>
  <c r="E5" i="2" l="1"/>
  <c r="D4" i="2"/>
  <c r="E4" i="2" s="1"/>
  <c r="F4" i="2" s="1"/>
  <c r="G4" i="2" s="1"/>
  <c r="H4" i="2" s="1"/>
  <c r="I4" i="2" s="1"/>
  <c r="D15" i="2"/>
  <c r="C15" i="2"/>
  <c r="E15" i="2" s="1"/>
  <c r="F15" i="2" s="1"/>
  <c r="C11" i="2"/>
  <c r="C12" i="2" s="1"/>
  <c r="D11" i="2"/>
  <c r="D17" i="2" s="1"/>
  <c r="D22" i="2" s="1"/>
  <c r="D27" i="2" s="1"/>
  <c r="D6" i="6" s="1"/>
  <c r="D14" i="6" s="1"/>
  <c r="D32" i="6" s="1"/>
  <c r="D9" i="2"/>
  <c r="C9" i="2"/>
  <c r="D6" i="2"/>
  <c r="F5" i="2" l="1"/>
  <c r="D8" i="8"/>
  <c r="E8" i="3"/>
  <c r="E9" i="2"/>
  <c r="F9" i="2" s="1"/>
  <c r="F8" i="2" s="1"/>
  <c r="G15" i="2"/>
  <c r="E24" i="2"/>
  <c r="F24" i="2" s="1"/>
  <c r="G5" i="2"/>
  <c r="F14" i="2"/>
  <c r="E14" i="2"/>
  <c r="H15" i="2"/>
  <c r="G9" i="2"/>
  <c r="D12" i="2"/>
  <c r="C17" i="2"/>
  <c r="C22" i="2" s="1"/>
  <c r="C27" i="2" s="1"/>
  <c r="C6" i="6" s="1"/>
  <c r="C14" i="6" s="1"/>
  <c r="C32" i="6" s="1"/>
  <c r="F11" i="2" l="1"/>
  <c r="F25" i="3"/>
  <c r="F9" i="3"/>
  <c r="F34" i="3"/>
  <c r="F28" i="3"/>
  <c r="F24" i="3"/>
  <c r="F8" i="8"/>
  <c r="G8" i="3"/>
  <c r="E24" i="3"/>
  <c r="E28" i="3"/>
  <c r="E34" i="3"/>
  <c r="E8" i="6"/>
  <c r="E32" i="2"/>
  <c r="D11" i="8"/>
  <c r="E11" i="6"/>
  <c r="F11" i="6"/>
  <c r="E8" i="2"/>
  <c r="E8" i="8"/>
  <c r="F8" i="3"/>
  <c r="G24" i="2"/>
  <c r="H24" i="2" s="1"/>
  <c r="I24" i="2" s="1"/>
  <c r="F12" i="2"/>
  <c r="F17" i="2"/>
  <c r="H5" i="2"/>
  <c r="G14" i="2"/>
  <c r="G8" i="2"/>
  <c r="I15" i="2"/>
  <c r="H9" i="2"/>
  <c r="I9" i="2" s="1"/>
  <c r="G8" i="6" l="1"/>
  <c r="G32" i="2"/>
  <c r="E14" i="3"/>
  <c r="E18" i="3" s="1"/>
  <c r="E5" i="8"/>
  <c r="E11" i="8" s="1"/>
  <c r="G11" i="2"/>
  <c r="G12" i="2" s="1"/>
  <c r="G25" i="3"/>
  <c r="G13" i="6" s="1"/>
  <c r="G9" i="3"/>
  <c r="G12" i="6" s="1"/>
  <c r="G11" i="6"/>
  <c r="G34" i="3"/>
  <c r="G28" i="3"/>
  <c r="G24" i="3"/>
  <c r="F8" i="6"/>
  <c r="F32" i="2"/>
  <c r="F34" i="2" s="1"/>
  <c r="G8" i="8"/>
  <c r="H8" i="3"/>
  <c r="E9" i="3"/>
  <c r="E12" i="6" s="1"/>
  <c r="E25" i="3"/>
  <c r="E13" i="6" s="1"/>
  <c r="E11" i="2"/>
  <c r="F31" i="2"/>
  <c r="I5" i="2"/>
  <c r="H14" i="2"/>
  <c r="H8" i="2"/>
  <c r="C43" i="3"/>
  <c r="D43" i="3"/>
  <c r="D11" i="3"/>
  <c r="D20" i="3" s="1"/>
  <c r="C11" i="3"/>
  <c r="C20" i="3" s="1"/>
  <c r="C34" i="2"/>
  <c r="D34" i="2"/>
  <c r="E12" i="2" l="1"/>
  <c r="E17" i="2"/>
  <c r="F5" i="8"/>
  <c r="F11" i="8" s="1"/>
  <c r="F14" i="3"/>
  <c r="F18" i="3" s="1"/>
  <c r="H11" i="2"/>
  <c r="H12" i="2" s="1"/>
  <c r="H25" i="3"/>
  <c r="H13" i="6" s="1"/>
  <c r="H9" i="3"/>
  <c r="H12" i="6" s="1"/>
  <c r="I11" i="6"/>
  <c r="H32" i="2"/>
  <c r="H8" i="6"/>
  <c r="H8" i="8"/>
  <c r="I8" i="3"/>
  <c r="G17" i="2"/>
  <c r="G34" i="2" s="1"/>
  <c r="F13" i="6"/>
  <c r="H28" i="3"/>
  <c r="H24" i="3"/>
  <c r="H34" i="3"/>
  <c r="F12" i="6"/>
  <c r="H11" i="6"/>
  <c r="I14" i="2"/>
  <c r="I8" i="2"/>
  <c r="I11" i="2"/>
  <c r="D31" i="2"/>
  <c r="C31" i="2"/>
  <c r="I28" i="3" l="1"/>
  <c r="I34" i="3"/>
  <c r="I24" i="3"/>
  <c r="G5" i="8"/>
  <c r="G11" i="8" s="1"/>
  <c r="G14" i="3"/>
  <c r="G18" i="3" s="1"/>
  <c r="E34" i="2"/>
  <c r="E31" i="2"/>
  <c r="G31" i="2"/>
  <c r="H17" i="2"/>
  <c r="H31" i="2" s="1"/>
  <c r="I32" i="2"/>
  <c r="I8" i="6"/>
  <c r="I25" i="3"/>
  <c r="I13" i="6" s="1"/>
  <c r="I9" i="3"/>
  <c r="I12" i="6" s="1"/>
  <c r="H34" i="2"/>
  <c r="I12" i="2"/>
  <c r="I17" i="2"/>
  <c r="H5" i="8" l="1"/>
  <c r="H11" i="8" s="1"/>
  <c r="I14" i="3" s="1"/>
  <c r="I18" i="3" s="1"/>
  <c r="H14" i="3"/>
  <c r="H18" i="3" s="1"/>
  <c r="I31" i="2"/>
  <c r="I34" i="2"/>
  <c r="D29" i="3"/>
  <c r="C37" i="3"/>
  <c r="C46" i="3" s="1"/>
  <c r="C48" i="3" s="1"/>
  <c r="B15" i="7"/>
  <c r="C16" i="7" s="1"/>
  <c r="C35" i="3"/>
  <c r="D35" i="3"/>
  <c r="C15" i="7"/>
  <c r="D37" i="3" l="1"/>
  <c r="D46" i="3" s="1"/>
  <c r="D48" i="3" s="1"/>
  <c r="D15" i="7"/>
  <c r="E32" i="3" s="1"/>
  <c r="D16" i="7"/>
  <c r="E27" i="3" s="1"/>
  <c r="E29" i="3" s="1"/>
  <c r="E15" i="7" l="1"/>
  <c r="E35" i="3"/>
  <c r="E37" i="3" s="1"/>
  <c r="E16" i="7"/>
  <c r="F27" i="3" s="1"/>
  <c r="F29" i="3" s="1"/>
  <c r="D22" i="7"/>
  <c r="D23" i="7" s="1"/>
  <c r="E19" i="2" s="1"/>
  <c r="E22" i="2" s="1"/>
  <c r="E27" i="2" s="1"/>
  <c r="E22" i="7" l="1"/>
  <c r="E23" i="7" s="1"/>
  <c r="F19" i="2" s="1"/>
  <c r="F22" i="2" s="1"/>
  <c r="F27" i="2" s="1"/>
  <c r="F6" i="6" s="1"/>
  <c r="F14" i="6" s="1"/>
  <c r="F32" i="6" s="1"/>
  <c r="F32" i="3"/>
  <c r="F35" i="3" s="1"/>
  <c r="F37" i="3" s="1"/>
  <c r="E6" i="6"/>
  <c r="E14" i="6" s="1"/>
  <c r="E42" i="3"/>
  <c r="F15" i="7"/>
  <c r="G32" i="3" s="1"/>
  <c r="G35" i="3" s="1"/>
  <c r="F16" i="7"/>
  <c r="G27" i="3" s="1"/>
  <c r="G29" i="3" s="1"/>
  <c r="G37" i="3" l="1"/>
  <c r="E7" i="7"/>
  <c r="F22" i="7"/>
  <c r="F23" i="7" s="1"/>
  <c r="G19" i="2" s="1"/>
  <c r="G22" i="2" s="1"/>
  <c r="G27" i="2" s="1"/>
  <c r="G6" i="6" s="1"/>
  <c r="G14" i="6" s="1"/>
  <c r="F7" i="7" s="1"/>
  <c r="G15" i="7"/>
  <c r="H32" i="3" s="1"/>
  <c r="H35" i="3" s="1"/>
  <c r="G16" i="7"/>
  <c r="H27" i="3" s="1"/>
  <c r="H29" i="3" s="1"/>
  <c r="G22" i="7"/>
  <c r="G23" i="7" s="1"/>
  <c r="H19" i="2" s="1"/>
  <c r="H22" i="2" s="1"/>
  <c r="H27" i="2" s="1"/>
  <c r="H6" i="6" s="1"/>
  <c r="H14" i="6" s="1"/>
  <c r="G32" i="6"/>
  <c r="E43" i="3"/>
  <c r="E46" i="3" s="1"/>
  <c r="F42" i="3"/>
  <c r="E32" i="6"/>
  <c r="E34" i="6" s="1"/>
  <c r="D7" i="7"/>
  <c r="D10" i="7" s="1"/>
  <c r="E6" i="7" s="1"/>
  <c r="E10" i="7" s="1"/>
  <c r="F6" i="7" s="1"/>
  <c r="H37" i="3" l="1"/>
  <c r="F43" i="3"/>
  <c r="F46" i="3" s="1"/>
  <c r="G42" i="3"/>
  <c r="F33" i="6"/>
  <c r="F34" i="6" s="1"/>
  <c r="E7" i="3"/>
  <c r="E11" i="3" s="1"/>
  <c r="E20" i="3" s="1"/>
  <c r="E48" i="3" s="1"/>
  <c r="G7" i="7"/>
  <c r="H32" i="6"/>
  <c r="F10" i="7"/>
  <c r="G6" i="7" s="1"/>
  <c r="H15" i="7"/>
  <c r="H16" i="7"/>
  <c r="I27" i="3" s="1"/>
  <c r="I29" i="3" s="1"/>
  <c r="H22" i="7" l="1"/>
  <c r="H23" i="7" s="1"/>
  <c r="I19" i="2" s="1"/>
  <c r="I22" i="2" s="1"/>
  <c r="I27" i="2" s="1"/>
  <c r="I6" i="6" s="1"/>
  <c r="I14" i="6" s="1"/>
  <c r="I32" i="6" s="1"/>
  <c r="I32" i="3"/>
  <c r="I35" i="3" s="1"/>
  <c r="I37" i="3"/>
  <c r="F7" i="3"/>
  <c r="F11" i="3" s="1"/>
  <c r="F20" i="3" s="1"/>
  <c r="F48" i="3" s="1"/>
  <c r="G33" i="6"/>
  <c r="G34" i="6" s="1"/>
  <c r="H42" i="3"/>
  <c r="G43" i="3"/>
  <c r="G46" i="3" s="1"/>
  <c r="G10" i="7"/>
  <c r="H6" i="7" s="1"/>
  <c r="H7" i="7" l="1"/>
  <c r="H10" i="7" s="1"/>
  <c r="H43" i="3"/>
  <c r="H46" i="3" s="1"/>
  <c r="I42" i="3"/>
  <c r="I43" i="3" s="1"/>
  <c r="I46" i="3" s="1"/>
  <c r="G7" i="3"/>
  <c r="G11" i="3" s="1"/>
  <c r="G20" i="3" s="1"/>
  <c r="G48" i="3" s="1"/>
  <c r="H33" i="6"/>
  <c r="H34" i="6" s="1"/>
  <c r="I33" i="6" l="1"/>
  <c r="I34" i="6" s="1"/>
  <c r="I7" i="3" s="1"/>
  <c r="I11" i="3" s="1"/>
  <c r="I20" i="3" s="1"/>
  <c r="I48" i="3" s="1"/>
  <c r="H7" i="3"/>
  <c r="H11" i="3" s="1"/>
  <c r="H20" i="3" s="1"/>
  <c r="H48" i="3" s="1"/>
</calcChain>
</file>

<file path=xl/sharedStrings.xml><?xml version="1.0" encoding="utf-8"?>
<sst xmlns="http://schemas.openxmlformats.org/spreadsheetml/2006/main" count="171" uniqueCount="126">
  <si>
    <t xml:space="preserve">Company Name </t>
  </si>
  <si>
    <t xml:space="preserve">History </t>
  </si>
  <si>
    <t>Charts</t>
  </si>
  <si>
    <t>Sales Growth (Revenue)</t>
  </si>
  <si>
    <t>Profit Growth(GP)</t>
  </si>
  <si>
    <t>Cash flow Growth (Current Assets)</t>
  </si>
  <si>
    <t>Assets Division (Total Assets)</t>
  </si>
  <si>
    <t xml:space="preserve">COGS </t>
  </si>
  <si>
    <t>Operating Expenses</t>
  </si>
  <si>
    <t>Operating Income</t>
  </si>
  <si>
    <t>INCOME STATEMENT</t>
  </si>
  <si>
    <t>Revenue</t>
  </si>
  <si>
    <t>Growth (%)</t>
  </si>
  <si>
    <t>NA</t>
  </si>
  <si>
    <t>% of Sales</t>
  </si>
  <si>
    <t>Operating Income (EBIT)</t>
  </si>
  <si>
    <t>Interest Expense</t>
  </si>
  <si>
    <t>Income Tax Expense</t>
  </si>
  <si>
    <t>Tax Rate</t>
  </si>
  <si>
    <t>Net Income</t>
  </si>
  <si>
    <t xml:space="preserve">Depreciation </t>
  </si>
  <si>
    <t>Amortization</t>
  </si>
  <si>
    <t>EBITDA</t>
  </si>
  <si>
    <t>Gross Profit (Revenue-COGS)</t>
  </si>
  <si>
    <t>Less :Cost of Goods Sold (COGS)</t>
  </si>
  <si>
    <t>Less :Operating Expenses (SG&amp;A)</t>
  </si>
  <si>
    <t>Pretax Income(EBT)</t>
  </si>
  <si>
    <t>Less: Interest Expense</t>
  </si>
  <si>
    <t>Net Income (EAT)</t>
  </si>
  <si>
    <t>Caliculation of EBITDA- Earnings Before Interest, Tax, Depreciation, Amortization</t>
  </si>
  <si>
    <t>ASSETS</t>
  </si>
  <si>
    <t>Current Assets</t>
  </si>
  <si>
    <t>Inventory</t>
  </si>
  <si>
    <t>Current Liabilities</t>
  </si>
  <si>
    <t>Accounts Payable</t>
  </si>
  <si>
    <t>Line of Credit</t>
  </si>
  <si>
    <t>Current Maturities of Long Term Debt</t>
  </si>
  <si>
    <t>Long Term Debt, Net of Current Maturities</t>
  </si>
  <si>
    <t>EQUITY</t>
  </si>
  <si>
    <t>Common Stock</t>
  </si>
  <si>
    <t>TOTAL EQUITY</t>
  </si>
  <si>
    <t>TOTAL LIABILITIES &amp; EQUITY</t>
  </si>
  <si>
    <t>Add:Accounts Receivable</t>
  </si>
  <si>
    <t>Add:Inventory</t>
  </si>
  <si>
    <t>Add:Prepaid Expenses</t>
  </si>
  <si>
    <t>Total Current Assets (TCA)</t>
  </si>
  <si>
    <t xml:space="preserve"> Cash</t>
  </si>
  <si>
    <t>Total Current Liabilities (TCL)</t>
  </si>
  <si>
    <t>Add: Retained Earnings</t>
  </si>
  <si>
    <t>Add:Additional Paid In Capital</t>
  </si>
  <si>
    <t>Historical</t>
  </si>
  <si>
    <t>Projected</t>
  </si>
  <si>
    <t>BALANCE SHEET ASSUMPTIONS</t>
  </si>
  <si>
    <t>CASH FLOW FROM OPERATING ACTIVITIES</t>
  </si>
  <si>
    <t>Add Back Non-Cash Items</t>
  </si>
  <si>
    <t>Changes in Working Capital</t>
  </si>
  <si>
    <t>CASH FLOW FROM INVESTING ACTIVITIES</t>
  </si>
  <si>
    <t>CASH FLOW FROM FINANCING ACTIVITIES</t>
  </si>
  <si>
    <t>Net Cash Flow</t>
  </si>
  <si>
    <t>Cash Balance @ Beg of Year (End of Last Year)</t>
  </si>
  <si>
    <t>Plus: Free Cash Flow from Operations and Investing</t>
  </si>
  <si>
    <t>Plus: Free Cash Flow from Financing (BEFORE L.O.C.)</t>
  </si>
  <si>
    <t>Less: Minimum Cash Balance</t>
  </si>
  <si>
    <t>Total Cash Available or (Required) from L.O.C.</t>
  </si>
  <si>
    <t>Debt</t>
  </si>
  <si>
    <t>Current Portion of Long Term Debt</t>
  </si>
  <si>
    <t>Interest Rate on Long Term Debt</t>
  </si>
  <si>
    <t>Interest Rate on Line of Credit</t>
  </si>
  <si>
    <t>Interest Expense on Long Term Debt</t>
  </si>
  <si>
    <t>Interest Expense on Line of Credit</t>
  </si>
  <si>
    <t>Total Interest Expense</t>
  </si>
  <si>
    <t>PP&amp;E SCHEDULE</t>
  </si>
  <si>
    <t>Beg: PP&amp;E, Net of Accum. Depreciation</t>
  </si>
  <si>
    <t>Plus: Capital Expenditures</t>
  </si>
  <si>
    <t>Less: Depreciation</t>
  </si>
  <si>
    <t>Depreciation as % of Revenues</t>
  </si>
  <si>
    <t>End: PP&amp;E, Net of Accum. Depreciation</t>
  </si>
  <si>
    <t xml:space="preserve">Accounts Receivable </t>
  </si>
  <si>
    <t xml:space="preserve">add: Interest Income </t>
  </si>
  <si>
    <t xml:space="preserve">add: Depreciation </t>
  </si>
  <si>
    <t>add: Amortization</t>
  </si>
  <si>
    <t>Capital Work in Progress</t>
  </si>
  <si>
    <t>Investments</t>
  </si>
  <si>
    <t>Other Assets</t>
  </si>
  <si>
    <t xml:space="preserve">short term borrowing </t>
  </si>
  <si>
    <t>Other Current Liabilities:</t>
  </si>
  <si>
    <t>Long-Term Debt:</t>
  </si>
  <si>
    <t xml:space="preserve">non controling interest </t>
  </si>
  <si>
    <t>Other Long-Term Liabilities:</t>
  </si>
  <si>
    <t>Total Non-Current Liabilities:</t>
  </si>
  <si>
    <t>Total Liabilities:</t>
  </si>
  <si>
    <t>Non-Current Assets:</t>
  </si>
  <si>
    <t xml:space="preserve">Fixed Aseets Net Block </t>
  </si>
  <si>
    <t>Total Non-Current Assets:</t>
  </si>
  <si>
    <t>Total asset</t>
  </si>
  <si>
    <t>Check (Total Assets=Total Liabilities&amp; Equity)</t>
  </si>
  <si>
    <t xml:space="preserve">BALANCESHEET </t>
  </si>
  <si>
    <t xml:space="preserve"> LIABILITIES &amp; EQUITY</t>
  </si>
  <si>
    <t xml:space="preserve"> Non-Current Liabilities:</t>
  </si>
  <si>
    <t xml:space="preserve">Inventory Days </t>
  </si>
  <si>
    <t xml:space="preserve">Account Receivable Days </t>
  </si>
  <si>
    <t xml:space="preserve">Accounts Payable Days </t>
  </si>
  <si>
    <t xml:space="preserve"> Line of Credit</t>
  </si>
  <si>
    <t>Accrued Expenses % SG&amp;A:</t>
  </si>
  <si>
    <t>Other Current Liabilities % SG&amp;A:</t>
  </si>
  <si>
    <t>Other Long-Term Liabilities % SG&amp;A:</t>
  </si>
  <si>
    <t xml:space="preserve">CASH FLOW STATEMENT </t>
  </si>
  <si>
    <t>Net Cash Provided by Operating ActivitiY)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</si>
  <si>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</si>
  <si>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</si>
  <si>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</si>
  <si>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</si>
  <si>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</si>
  <si>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</si>
  <si>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Share application money</t>
  </si>
  <si>
    <t>Other financing items</t>
  </si>
  <si>
    <t xml:space="preserve">Capital expenditure </t>
  </si>
  <si>
    <t xml:space="preserve">Net Cash flow by Investment Activities </t>
  </si>
  <si>
    <t xml:space="preserve">other investment items </t>
  </si>
  <si>
    <t xml:space="preserve">Net Cash flow byFinancing Activities </t>
  </si>
  <si>
    <t>Beginning Cah Flow</t>
  </si>
  <si>
    <t xml:space="preserve">Ending Cash Flow </t>
  </si>
  <si>
    <t xml:space="preserve">DEBT SECHEDULE </t>
  </si>
  <si>
    <t>Reliance Industries Ltd</t>
  </si>
  <si>
    <t>Reliance Industries Limited is an Indian multinational conglomerate headquartered in Mumbai. Its businesses include energy, petrochemicals, natural gas, retail, telecommunications, mass media, entertainment, and textiles. </t>
  </si>
  <si>
    <t xml:space="preserve">Long Term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</si>
</sst>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);[Red]\(#,##0.0\)"/>
    <numFmt numFmtId="165" formatCode="_(* #,##0.0_);_(* \(#,##0.0\);_(* &quot;-&quot;?_);_(@_)"/>
    <numFmt numFmtId="166" formatCode="0.00_);\(0.00\)"/>
    <numFmt numFmtId="167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2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FCC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38" fontId="0" fillId="4" borderId="0" xfId="0" applyNumberForma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1" fillId="4" borderId="0" xfId="0" applyFont="1" applyFill="1"/>
    <xf numFmtId="0" fontId="6" fillId="4" borderId="0" xfId="0" applyFont="1" applyFill="1" applyAlignment="1">
      <alignment horizontal="left" indent="1"/>
    </xf>
    <xf numFmtId="165" fontId="6" fillId="4" borderId="0" xfId="0" applyNumberFormat="1" applyFont="1" applyFill="1" applyAlignment="1">
      <alignment horizontal="right"/>
    </xf>
    <xf numFmtId="10" fontId="6" fillId="4" borderId="0" xfId="0" applyNumberFormat="1" applyFont="1" applyFill="1"/>
    <xf numFmtId="0" fontId="7" fillId="4" borderId="0" xfId="0" applyFont="1" applyFill="1" applyAlignment="1">
      <alignment horizontal="left" indent="1"/>
    </xf>
    <xf numFmtId="10" fontId="7" fillId="4" borderId="0" xfId="0" applyNumberFormat="1" applyFont="1" applyFill="1"/>
    <xf numFmtId="40" fontId="8" fillId="4" borderId="0" xfId="0" applyNumberFormat="1" applyFont="1" applyFill="1"/>
    <xf numFmtId="166" fontId="8" fillId="0" borderId="0" xfId="0" applyNumberFormat="1" applyFont="1"/>
    <xf numFmtId="0" fontId="1" fillId="4" borderId="3" xfId="0" applyFont="1" applyFill="1" applyBorder="1"/>
    <xf numFmtId="10" fontId="6" fillId="6" borderId="0" xfId="0" applyNumberFormat="1" applyFont="1" applyFill="1"/>
    <xf numFmtId="10" fontId="7" fillId="6" borderId="0" xfId="0" applyNumberFormat="1" applyFont="1" applyFill="1"/>
    <xf numFmtId="0" fontId="0" fillId="6" borderId="0" xfId="0" applyFill="1"/>
    <xf numFmtId="10" fontId="7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0" fillId="4" borderId="0" xfId="0" applyFill="1" applyAlignment="1">
      <alignment horizontal="left" indent="1"/>
    </xf>
    <xf numFmtId="167" fontId="5" fillId="0" borderId="0" xfId="3" applyFont="1" applyBorder="1"/>
    <xf numFmtId="0" fontId="12" fillId="4" borderId="0" xfId="0" applyFont="1" applyFill="1"/>
    <xf numFmtId="0" fontId="1" fillId="4" borderId="0" xfId="0" applyFont="1" applyFill="1" applyAlignment="1">
      <alignment horizontal="left" indent="1"/>
    </xf>
    <xf numFmtId="2" fontId="0" fillId="4" borderId="0" xfId="0" applyNumberFormat="1" applyFill="1"/>
    <xf numFmtId="0" fontId="4" fillId="5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38" fontId="0" fillId="4" borderId="0" xfId="0" applyNumberFormat="1" applyFill="1" applyAlignment="1">
      <alignment horizontal="right"/>
    </xf>
    <xf numFmtId="0" fontId="8" fillId="0" borderId="0" xfId="0" applyFont="1" applyAlignment="1">
      <alignment horizontal="right"/>
    </xf>
    <xf numFmtId="38" fontId="8" fillId="4" borderId="0" xfId="0" applyNumberFormat="1" applyFont="1" applyFill="1" applyAlignment="1">
      <alignment horizontal="right"/>
    </xf>
    <xf numFmtId="38" fontId="9" fillId="4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0" fontId="4" fillId="5" borderId="0" xfId="0" applyFont="1" applyFill="1" applyAlignment="1">
      <alignment horizontal="left"/>
    </xf>
    <xf numFmtId="165" fontId="8" fillId="4" borderId="0" xfId="0" applyNumberFormat="1" applyFont="1" applyFill="1" applyAlignment="1">
      <alignment horizontal="right"/>
    </xf>
    <xf numFmtId="2" fontId="0" fillId="4" borderId="0" xfId="2" applyNumberFormat="1" applyFont="1" applyFill="1"/>
    <xf numFmtId="0" fontId="0" fillId="2" borderId="4" xfId="0" applyFill="1" applyBorder="1" applyAlignment="1">
      <alignment horizontal="center"/>
    </xf>
    <xf numFmtId="2" fontId="0" fillId="6" borderId="0" xfId="0" applyNumberFormat="1" applyFill="1" applyAlignment="1">
      <alignment horizontal="right"/>
    </xf>
    <xf numFmtId="2" fontId="0" fillId="6" borderId="0" xfId="0" applyNumberFormat="1" applyFill="1"/>
    <xf numFmtId="2" fontId="0" fillId="0" borderId="0" xfId="0" applyNumberFormat="1"/>
    <xf numFmtId="0" fontId="1" fillId="4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40" fontId="1" fillId="4" borderId="3" xfId="0" applyNumberFormat="1" applyFont="1" applyFill="1" applyBorder="1" applyAlignment="1">
      <alignment horizontal="right"/>
    </xf>
    <xf numFmtId="40" fontId="0" fillId="4" borderId="0" xfId="0" applyNumberFormat="1" applyFill="1"/>
    <xf numFmtId="40" fontId="5" fillId="0" borderId="0" xfId="1" applyNumberFormat="1" applyFont="1" applyAlignment="1">
      <alignment horizontal="right"/>
    </xf>
    <xf numFmtId="39" fontId="0" fillId="4" borderId="0" xfId="0" applyNumberFormat="1" applyFill="1" applyAlignment="1">
      <alignment horizontal="right"/>
    </xf>
    <xf numFmtId="39" fontId="8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39" fontId="0" fillId="0" borderId="0" xfId="0" applyNumberFormat="1"/>
    <xf numFmtId="165" fontId="0" fillId="0" borderId="0" xfId="0" applyNumberFormat="1"/>
    <xf numFmtId="9" fontId="0" fillId="6" borderId="0" xfId="0" applyNumberFormat="1" applyFill="1"/>
    <xf numFmtId="2" fontId="1" fillId="0" borderId="2" xfId="0" applyNumberFormat="1" applyFont="1" applyBorder="1"/>
    <xf numFmtId="0" fontId="11" fillId="4" borderId="0" xfId="0" applyFont="1" applyFill="1"/>
    <xf numFmtId="39" fontId="1" fillId="0" borderId="2" xfId="0" applyNumberFormat="1" applyFont="1" applyBorder="1"/>
    <xf numFmtId="2" fontId="0" fillId="3" borderId="0" xfId="0" applyNumberFormat="1" applyFill="1"/>
    <xf numFmtId="40" fontId="0" fillId="0" borderId="0" xfId="0" applyNumberFormat="1"/>
    <xf numFmtId="2" fontId="8" fillId="0" borderId="0" xfId="0" applyNumberFormat="1" applyFont="1"/>
    <xf numFmtId="2" fontId="9" fillId="4" borderId="1" xfId="0" applyNumberFormat="1" applyFont="1" applyFill="1" applyBorder="1"/>
    <xf numFmtId="2" fontId="1" fillId="4" borderId="1" xfId="0" applyNumberFormat="1" applyFont="1" applyFill="1" applyBorder="1"/>
    <xf numFmtId="2" fontId="10" fillId="0" borderId="0" xfId="1" applyNumberFormat="1" applyFont="1"/>
    <xf numFmtId="2" fontId="9" fillId="4" borderId="3" xfId="0" applyNumberFormat="1" applyFont="1" applyFill="1" applyBorder="1"/>
    <xf numFmtId="2" fontId="1" fillId="4" borderId="3" xfId="0" applyNumberFormat="1" applyFont="1" applyFill="1" applyBorder="1"/>
    <xf numFmtId="2" fontId="10" fillId="0" borderId="0" xfId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4" borderId="0" xfId="0" applyNumberFormat="1" applyFont="1" applyFill="1" applyAlignment="1">
      <alignment horizontal="right"/>
    </xf>
    <xf numFmtId="2" fontId="9" fillId="4" borderId="3" xfId="0" applyNumberFormat="1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2" fontId="8" fillId="3" borderId="0" xfId="0" applyNumberFormat="1" applyFont="1" applyFill="1"/>
    <xf numFmtId="40" fontId="9" fillId="4" borderId="0" xfId="0" applyNumberFormat="1" applyFont="1" applyFill="1" applyAlignment="1">
      <alignment horizontal="right"/>
    </xf>
    <xf numFmtId="40" fontId="1" fillId="4" borderId="0" xfId="0" applyNumberFormat="1" applyFont="1" applyFill="1" applyAlignment="1">
      <alignment horizontal="right"/>
    </xf>
    <xf numFmtId="40" fontId="8" fillId="4" borderId="0" xfId="0" applyNumberFormat="1" applyFont="1" applyFill="1" applyAlignment="1">
      <alignment horizontal="right"/>
    </xf>
    <xf numFmtId="40" fontId="10" fillId="0" borderId="0" xfId="1" applyNumberFormat="1" applyFont="1" applyAlignment="1">
      <alignment horizontal="right"/>
    </xf>
    <xf numFmtId="40" fontId="9" fillId="4" borderId="3" xfId="0" applyNumberFormat="1" applyFont="1" applyFill="1" applyBorder="1" applyAlignment="1">
      <alignment horizontal="right"/>
    </xf>
    <xf numFmtId="2" fontId="0" fillId="6" borderId="0" xfId="2" applyNumberFormat="1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39" fontId="9" fillId="4" borderId="3" xfId="0" applyNumberFormat="1" applyFont="1" applyFill="1" applyBorder="1" applyAlignment="1">
      <alignment horizontal="right"/>
    </xf>
    <xf numFmtId="39" fontId="1" fillId="4" borderId="3" xfId="0" applyNumberFormat="1" applyFont="1" applyFill="1" applyBorder="1" applyAlignment="1">
      <alignment horizontal="right"/>
    </xf>
    <xf numFmtId="165" fontId="9" fillId="4" borderId="3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15" fillId="5" borderId="0" xfId="0" applyFont="1" applyFill="1" applyAlignment="1">
      <alignment horizontal="center"/>
    </xf>
  </cellXfs>
  <cellStyles count="4">
    <cellStyle name="Comma 2" xfId="3" xr:uid="{A31A553E-596A-42AB-A629-0F304E0F8E69}"/>
    <cellStyle name="Normal" xfId="0" builtinId="0"/>
    <cellStyle name="Normal 3" xfId="1" xr:uid="{B1B2BAB4-16BC-466C-AEDB-1E382C13A388}"/>
    <cellStyle name="Per cent" xfId="2" builtinId="5"/>
  </cellStyles>
  <dxfs count="0"/>
  <tableStyles count="0" defaultTableStyle="TableStyleMedium2" defaultPivotStyle="PivotStyleLight16"/>
  <colors>
    <mruColors>
      <color rgb="FF0000FF"/>
      <color rgb="FFDFCCF8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'!$C$5:$I$5</c:f>
              <c:numCache>
                <c:formatCode>#,##0.00_);[Red]\(#,##0.00\)</c:formatCode>
                <c:ptCount val="7"/>
                <c:pt idx="0">
                  <c:v>698672</c:v>
                </c:pt>
                <c:pt idx="1">
                  <c:v>876396</c:v>
                </c:pt>
                <c:pt idx="2">
                  <c:v>1051675.2</c:v>
                </c:pt>
                <c:pt idx="3">
                  <c:v>1262010.24</c:v>
                </c:pt>
                <c:pt idx="4">
                  <c:v>1514412.2879999999</c:v>
                </c:pt>
                <c:pt idx="5">
                  <c:v>1817294.7455999998</c:v>
                </c:pt>
                <c:pt idx="6">
                  <c:v>2180753.6947199996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F-4215-81E0-2AC2DD58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62904"/>
        <c:axId val="531562552"/>
      </c:lineChart>
      <c:catAx>
        <c:axId val="5315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2552"/>
        <c:crosses val="autoZero"/>
        <c:auto val="1"/>
        <c:lblAlgn val="ctr"/>
        <c:lblOffset val="100"/>
        <c:noMultiLvlLbl val="0"/>
      </c:catAx>
      <c:valAx>
        <c:axId val="5315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 '!$C$27:$I$27</c:f>
              <c:numCache>
                <c:formatCode>0.00</c:formatCode>
                <c:ptCount val="7"/>
                <c:pt idx="0">
                  <c:v>54728</c:v>
                </c:pt>
                <c:pt idx="1">
                  <c:v>53865</c:v>
                </c:pt>
                <c:pt idx="2">
                  <c:v>95423.006520438837</c:v>
                </c:pt>
                <c:pt idx="3">
                  <c:v>118410.86611226339</c:v>
                </c:pt>
                <c:pt idx="4">
                  <c:v>146465.52052207396</c:v>
                </c:pt>
                <c:pt idx="5">
                  <c:v>176080.28511207402</c:v>
                </c:pt>
                <c:pt idx="6">
                  <c:v>212052.86563263749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B-4A31-A5E0-023CBA43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15224"/>
        <c:axId val="532616632"/>
      </c:barChart>
      <c:catAx>
        <c:axId val="5326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16632"/>
        <c:crosses val="autoZero"/>
        <c:auto val="1"/>
        <c:lblAlgn val="ctr"/>
        <c:lblOffset val="100"/>
        <c:noMultiLvlLbl val="0"/>
      </c:catAx>
      <c:valAx>
        <c:axId val="5326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'balances sheet'!$C$29:$I$29</c:f>
              <c:numCache>
                <c:formatCode>0.00</c:formatCode>
                <c:ptCount val="7"/>
                <c:pt idx="0">
                  <c:v>369086</c:v>
                </c:pt>
                <c:pt idx="1">
                  <c:v>456127</c:v>
                </c:pt>
                <c:pt idx="2">
                  <c:v>582365.81155974907</c:v>
                </c:pt>
                <c:pt idx="3">
                  <c:v>687814.2707896491</c:v>
                </c:pt>
                <c:pt idx="4">
                  <c:v>818776.82495294861</c:v>
                </c:pt>
                <c:pt idx="5">
                  <c:v>973855.03338715842</c:v>
                </c:pt>
                <c:pt idx="6">
                  <c:v>1162503.5982524706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A-4711-85E0-F5197742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71288"/>
        <c:axId val="512373752"/>
      </c:lineChart>
      <c:catAx>
        <c:axId val="51237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3752"/>
        <c:crosses val="autoZero"/>
        <c:auto val="1"/>
        <c:lblAlgn val="ctr"/>
        <c:lblOffset val="100"/>
        <c:noMultiLvlLbl val="0"/>
      </c:catAx>
      <c:valAx>
        <c:axId val="5123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'balances sheet'!$C$11:$I$11</c:f>
              <c:numCache>
                <c:formatCode>0.00</c:formatCode>
                <c:ptCount val="7"/>
                <c:pt idx="0">
                  <c:v>167596</c:v>
                </c:pt>
                <c:pt idx="1">
                  <c:v>237120</c:v>
                </c:pt>
                <c:pt idx="2">
                  <c:v>394299.59224999533</c:v>
                </c:pt>
                <c:pt idx="3">
                  <c:v>477594.97286582529</c:v>
                </c:pt>
                <c:pt idx="4">
                  <c:v>616680.37291164196</c:v>
                </c:pt>
                <c:pt idx="5">
                  <c:v>746903.7214406759</c:v>
                </c:pt>
                <c:pt idx="6">
                  <c:v>916064.90036644065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4F04-8DFE-76659049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97976"/>
        <c:axId val="534099384"/>
      </c:lineChart>
      <c:catAx>
        <c:axId val="5340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9384"/>
        <c:crosses val="autoZero"/>
        <c:auto val="1"/>
        <c:lblAlgn val="ctr"/>
        <c:lblOffset val="100"/>
        <c:noMultiLvlLbl val="0"/>
      </c:catAx>
      <c:valAx>
        <c:axId val="5340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'!$C$11:$I$11</c:f>
              <c:numCache>
                <c:formatCode>0.00</c:formatCode>
                <c:ptCount val="7"/>
                <c:pt idx="0">
                  <c:v>131995</c:v>
                </c:pt>
                <c:pt idx="1">
                  <c:v>157795</c:v>
                </c:pt>
                <c:pt idx="2">
                  <c:v>194019.65866100264</c:v>
                </c:pt>
                <c:pt idx="3">
                  <c:v>230024.19519660168</c:v>
                </c:pt>
                <c:pt idx="4">
                  <c:v>277708.67135388288</c:v>
                </c:pt>
                <c:pt idx="5">
                  <c:v>332242.62335388293</c:v>
                </c:pt>
                <c:pt idx="6">
                  <c:v>399295.81738712522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2-4C25-A682-F16082E7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72056"/>
        <c:axId val="531569944"/>
      </c:lineChart>
      <c:catAx>
        <c:axId val="53157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9944"/>
        <c:crosses val="autoZero"/>
        <c:auto val="1"/>
        <c:lblAlgn val="ctr"/>
        <c:lblOffset val="100"/>
        <c:noMultiLvlLbl val="0"/>
      </c:catAx>
      <c:valAx>
        <c:axId val="5315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'!$C$14:$I$14</c:f>
              <c:numCache>
                <c:formatCode>0.00</c:formatCode>
                <c:ptCount val="7"/>
                <c:pt idx="0">
                  <c:v>64314</c:v>
                </c:pt>
                <c:pt idx="1">
                  <c:v>76003</c:v>
                </c:pt>
                <c:pt idx="2">
                  <c:v>94006.086140563799</c:v>
                </c:pt>
                <c:pt idx="3">
                  <c:v>111125.81168433829</c:v>
                </c:pt>
                <c:pt idx="4">
                  <c:v>134359.86903180889</c:v>
                </c:pt>
                <c:pt idx="5">
                  <c:v>160626.5058318089</c:v>
                </c:pt>
                <c:pt idx="6">
                  <c:v>193115.00920198773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9-49B5-AB97-358D265A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05928"/>
        <c:axId val="594506632"/>
      </c:lineChart>
      <c:catAx>
        <c:axId val="59450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6632"/>
        <c:crosses val="autoZero"/>
        <c:auto val="1"/>
        <c:lblAlgn val="ctr"/>
        <c:lblOffset val="100"/>
        <c:noMultiLvlLbl val="0"/>
      </c:catAx>
      <c:valAx>
        <c:axId val="5945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'!$C$17:$I$17</c:f>
              <c:numCache>
                <c:formatCode>0.00</c:formatCode>
                <c:ptCount val="7"/>
                <c:pt idx="0">
                  <c:v>67681</c:v>
                </c:pt>
                <c:pt idx="1">
                  <c:v>81792</c:v>
                </c:pt>
                <c:pt idx="2">
                  <c:v>100013.57252043884</c:v>
                </c:pt>
                <c:pt idx="3">
                  <c:v>118898.38351226339</c:v>
                </c:pt>
                <c:pt idx="4">
                  <c:v>143348.80232207399</c:v>
                </c:pt>
                <c:pt idx="5">
                  <c:v>171616.11752207403</c:v>
                </c:pt>
                <c:pt idx="6">
                  <c:v>206180.80818513749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E-4A8B-8588-C14B3D4D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1064"/>
        <c:axId val="594522120"/>
      </c:lineChart>
      <c:catAx>
        <c:axId val="5945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2120"/>
        <c:crosses val="autoZero"/>
        <c:auto val="1"/>
        <c:lblAlgn val="ctr"/>
        <c:lblOffset val="100"/>
        <c:noMultiLvlLbl val="0"/>
      </c:catAx>
      <c:valAx>
        <c:axId val="5945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'balances sheet'!$C$32:$I$32</c:f>
              <c:numCache>
                <c:formatCode>0.00</c:formatCode>
                <c:ptCount val="7"/>
                <c:pt idx="0">
                  <c:v>224883</c:v>
                </c:pt>
                <c:pt idx="1">
                  <c:v>296023</c:v>
                </c:pt>
                <c:pt idx="2">
                  <c:v>273534.7</c:v>
                </c:pt>
                <c:pt idx="3">
                  <c:v>243932.40000000002</c:v>
                </c:pt>
                <c:pt idx="4">
                  <c:v>216578.93000000002</c:v>
                </c:pt>
                <c:pt idx="5">
                  <c:v>192185.69</c:v>
                </c:pt>
                <c:pt idx="6">
                  <c:v>170527.79699999999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026-9F87-D2B02DDC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20856"/>
        <c:axId val="532622616"/>
      </c:barChart>
      <c:catAx>
        <c:axId val="53262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2616"/>
        <c:crosses val="autoZero"/>
        <c:auto val="1"/>
        <c:lblAlgn val="ctr"/>
        <c:lblOffset val="100"/>
        <c:noMultiLvlLbl val="0"/>
      </c:catAx>
      <c:valAx>
        <c:axId val="5326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4572000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26A21-0117-402D-8916-2CEB8F56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20</xdr:row>
      <xdr:rowOff>15240</xdr:rowOff>
    </xdr:from>
    <xdr:to>
      <xdr:col>1</xdr:col>
      <xdr:colOff>4640580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71317-2523-4E3A-8FEE-6B0EEE00C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160020</xdr:colOff>
      <xdr:row>32</xdr:row>
      <xdr:rowOff>60960</xdr:rowOff>
    </xdr:from>
    <xdr:to>
      <xdr:col>1</xdr:col>
      <xdr:colOff>4732020</xdr:colOff>
      <xdr:row>44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660BF-EDD6-4D97-9546-01BBF5ED9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144780</xdr:colOff>
      <xdr:row>46</xdr:row>
      <xdr:rowOff>91440</xdr:rowOff>
    </xdr:from>
    <xdr:to>
      <xdr:col>1</xdr:col>
      <xdr:colOff>4853940</xdr:colOff>
      <xdr:row>56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4CEF7-A906-4F95-BF15-A567159C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</xdr:col>
      <xdr:colOff>4572000</xdr:colOff>
      <xdr:row>68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B4F84-A1C6-41A2-9442-312DB7B53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220980</xdr:colOff>
      <xdr:row>70</xdr:row>
      <xdr:rowOff>106680</xdr:rowOff>
    </xdr:from>
    <xdr:to>
      <xdr:col>1</xdr:col>
      <xdr:colOff>4792980</xdr:colOff>
      <xdr:row>82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D9593D-9D6E-4B58-8470-EF7DC7C1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289560</xdr:colOff>
      <xdr:row>85</xdr:row>
      <xdr:rowOff>144780</xdr:rowOff>
    </xdr:from>
    <xdr:to>
      <xdr:col>1</xdr:col>
      <xdr:colOff>4861560</xdr:colOff>
      <xdr:row>98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B39EC1-DA8C-4D63-880A-6C5DDB53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327660</xdr:colOff>
      <xdr:row>99</xdr:row>
      <xdr:rowOff>167640</xdr:rowOff>
    </xdr:from>
    <xdr:to>
      <xdr:col>1</xdr:col>
      <xdr:colOff>4899660</xdr:colOff>
      <xdr:row>114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A1F075-825D-411A-9EA1-F67BC65B3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4473-25C3-4163-A4F3-47E61389210D}">
  <dimension ref="A1:B1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30.1640625" bestFit="1" customWidth="1"/>
    <col min="2" max="2" width="102.83203125" customWidth="1"/>
  </cols>
  <sheetData>
    <row r="1" spans="1:2" ht="16" x14ac:dyDescent="0.2">
      <c r="A1" s="1" t="s">
        <v>0</v>
      </c>
      <c r="B1" s="84" t="s">
        <v>123</v>
      </c>
    </row>
    <row r="3" spans="1:2" ht="32" x14ac:dyDescent="0.2">
      <c r="A3" s="83" t="s">
        <v>1</v>
      </c>
      <c r="B3" s="85" t="s">
        <v>124</v>
      </c>
    </row>
    <row r="6" spans="1:2" x14ac:dyDescent="0.2">
      <c r="A6" s="8" t="s">
        <v>2</v>
      </c>
    </row>
    <row r="8" spans="1:2" x14ac:dyDescent="0.2">
      <c r="A8" s="1" t="s">
        <v>3</v>
      </c>
    </row>
    <row r="16" spans="1:2" x14ac:dyDescent="0.2">
      <c r="A16" s="1"/>
    </row>
    <row r="21" spans="1:1" x14ac:dyDescent="0.2">
      <c r="A21" s="1" t="s">
        <v>4</v>
      </c>
    </row>
    <row r="33" spans="1:1" x14ac:dyDescent="0.2">
      <c r="A33" s="1" t="s">
        <v>5</v>
      </c>
    </row>
    <row r="47" spans="1:1" x14ac:dyDescent="0.2">
      <c r="A47" s="1" t="s">
        <v>6</v>
      </c>
    </row>
    <row r="51" spans="1:1" x14ac:dyDescent="0.2">
      <c r="A51" s="1"/>
    </row>
    <row r="59" spans="1:1" x14ac:dyDescent="0.2">
      <c r="A59" s="1" t="s">
        <v>7</v>
      </c>
    </row>
    <row r="71" spans="1:1" x14ac:dyDescent="0.2">
      <c r="A71" s="1" t="s">
        <v>8</v>
      </c>
    </row>
    <row r="87" spans="1:1" x14ac:dyDescent="0.2">
      <c r="A87" s="1" t="s">
        <v>9</v>
      </c>
    </row>
    <row r="100" spans="1:1" x14ac:dyDescent="0.2">
      <c r="A100" s="1" t="s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55C-7B8B-4071-878A-979F944C165A}">
  <sheetPr>
    <tabColor theme="4" tint="-0.249977111117893"/>
  </sheetPr>
  <dimension ref="B2:I34"/>
  <sheetViews>
    <sheetView showGridLines="0" workbookViewId="0">
      <pane ySplit="4" topLeftCell="A10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34.1640625" style="5" bestFit="1" customWidth="1"/>
    <col min="3" max="4" width="12.83203125" style="5" customWidth="1"/>
    <col min="5" max="5" width="11.83203125" style="5" customWidth="1"/>
    <col min="6" max="6" width="13.1640625" style="5" bestFit="1" customWidth="1"/>
    <col min="7" max="7" width="12" style="5" bestFit="1" customWidth="1"/>
    <col min="8" max="9" width="12" bestFit="1" customWidth="1"/>
  </cols>
  <sheetData>
    <row r="2" spans="2:9" ht="21" x14ac:dyDescent="0.25">
      <c r="B2" s="87" t="s">
        <v>123</v>
      </c>
      <c r="C2" s="87"/>
      <c r="D2" s="87"/>
      <c r="E2" s="87"/>
      <c r="F2" s="87"/>
      <c r="G2" s="87"/>
      <c r="H2" s="87"/>
      <c r="I2" s="87"/>
    </row>
    <row r="3" spans="2:9" x14ac:dyDescent="0.2">
      <c r="B3" s="38"/>
      <c r="C3" s="9" t="s">
        <v>50</v>
      </c>
      <c r="D3" s="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9" x14ac:dyDescent="0.2">
      <c r="B4" s="8" t="s">
        <v>10</v>
      </c>
      <c r="C4" s="9">
        <v>2022</v>
      </c>
      <c r="D4" s="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5" t="s">
        <v>11</v>
      </c>
      <c r="C5" s="16">
        <v>698672</v>
      </c>
      <c r="D5" s="16">
        <v>876396</v>
      </c>
      <c r="E5" s="48">
        <f>D5*(1+E6)</f>
        <v>1051675.2</v>
      </c>
      <c r="F5" s="48">
        <f t="shared" ref="F5:I5" si="1">E5*(1+F6)</f>
        <v>1262010.24</v>
      </c>
      <c r="G5" s="48">
        <f t="shared" si="1"/>
        <v>1514412.2879999999</v>
      </c>
      <c r="H5" s="48">
        <f t="shared" si="1"/>
        <v>1817294.7455999998</v>
      </c>
      <c r="I5" s="48">
        <f t="shared" si="1"/>
        <v>2180753.6947199996</v>
      </c>
    </row>
    <row r="6" spans="2:9" s="2" customFormat="1" x14ac:dyDescent="0.2">
      <c r="B6" s="11" t="s">
        <v>12</v>
      </c>
      <c r="C6" s="12">
        <v>0</v>
      </c>
      <c r="D6" s="13">
        <f>D5/C5-1</f>
        <v>0.25437401241211899</v>
      </c>
      <c r="E6" s="19">
        <v>0.2</v>
      </c>
      <c r="F6" s="19">
        <v>0.2</v>
      </c>
      <c r="G6" s="19">
        <v>0.2</v>
      </c>
      <c r="H6" s="19">
        <v>0.2</v>
      </c>
      <c r="I6" s="19">
        <v>0.2</v>
      </c>
    </row>
    <row r="7" spans="2:9" x14ac:dyDescent="0.2">
      <c r="C7" s="7"/>
      <c r="D7" s="7"/>
    </row>
    <row r="8" spans="2:9" x14ac:dyDescent="0.2">
      <c r="B8" s="5" t="s">
        <v>24</v>
      </c>
      <c r="C8" s="16">
        <v>566677</v>
      </c>
      <c r="D8" s="16">
        <v>718601</v>
      </c>
      <c r="E8" s="28">
        <f>E5*E9</f>
        <v>857655.54133899731</v>
      </c>
      <c r="F8" s="28">
        <f t="shared" ref="F8:I8" si="2">F5*F9</f>
        <v>1031986.0448033983</v>
      </c>
      <c r="G8" s="28">
        <f t="shared" si="2"/>
        <v>1236703.6166461171</v>
      </c>
      <c r="H8" s="28">
        <f t="shared" si="2"/>
        <v>1485052.1222461169</v>
      </c>
      <c r="I8" s="28">
        <f t="shared" si="2"/>
        <v>1781457.8773328743</v>
      </c>
    </row>
    <row r="9" spans="2:9" s="2" customFormat="1" x14ac:dyDescent="0.2">
      <c r="B9" s="14" t="s">
        <v>14</v>
      </c>
      <c r="C9" s="15">
        <f>C8/C5</f>
        <v>0.8110773009366341</v>
      </c>
      <c r="D9" s="15">
        <f t="shared" ref="D9" si="3">D8/D5</f>
        <v>0.81995011387546268</v>
      </c>
      <c r="E9" s="20">
        <f>(C9+D9)/2</f>
        <v>0.81551370740604834</v>
      </c>
      <c r="F9" s="20">
        <f t="shared" ref="F9:I9" si="4">(D9+E9)/2</f>
        <v>0.81773191064075545</v>
      </c>
      <c r="G9" s="20">
        <f t="shared" si="4"/>
        <v>0.8166228090234019</v>
      </c>
      <c r="H9" s="20">
        <f t="shared" si="4"/>
        <v>0.81717735983207862</v>
      </c>
      <c r="I9" s="20">
        <f t="shared" si="4"/>
        <v>0.81690008442774031</v>
      </c>
    </row>
    <row r="10" spans="2:9" x14ac:dyDescent="0.2">
      <c r="C10" s="7"/>
      <c r="D10" s="7"/>
    </row>
    <row r="11" spans="2:9" x14ac:dyDescent="0.2">
      <c r="B11" s="10" t="s">
        <v>23</v>
      </c>
      <c r="C11" s="62">
        <f>C5-C8</f>
        <v>131995</v>
      </c>
      <c r="D11" s="62">
        <f t="shared" ref="D11:I11" si="5">D5-D8</f>
        <v>157795</v>
      </c>
      <c r="E11" s="63">
        <f t="shared" si="5"/>
        <v>194019.65866100264</v>
      </c>
      <c r="F11" s="63">
        <f t="shared" si="5"/>
        <v>230024.19519660168</v>
      </c>
      <c r="G11" s="63">
        <f t="shared" si="5"/>
        <v>277708.67135388288</v>
      </c>
      <c r="H11" s="63">
        <f t="shared" si="5"/>
        <v>332242.62335388293</v>
      </c>
      <c r="I11" s="63">
        <f t="shared" si="5"/>
        <v>399295.81738712522</v>
      </c>
    </row>
    <row r="12" spans="2:9" s="2" customFormat="1" x14ac:dyDescent="0.2">
      <c r="B12" s="14" t="s">
        <v>14</v>
      </c>
      <c r="C12" s="13">
        <f>C11/C5</f>
        <v>0.18892269906336592</v>
      </c>
      <c r="D12" s="13">
        <f t="shared" ref="D12:I12" si="6">D11/D5</f>
        <v>0.18004988612453732</v>
      </c>
      <c r="E12" s="13">
        <f t="shared" si="6"/>
        <v>0.18448629259395169</v>
      </c>
      <c r="F12" s="13">
        <f t="shared" si="6"/>
        <v>0.18226808935924457</v>
      </c>
      <c r="G12" s="13">
        <f t="shared" si="6"/>
        <v>0.1833771909765981</v>
      </c>
      <c r="H12" s="13">
        <f t="shared" si="6"/>
        <v>0.18282264016792135</v>
      </c>
      <c r="I12" s="13">
        <f t="shared" si="6"/>
        <v>0.18309991557225966</v>
      </c>
    </row>
    <row r="13" spans="2:9" x14ac:dyDescent="0.2">
      <c r="C13" s="7"/>
      <c r="D13" s="7"/>
    </row>
    <row r="14" spans="2:9" x14ac:dyDescent="0.2">
      <c r="B14" s="5" t="s">
        <v>25</v>
      </c>
      <c r="C14" s="61">
        <v>64314</v>
      </c>
      <c r="D14" s="61">
        <v>76003</v>
      </c>
      <c r="E14" s="28">
        <f>E5*E15</f>
        <v>94006.086140563799</v>
      </c>
      <c r="F14" s="28">
        <f t="shared" ref="F14:I14" si="7">F5*F15</f>
        <v>111125.81168433829</v>
      </c>
      <c r="G14" s="28">
        <f t="shared" si="7"/>
        <v>134359.86903180889</v>
      </c>
      <c r="H14" s="28">
        <f t="shared" si="7"/>
        <v>160626.5058318089</v>
      </c>
      <c r="I14" s="28">
        <f t="shared" si="7"/>
        <v>193115.00920198773</v>
      </c>
    </row>
    <row r="15" spans="2:9" s="2" customFormat="1" x14ac:dyDescent="0.2">
      <c r="B15" s="14" t="s">
        <v>14</v>
      </c>
      <c r="C15" s="15">
        <f>C14/C5</f>
        <v>9.2051778230700529E-2</v>
      </c>
      <c r="D15" s="15">
        <f t="shared" ref="D15" si="8">D14/D5</f>
        <v>8.6722212333237486E-2</v>
      </c>
      <c r="E15" s="20">
        <f>AVERAGE(C15:D15)</f>
        <v>8.9386995281969001E-2</v>
      </c>
      <c r="F15" s="20">
        <f t="shared" ref="F15:I15" si="9">AVERAGE(D15:E15)</f>
        <v>8.8054603807603243E-2</v>
      </c>
      <c r="G15" s="20">
        <f>AVERAGE(E15:F15)</f>
        <v>8.8720799544786122E-2</v>
      </c>
      <c r="H15" s="20">
        <f t="shared" si="9"/>
        <v>8.8387701676194683E-2</v>
      </c>
      <c r="I15" s="20">
        <f t="shared" si="9"/>
        <v>8.8554250610490409E-2</v>
      </c>
    </row>
    <row r="16" spans="2:9" x14ac:dyDescent="0.2">
      <c r="C16" s="7"/>
      <c r="D16" s="7"/>
    </row>
    <row r="17" spans="2:9" x14ac:dyDescent="0.2">
      <c r="B17" s="10" t="s">
        <v>15</v>
      </c>
      <c r="C17" s="62">
        <f>C11-C14</f>
        <v>67681</v>
      </c>
      <c r="D17" s="62">
        <f t="shared" ref="D17:I17" si="10">D11-D14</f>
        <v>81792</v>
      </c>
      <c r="E17" s="63">
        <f t="shared" si="10"/>
        <v>100013.57252043884</v>
      </c>
      <c r="F17" s="63">
        <f t="shared" si="10"/>
        <v>118898.38351226339</v>
      </c>
      <c r="G17" s="63">
        <f t="shared" si="10"/>
        <v>143348.80232207399</v>
      </c>
      <c r="H17" s="63">
        <f t="shared" si="10"/>
        <v>171616.11752207403</v>
      </c>
      <c r="I17" s="63">
        <f t="shared" si="10"/>
        <v>206180.80818513749</v>
      </c>
    </row>
    <row r="18" spans="2:9" x14ac:dyDescent="0.2">
      <c r="C18" s="7"/>
      <c r="D18" s="7"/>
    </row>
    <row r="19" spans="2:9" x14ac:dyDescent="0.2">
      <c r="B19" s="5" t="s">
        <v>27</v>
      </c>
      <c r="C19" s="17">
        <v>-14584</v>
      </c>
      <c r="D19" s="17">
        <v>-19571</v>
      </c>
      <c r="E19" s="17">
        <f>-'Debt Sch'!D23</f>
        <v>-12432.966</v>
      </c>
      <c r="F19" s="17">
        <f>-'Debt Sch'!E23</f>
        <v>-11488.457399999999</v>
      </c>
      <c r="G19" s="17">
        <f>-'Debt Sch'!F23</f>
        <v>-10245.160800000001</v>
      </c>
      <c r="H19" s="17">
        <f>-'Debt Sch'!G23</f>
        <v>-9096.3150600000008</v>
      </c>
      <c r="I19" s="17">
        <f>-'Debt Sch'!H23</f>
        <v>-8071.7989800000005</v>
      </c>
    </row>
    <row r="20" spans="2:9" x14ac:dyDescent="0.2">
      <c r="B20" s="5" t="s">
        <v>78</v>
      </c>
      <c r="C20" s="61">
        <v>17928</v>
      </c>
      <c r="D20" s="61">
        <v>12020</v>
      </c>
      <c r="E20" s="28">
        <f>AVERAGE(C20:D20)</f>
        <v>14974</v>
      </c>
      <c r="F20" s="28">
        <f t="shared" ref="F20:I20" si="11">AVERAGE(D20:E20)</f>
        <v>13497</v>
      </c>
      <c r="G20" s="28">
        <f t="shared" si="11"/>
        <v>14235.5</v>
      </c>
      <c r="H20" s="28">
        <f t="shared" si="11"/>
        <v>13866.25</v>
      </c>
      <c r="I20" s="28">
        <f t="shared" si="11"/>
        <v>14050.875</v>
      </c>
    </row>
    <row r="21" spans="2:9" x14ac:dyDescent="0.2">
      <c r="C21" s="44"/>
      <c r="D21" s="44"/>
      <c r="E21" s="28"/>
      <c r="F21" s="28"/>
      <c r="G21" s="28"/>
      <c r="H21" s="44"/>
      <c r="I21" s="44"/>
    </row>
    <row r="22" spans="2:9" x14ac:dyDescent="0.2">
      <c r="B22" s="10" t="s">
        <v>26</v>
      </c>
      <c r="C22" s="62">
        <f>C17+C19+C20</f>
        <v>71025</v>
      </c>
      <c r="D22" s="62">
        <f t="shared" ref="D22:I22" si="12">D17+D19+D20</f>
        <v>74241</v>
      </c>
      <c r="E22" s="63">
        <f t="shared" si="12"/>
        <v>102554.60652043884</v>
      </c>
      <c r="F22" s="63">
        <f t="shared" si="12"/>
        <v>120906.92611226339</v>
      </c>
      <c r="G22" s="63">
        <f t="shared" si="12"/>
        <v>147339.14152207397</v>
      </c>
      <c r="H22" s="63">
        <f t="shared" si="12"/>
        <v>176386.05246207403</v>
      </c>
      <c r="I22" s="63">
        <f t="shared" si="12"/>
        <v>212159.8842051375</v>
      </c>
    </row>
    <row r="23" spans="2:9" x14ac:dyDescent="0.2">
      <c r="C23" s="28"/>
      <c r="D23" s="28"/>
      <c r="E23" s="28"/>
      <c r="F23" s="28"/>
      <c r="G23" s="28"/>
      <c r="H23" s="44"/>
      <c r="I23" s="44"/>
    </row>
    <row r="24" spans="2:9" x14ac:dyDescent="0.2">
      <c r="B24" s="5" t="s">
        <v>17</v>
      </c>
      <c r="C24" s="64">
        <v>16297</v>
      </c>
      <c r="D24" s="64">
        <v>20376</v>
      </c>
      <c r="E24" s="28">
        <f>D24*E25</f>
        <v>7131.5999999999995</v>
      </c>
      <c r="F24" s="28">
        <f t="shared" ref="F24:I24" si="13">E24*F25</f>
        <v>2496.0599999999995</v>
      </c>
      <c r="G24" s="28">
        <f t="shared" si="13"/>
        <v>873.62099999999975</v>
      </c>
      <c r="H24" s="28">
        <f t="shared" si="13"/>
        <v>305.76734999999991</v>
      </c>
      <c r="I24" s="28">
        <f t="shared" si="13"/>
        <v>107.01857249999996</v>
      </c>
    </row>
    <row r="25" spans="2:9" x14ac:dyDescent="0.2">
      <c r="B25" s="15" t="s">
        <v>18</v>
      </c>
      <c r="C25" s="22" t="s">
        <v>13</v>
      </c>
      <c r="D25" s="22" t="s">
        <v>13</v>
      </c>
      <c r="E25" s="20">
        <v>0.35</v>
      </c>
      <c r="F25" s="20">
        <v>0.35</v>
      </c>
      <c r="G25" s="20">
        <v>0.35</v>
      </c>
      <c r="H25" s="20">
        <v>0.35</v>
      </c>
      <c r="I25" s="20">
        <v>0.35</v>
      </c>
    </row>
    <row r="26" spans="2:9" x14ac:dyDescent="0.2">
      <c r="C26" s="7"/>
      <c r="D26" s="7"/>
    </row>
    <row r="27" spans="2:9" x14ac:dyDescent="0.2">
      <c r="B27" s="10" t="s">
        <v>28</v>
      </c>
      <c r="C27" s="65">
        <f>C22-C24</f>
        <v>54728</v>
      </c>
      <c r="D27" s="65">
        <f t="shared" ref="D27:I27" si="14">D22-D24</f>
        <v>53865</v>
      </c>
      <c r="E27" s="66">
        <f t="shared" si="14"/>
        <v>95423.006520438837</v>
      </c>
      <c r="F27" s="66">
        <f t="shared" si="14"/>
        <v>118410.86611226339</v>
      </c>
      <c r="G27" s="66">
        <f t="shared" si="14"/>
        <v>146465.52052207396</v>
      </c>
      <c r="H27" s="66">
        <f t="shared" si="14"/>
        <v>176080.28511207402</v>
      </c>
      <c r="I27" s="66">
        <f t="shared" si="14"/>
        <v>212052.86563263749</v>
      </c>
    </row>
    <row r="28" spans="2:9" x14ac:dyDescent="0.2">
      <c r="C28" s="7"/>
      <c r="D28" s="7"/>
    </row>
    <row r="29" spans="2:9" x14ac:dyDescent="0.2">
      <c r="B29" s="86" t="s">
        <v>29</v>
      </c>
      <c r="C29" s="86"/>
      <c r="D29" s="86"/>
      <c r="E29" s="86"/>
      <c r="F29" s="86"/>
      <c r="G29" s="86"/>
    </row>
    <row r="30" spans="2:9" x14ac:dyDescent="0.2">
      <c r="B30" s="6"/>
      <c r="C30" s="6"/>
      <c r="D30" s="6"/>
      <c r="E30" s="6"/>
      <c r="F30" s="6"/>
      <c r="G30" s="6"/>
    </row>
    <row r="31" spans="2:9" x14ac:dyDescent="0.2">
      <c r="B31" s="5" t="s">
        <v>15</v>
      </c>
      <c r="C31" s="28">
        <f>C17</f>
        <v>67681</v>
      </c>
      <c r="D31" s="28">
        <f>D17</f>
        <v>81792</v>
      </c>
      <c r="E31" s="28">
        <f t="shared" ref="E31:I31" si="15">E17</f>
        <v>100013.57252043884</v>
      </c>
      <c r="F31" s="28">
        <f t="shared" si="15"/>
        <v>118898.38351226339</v>
      </c>
      <c r="G31" s="28">
        <f t="shared" si="15"/>
        <v>143348.80232207399</v>
      </c>
      <c r="H31" s="28">
        <f t="shared" si="15"/>
        <v>171616.11752207403</v>
      </c>
      <c r="I31" s="28">
        <f t="shared" si="15"/>
        <v>206180.80818513749</v>
      </c>
    </row>
    <row r="32" spans="2:9" x14ac:dyDescent="0.2">
      <c r="B32" s="5" t="s">
        <v>79</v>
      </c>
      <c r="C32" s="44">
        <v>29797</v>
      </c>
      <c r="D32" s="44">
        <v>40303</v>
      </c>
      <c r="E32" s="59">
        <f>'PP&amp;E Sch'!D8</f>
        <v>46607.749468706344</v>
      </c>
      <c r="F32" s="59">
        <f>'PP&amp;E Sch'!E8</f>
        <v>56982.809681223807</v>
      </c>
      <c r="G32" s="59">
        <f>'PP&amp;E Sch'!F8</f>
        <v>67747.265426202852</v>
      </c>
      <c r="H32" s="59">
        <f>'PP&amp;E Sch'!G8</f>
        <v>81675.982226202832</v>
      </c>
      <c r="I32" s="59">
        <f>'PP&amp;E Sch'!H8</f>
        <v>97783.620442587737</v>
      </c>
    </row>
    <row r="33" spans="2:9" x14ac:dyDescent="0.2">
      <c r="B33" s="5" t="s">
        <v>80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2:9" x14ac:dyDescent="0.2">
      <c r="B34" s="18" t="s">
        <v>22</v>
      </c>
      <c r="C34" s="66">
        <f>C17+C32</f>
        <v>97478</v>
      </c>
      <c r="D34" s="66">
        <f>D17+D32</f>
        <v>122095</v>
      </c>
      <c r="E34" s="66">
        <f t="shared" ref="E34:I34" si="16">E17+E32</f>
        <v>146621.32198914519</v>
      </c>
      <c r="F34" s="66">
        <f t="shared" si="16"/>
        <v>175881.19319348718</v>
      </c>
      <c r="G34" s="66">
        <f t="shared" si="16"/>
        <v>211096.06774827684</v>
      </c>
      <c r="H34" s="66">
        <f t="shared" si="16"/>
        <v>253292.09974827687</v>
      </c>
      <c r="I34" s="66">
        <f t="shared" si="16"/>
        <v>303964.42862772522</v>
      </c>
    </row>
  </sheetData>
  <mergeCells count="2">
    <mergeCell ref="B29:G29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E07-8A71-4619-A946-A4727BD5D3C6}">
  <sheetPr>
    <tabColor theme="4" tint="-0.249977111117893"/>
  </sheetPr>
  <dimension ref="B2:I57"/>
  <sheetViews>
    <sheetView showGridLines="0" workbookViewId="0">
      <pane ySplit="4" topLeftCell="A5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43.1640625" style="5" customWidth="1"/>
    <col min="3" max="4" width="12.83203125" style="30" bestFit="1" customWidth="1"/>
    <col min="5" max="5" width="12.83203125" style="5" bestFit="1" customWidth="1"/>
    <col min="6" max="6" width="12.33203125" bestFit="1" customWidth="1"/>
    <col min="7" max="8" width="12.5" bestFit="1" customWidth="1"/>
    <col min="9" max="9" width="13.1640625" customWidth="1"/>
  </cols>
  <sheetData>
    <row r="2" spans="2:9" ht="21" x14ac:dyDescent="0.25">
      <c r="B2" s="87" t="s">
        <v>123</v>
      </c>
      <c r="C2" s="87"/>
      <c r="D2" s="87"/>
      <c r="E2" s="87"/>
      <c r="F2" s="87"/>
      <c r="G2" s="87"/>
      <c r="H2" s="87"/>
      <c r="I2" s="87"/>
    </row>
    <row r="3" spans="2:9" x14ac:dyDescent="0.2">
      <c r="B3" s="3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9" x14ac:dyDescent="0.2">
      <c r="B4" s="8" t="s">
        <v>96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26" t="s">
        <v>30</v>
      </c>
    </row>
    <row r="6" spans="2:9" x14ac:dyDescent="0.2">
      <c r="B6" s="27" t="s">
        <v>31</v>
      </c>
      <c r="C6" s="31"/>
      <c r="D6" s="31"/>
    </row>
    <row r="7" spans="2:9" x14ac:dyDescent="0.2">
      <c r="B7" s="24" t="s">
        <v>46</v>
      </c>
      <c r="C7" s="67">
        <v>36178</v>
      </c>
      <c r="D7" s="67">
        <v>68664</v>
      </c>
      <c r="E7" s="28">
        <f>'Cash Flow Statement '!E34</f>
        <v>194328.42482865119</v>
      </c>
      <c r="F7" s="28">
        <f>'Cash Flow Statement '!F34</f>
        <v>236327.20049998723</v>
      </c>
      <c r="G7" s="28">
        <f>'Cash Flow Statement '!G34</f>
        <v>327941.44337486185</v>
      </c>
      <c r="H7" s="28">
        <f>'Cash Flow Statement '!H34</f>
        <v>399947.85994303168</v>
      </c>
      <c r="I7" s="28">
        <f>'Cash Flow Statement '!I34</f>
        <v>499999.44189972052</v>
      </c>
    </row>
    <row r="8" spans="2:9" x14ac:dyDescent="0.2">
      <c r="B8" s="24" t="s">
        <v>42</v>
      </c>
      <c r="C8" s="68">
        <v>23640</v>
      </c>
      <c r="D8" s="68">
        <v>28448</v>
      </c>
      <c r="E8" s="28">
        <f>E52/365*'income statement '!E5</f>
        <v>34860.840992053498</v>
      </c>
      <c r="F8" s="28">
        <f>F52/365*'income statement '!F5</f>
        <v>41399.064595232099</v>
      </c>
      <c r="G8" s="28">
        <f>G52/365*'income statement '!G5</f>
        <v>49939.244271417781</v>
      </c>
      <c r="H8" s="28">
        <f>H52/365*'income statement '!H5</f>
        <v>59770.873071417773</v>
      </c>
      <c r="I8" s="28">
        <f>I52/365*'income statement '!I5</f>
        <v>71818.779718271457</v>
      </c>
    </row>
    <row r="9" spans="2:9" x14ac:dyDescent="0.2">
      <c r="B9" s="24" t="s">
        <v>43</v>
      </c>
      <c r="C9" s="68">
        <v>107778</v>
      </c>
      <c r="D9" s="68">
        <v>140008</v>
      </c>
      <c r="E9" s="28">
        <f>E53/365*'income statement '!E8</f>
        <v>165110.32642929061</v>
      </c>
      <c r="F9" s="28">
        <f>F53/365*'income statement '!F8</f>
        <v>199868.70777060595</v>
      </c>
      <c r="G9" s="28">
        <f>G53/365*'income statement '!G8</f>
        <v>238799.68526536229</v>
      </c>
      <c r="H9" s="28">
        <f>H53/365*'income statement '!H8</f>
        <v>287184.98842622642</v>
      </c>
      <c r="I9" s="28">
        <f>I53/365*'income statement '!I8</f>
        <v>344246.67874844855</v>
      </c>
    </row>
    <row r="10" spans="2:9" x14ac:dyDescent="0.2">
      <c r="B10" s="24" t="s">
        <v>44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</row>
    <row r="11" spans="2:9" x14ac:dyDescent="0.2">
      <c r="B11" s="27" t="s">
        <v>45</v>
      </c>
      <c r="C11" s="70">
        <f>SUM(C7:C10)</f>
        <v>167596</v>
      </c>
      <c r="D11" s="70">
        <f>SUM(D7:D10)</f>
        <v>237120</v>
      </c>
      <c r="E11" s="71">
        <f t="shared" ref="E11:I11" si="1">SUM(E7:E10)</f>
        <v>394299.59224999533</v>
      </c>
      <c r="F11" s="71">
        <f t="shared" si="1"/>
        <v>477594.97286582529</v>
      </c>
      <c r="G11" s="71">
        <f t="shared" si="1"/>
        <v>616680.37291164196</v>
      </c>
      <c r="H11" s="71">
        <f t="shared" si="1"/>
        <v>746903.7214406759</v>
      </c>
      <c r="I11" s="71">
        <f t="shared" si="1"/>
        <v>916064.90036644065</v>
      </c>
    </row>
    <row r="12" spans="2:9" x14ac:dyDescent="0.2">
      <c r="C12" s="33"/>
      <c r="D12" s="33"/>
    </row>
    <row r="13" spans="2:9" x14ac:dyDescent="0.2">
      <c r="B13" s="23" t="s">
        <v>91</v>
      </c>
      <c r="C13" s="32"/>
      <c r="D13" s="32"/>
    </row>
    <row r="14" spans="2:9" x14ac:dyDescent="0.2">
      <c r="B14" s="3" t="s">
        <v>92</v>
      </c>
      <c r="C14" s="68">
        <v>627798</v>
      </c>
      <c r="D14" s="68">
        <v>724805</v>
      </c>
      <c r="E14" s="72">
        <f>'PP&amp;E Sch'!D11</f>
        <v>1414863.2494687063</v>
      </c>
      <c r="F14" s="72">
        <f>'PP&amp;E Sch'!E11</f>
        <v>2147469.0841499302</v>
      </c>
      <c r="G14" s="72">
        <f>'PP&amp;E Sch'!F11</f>
        <v>2924620.5258261329</v>
      </c>
      <c r="H14" s="72">
        <f>'PP&amp;E Sch'!G11</f>
        <v>3751170.8931148355</v>
      </c>
      <c r="I14" s="72">
        <f>'PP&amp;E Sch'!H11</f>
        <v>4631072.6178730484</v>
      </c>
    </row>
    <row r="15" spans="2:9" x14ac:dyDescent="0.2">
      <c r="B15" s="3" t="s">
        <v>81</v>
      </c>
      <c r="C15" s="68">
        <v>172506</v>
      </c>
      <c r="D15" s="68">
        <v>293752</v>
      </c>
      <c r="E15" s="28">
        <f>AVERAGE(C15:D15)</f>
        <v>233129</v>
      </c>
      <c r="F15" s="28">
        <f t="shared" ref="F15:I15" si="2">AVERAGE(D15:E15)</f>
        <v>263440.5</v>
      </c>
      <c r="G15" s="28">
        <f t="shared" si="2"/>
        <v>248284.75</v>
      </c>
      <c r="H15" s="28">
        <f t="shared" si="2"/>
        <v>255862.625</v>
      </c>
      <c r="I15" s="28">
        <f t="shared" si="2"/>
        <v>252073.6875</v>
      </c>
    </row>
    <row r="16" spans="2:9" x14ac:dyDescent="0.2">
      <c r="B16" s="3" t="s">
        <v>82</v>
      </c>
      <c r="C16" s="68">
        <v>394264</v>
      </c>
      <c r="D16" s="68">
        <v>235560</v>
      </c>
      <c r="E16" s="28">
        <f>D16*(1.15)</f>
        <v>270894</v>
      </c>
      <c r="F16" s="28">
        <f t="shared" ref="F16:I16" si="3">E16*(1.15)</f>
        <v>311528.09999999998</v>
      </c>
      <c r="G16" s="28">
        <f t="shared" si="3"/>
        <v>358257.31499999994</v>
      </c>
      <c r="H16" s="28">
        <f t="shared" si="3"/>
        <v>411995.91224999988</v>
      </c>
      <c r="I16" s="28">
        <f t="shared" si="3"/>
        <v>473795.29908749985</v>
      </c>
    </row>
    <row r="17" spans="2:9" x14ac:dyDescent="0.2">
      <c r="B17" s="3" t="s">
        <v>83</v>
      </c>
      <c r="C17" s="68">
        <v>136458</v>
      </c>
      <c r="D17" s="68">
        <v>114645</v>
      </c>
      <c r="E17" s="28">
        <f>AVERAGE(C17:D17)</f>
        <v>125551.5</v>
      </c>
      <c r="F17" s="28">
        <f t="shared" ref="F17:I17" si="4">AVERAGE(D17:E17)</f>
        <v>120098.25</v>
      </c>
      <c r="G17" s="28">
        <f t="shared" si="4"/>
        <v>122824.875</v>
      </c>
      <c r="H17" s="28">
        <f t="shared" si="4"/>
        <v>121461.5625</v>
      </c>
      <c r="I17" s="28">
        <f t="shared" si="4"/>
        <v>122143.21875</v>
      </c>
    </row>
    <row r="18" spans="2:9" x14ac:dyDescent="0.2">
      <c r="B18" s="23" t="s">
        <v>93</v>
      </c>
      <c r="C18" s="70">
        <f>SUM(C14:C17)</f>
        <v>1331026</v>
      </c>
      <c r="D18" s="70">
        <f t="shared" ref="D18" si="5">SUM(D14:D17)</f>
        <v>1368762</v>
      </c>
      <c r="E18" s="71">
        <f t="shared" ref="E18" si="6">SUM(E14:E17)</f>
        <v>2044437.7494687063</v>
      </c>
      <c r="F18" s="71">
        <f t="shared" ref="F18" si="7">SUM(F14:F17)</f>
        <v>2842535.9341499303</v>
      </c>
      <c r="G18" s="71">
        <f t="shared" ref="G18" si="8">SUM(G14:G17)</f>
        <v>3653987.4658261328</v>
      </c>
      <c r="H18" s="71">
        <f t="shared" ref="H18" si="9">SUM(H14:H17)</f>
        <v>4540490.9928648351</v>
      </c>
      <c r="I18" s="71">
        <f t="shared" ref="I18" si="10">SUM(I14:I17)</f>
        <v>5479084.8232105486</v>
      </c>
    </row>
    <row r="19" spans="2:9" x14ac:dyDescent="0.2">
      <c r="B19"/>
      <c r="C19" s="33"/>
      <c r="D19" s="33"/>
    </row>
    <row r="20" spans="2:9" ht="16.5" customHeight="1" x14ac:dyDescent="0.2">
      <c r="B20" s="10" t="s">
        <v>94</v>
      </c>
      <c r="C20" s="73">
        <f>C18+C11</f>
        <v>1498622</v>
      </c>
      <c r="D20" s="73">
        <f t="shared" ref="D20:I20" si="11">D18+D11</f>
        <v>1605882</v>
      </c>
      <c r="E20" s="74">
        <f t="shared" si="11"/>
        <v>2438737.3417187016</v>
      </c>
      <c r="F20" s="74">
        <f t="shared" si="11"/>
        <v>3320130.9070157558</v>
      </c>
      <c r="G20" s="74">
        <f t="shared" si="11"/>
        <v>4270667.8387377746</v>
      </c>
      <c r="H20" s="74">
        <f t="shared" si="11"/>
        <v>5287394.7143055107</v>
      </c>
      <c r="I20" s="74">
        <f t="shared" si="11"/>
        <v>6395149.723576989</v>
      </c>
    </row>
    <row r="21" spans="2:9" ht="16.5" customHeight="1" x14ac:dyDescent="0.2">
      <c r="B21" s="10"/>
      <c r="C21" s="34"/>
      <c r="D21" s="34"/>
    </row>
    <row r="22" spans="2:9" ht="16.5" customHeight="1" x14ac:dyDescent="0.2">
      <c r="B22" s="26" t="s">
        <v>97</v>
      </c>
      <c r="C22" s="33"/>
      <c r="D22" s="33"/>
    </row>
    <row r="23" spans="2:9" x14ac:dyDescent="0.2">
      <c r="B23" s="27" t="s">
        <v>33</v>
      </c>
      <c r="C23" s="33"/>
      <c r="D23" s="33"/>
    </row>
    <row r="24" spans="2:9" x14ac:dyDescent="0.2">
      <c r="B24" s="3" t="s">
        <v>84</v>
      </c>
      <c r="C24" s="68">
        <v>78606</v>
      </c>
      <c r="D24" s="68">
        <v>130790</v>
      </c>
      <c r="E24" s="40">
        <f>E55*'income statement '!E14</f>
        <v>138333.49726785131</v>
      </c>
      <c r="F24" s="40">
        <f>F55*'income statement '!F14</f>
        <v>177378.50928952612</v>
      </c>
      <c r="G24" s="40">
        <f>G55*'income statement '!G14</f>
        <v>206090.10688521317</v>
      </c>
      <c r="H24" s="40">
        <f>H55*'income statement '!H14</f>
        <v>251385.45580318008</v>
      </c>
      <c r="I24" s="40">
        <f>I55*'income statement '!I14</f>
        <v>299221.80993433954</v>
      </c>
    </row>
    <row r="25" spans="2:9" x14ac:dyDescent="0.2">
      <c r="B25" s="24" t="s">
        <v>34</v>
      </c>
      <c r="C25" s="68">
        <v>159330</v>
      </c>
      <c r="D25" s="68">
        <v>147172</v>
      </c>
      <c r="E25" s="28">
        <f>E54/365*'income statement '!E8</f>
        <v>208396.9862608501</v>
      </c>
      <c r="F25" s="28">
        <f>F54/365*'income statement '!F8</f>
        <v>231055.47358319291</v>
      </c>
      <c r="G25" s="28">
        <f>G54/365*'income statement '!G8</f>
        <v>288695.14680573274</v>
      </c>
      <c r="H25" s="28">
        <f>H54/365*'income statement '!H8</f>
        <v>339581.83882773994</v>
      </c>
      <c r="I25" s="28">
        <f>I54/365*'income statement '!I8</f>
        <v>411611.0519260919</v>
      </c>
    </row>
    <row r="26" spans="2:9" x14ac:dyDescent="0.2">
      <c r="B26" s="24" t="s">
        <v>102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</row>
    <row r="27" spans="2:9" x14ac:dyDescent="0.2">
      <c r="B27" s="24" t="s">
        <v>36</v>
      </c>
      <c r="C27" s="39">
        <f>'Debt Sch'!B16</f>
        <v>0</v>
      </c>
      <c r="D27" s="39">
        <v>0</v>
      </c>
      <c r="E27" s="39">
        <f>'Debt Sch'!D16</f>
        <v>29602.300000000003</v>
      </c>
      <c r="F27" s="39">
        <f>'Debt Sch'!E16</f>
        <v>27353.47</v>
      </c>
      <c r="G27" s="39">
        <f>'Debt Sch'!F16</f>
        <v>24393.240000000005</v>
      </c>
      <c r="H27" s="39">
        <f>'Debt Sch'!G16</f>
        <v>21657.893000000004</v>
      </c>
      <c r="I27" s="39">
        <f>'Debt Sch'!H16</f>
        <v>19218.569</v>
      </c>
    </row>
    <row r="28" spans="2:9" x14ac:dyDescent="0.2">
      <c r="B28" s="3" t="s">
        <v>85</v>
      </c>
      <c r="C28" s="68">
        <v>131150</v>
      </c>
      <c r="D28" s="68">
        <v>178165</v>
      </c>
      <c r="E28" s="28">
        <f>E56*'income statement '!E14</f>
        <v>206033.02803104764</v>
      </c>
      <c r="F28" s="28">
        <f>F56*'income statement '!F14</f>
        <v>252026.81791693001</v>
      </c>
      <c r="G28" s="28">
        <f>G56*'income statement '!G14</f>
        <v>299598.33126200264</v>
      </c>
      <c r="H28" s="28">
        <f>H56*'income statement '!H14</f>
        <v>361229.84575623833</v>
      </c>
      <c r="I28" s="28">
        <f>I56*'income statement '!I14</f>
        <v>432452.16739203903</v>
      </c>
    </row>
    <row r="29" spans="2:9" x14ac:dyDescent="0.2">
      <c r="B29" s="27" t="s">
        <v>47</v>
      </c>
      <c r="C29" s="70">
        <f t="shared" ref="C29:I29" si="12">SUM(C24:C28)</f>
        <v>369086</v>
      </c>
      <c r="D29" s="70">
        <f t="shared" si="12"/>
        <v>456127</v>
      </c>
      <c r="E29" s="71">
        <f t="shared" si="12"/>
        <v>582365.81155974907</v>
      </c>
      <c r="F29" s="71">
        <f t="shared" si="12"/>
        <v>687814.2707896491</v>
      </c>
      <c r="G29" s="71">
        <f t="shared" si="12"/>
        <v>818776.82495294861</v>
      </c>
      <c r="H29" s="71">
        <f t="shared" si="12"/>
        <v>973855.03338715842</v>
      </c>
      <c r="I29" s="71">
        <f t="shared" si="12"/>
        <v>1162503.5982524706</v>
      </c>
    </row>
    <row r="30" spans="2:9" x14ac:dyDescent="0.2">
      <c r="B30" s="27"/>
      <c r="C30" s="34"/>
      <c r="D30" s="34"/>
    </row>
    <row r="31" spans="2:9" ht="14" customHeight="1" x14ac:dyDescent="0.2">
      <c r="B31" s="27" t="s">
        <v>98</v>
      </c>
      <c r="C31" s="33"/>
      <c r="D31" s="33"/>
    </row>
    <row r="32" spans="2:9" ht="14" customHeight="1" x14ac:dyDescent="0.2">
      <c r="B32" s="3" t="s">
        <v>86</v>
      </c>
      <c r="C32" s="68">
        <v>224883</v>
      </c>
      <c r="D32" s="68">
        <v>296023</v>
      </c>
      <c r="E32" s="59">
        <f>'Debt Sch'!D15</f>
        <v>273534.7</v>
      </c>
      <c r="F32" s="59">
        <f>'Debt Sch'!E15</f>
        <v>243932.40000000002</v>
      </c>
      <c r="G32" s="59">
        <f>'Debt Sch'!F15</f>
        <v>216578.93000000002</v>
      </c>
      <c r="H32" s="59">
        <f>'Debt Sch'!G15</f>
        <v>192185.69</v>
      </c>
      <c r="I32" s="59">
        <f>'Debt Sch'!H15</f>
        <v>170527.79699999999</v>
      </c>
    </row>
    <row r="33" spans="2:9" x14ac:dyDescent="0.2">
      <c r="B33" s="3" t="s">
        <v>87</v>
      </c>
      <c r="C33" s="68">
        <v>109499</v>
      </c>
      <c r="D33" s="68">
        <v>113009</v>
      </c>
      <c r="E33" s="28">
        <f>AVERAGE(C33:D33)</f>
        <v>111254</v>
      </c>
      <c r="F33" s="28">
        <f t="shared" ref="F33:I33" si="13">AVERAGE(D33:E33)</f>
        <v>112131.5</v>
      </c>
      <c r="G33" s="28">
        <f t="shared" si="13"/>
        <v>111692.75</v>
      </c>
      <c r="H33" s="28">
        <f t="shared" si="13"/>
        <v>111912.125</v>
      </c>
      <c r="I33" s="28">
        <f t="shared" si="13"/>
        <v>111802.4375</v>
      </c>
    </row>
    <row r="34" spans="2:9" x14ac:dyDescent="0.2">
      <c r="B34" s="3" t="s">
        <v>88</v>
      </c>
      <c r="C34" s="68">
        <v>15669</v>
      </c>
      <c r="D34" s="68">
        <v>24851</v>
      </c>
      <c r="E34" s="28">
        <f>E57*'income statement '!E14</f>
        <v>26820.253026318744</v>
      </c>
      <c r="F34" s="28">
        <f>F57*'income statement '!F14</f>
        <v>34019.906171599483</v>
      </c>
      <c r="G34" s="28">
        <f>G57*'income statement '!G14</f>
        <v>39733.036188651648</v>
      </c>
      <c r="H34" s="28">
        <f>H57*'income statement '!H14</f>
        <v>48337.307248765363</v>
      </c>
      <c r="I34" s="28">
        <f>I57*'income statement '!I14</f>
        <v>57611.11633269523</v>
      </c>
    </row>
    <row r="35" spans="2:9" x14ac:dyDescent="0.2">
      <c r="B35" s="23" t="s">
        <v>89</v>
      </c>
      <c r="C35" s="70">
        <f>SUM(C32:C34)</f>
        <v>350051</v>
      </c>
      <c r="D35" s="70">
        <f t="shared" ref="D35" si="14">SUM(D32:D34)</f>
        <v>433883</v>
      </c>
      <c r="E35" s="71">
        <f t="shared" ref="E35" si="15">SUM(E32:E34)</f>
        <v>411608.95302631875</v>
      </c>
      <c r="F35" s="71">
        <f t="shared" ref="F35" si="16">SUM(F32:F34)</f>
        <v>390083.80617159948</v>
      </c>
      <c r="G35" s="71">
        <f t="shared" ref="G35" si="17">SUM(G32:G34)</f>
        <v>368004.71618865168</v>
      </c>
      <c r="H35" s="71">
        <f t="shared" ref="H35" si="18">SUM(H32:H34)</f>
        <v>352435.12224876537</v>
      </c>
      <c r="I35" s="71">
        <f t="shared" ref="I35" si="19">SUM(I32:I34)</f>
        <v>339941.35083269526</v>
      </c>
    </row>
    <row r="36" spans="2:9" x14ac:dyDescent="0.2">
      <c r="B36"/>
      <c r="C36" s="33"/>
      <c r="D36" s="33"/>
    </row>
    <row r="37" spans="2:9" ht="11.5" customHeight="1" x14ac:dyDescent="0.2">
      <c r="B37" s="23" t="s">
        <v>90</v>
      </c>
      <c r="C37" s="73">
        <f>C29+C35</f>
        <v>719137</v>
      </c>
      <c r="D37" s="73">
        <f t="shared" ref="D37:I37" si="20">D29+D35</f>
        <v>890010</v>
      </c>
      <c r="E37" s="74">
        <f>E29+E35</f>
        <v>993974.76458606776</v>
      </c>
      <c r="F37" s="74">
        <f t="shared" si="20"/>
        <v>1077898.0769612486</v>
      </c>
      <c r="G37" s="74">
        <f t="shared" si="20"/>
        <v>1186781.5411416003</v>
      </c>
      <c r="H37" s="74">
        <f t="shared" si="20"/>
        <v>1326290.1556359238</v>
      </c>
      <c r="I37" s="74">
        <f t="shared" si="20"/>
        <v>1502444.9490851657</v>
      </c>
    </row>
    <row r="38" spans="2:9" ht="11.5" customHeight="1" x14ac:dyDescent="0.2">
      <c r="B38"/>
      <c r="C38" s="73"/>
      <c r="D38" s="73"/>
      <c r="E38" s="48"/>
      <c r="F38" s="60"/>
      <c r="G38" s="60"/>
      <c r="H38" s="60"/>
      <c r="I38" s="60"/>
    </row>
    <row r="39" spans="2:9" x14ac:dyDescent="0.2">
      <c r="B39" s="27" t="s">
        <v>38</v>
      </c>
      <c r="C39" s="75"/>
      <c r="D39" s="75"/>
      <c r="E39" s="48"/>
      <c r="F39" s="60"/>
      <c r="G39" s="60"/>
      <c r="H39" s="60"/>
      <c r="I39" s="60"/>
    </row>
    <row r="40" spans="2:9" x14ac:dyDescent="0.2">
      <c r="B40" s="24" t="s">
        <v>39</v>
      </c>
      <c r="C40" s="76">
        <v>6765</v>
      </c>
      <c r="D40" s="76">
        <v>6766</v>
      </c>
      <c r="E40" s="49">
        <v>6766</v>
      </c>
      <c r="F40" s="49">
        <v>6766</v>
      </c>
      <c r="G40" s="49">
        <v>6766</v>
      </c>
      <c r="H40" s="49">
        <v>6766</v>
      </c>
      <c r="I40" s="49">
        <v>6766</v>
      </c>
    </row>
    <row r="41" spans="2:9" x14ac:dyDescent="0.2">
      <c r="B41" s="24" t="s">
        <v>49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</row>
    <row r="42" spans="2:9" x14ac:dyDescent="0.2">
      <c r="B42" s="24" t="s">
        <v>48</v>
      </c>
      <c r="C42" s="76">
        <v>772720</v>
      </c>
      <c r="D42" s="76">
        <v>709106</v>
      </c>
      <c r="E42" s="48">
        <f>D42+'income statement '!E27</f>
        <v>804529.00652043882</v>
      </c>
      <c r="F42" s="48">
        <f>E42+'income statement '!F27</f>
        <v>922939.87263270223</v>
      </c>
      <c r="G42" s="48">
        <f>F42+'income statement '!G27</f>
        <v>1069405.3931547762</v>
      </c>
      <c r="H42" s="48">
        <f>G42+'income statement '!H27</f>
        <v>1245485.6782668503</v>
      </c>
      <c r="I42" s="48">
        <f>H42+'income statement '!I27</f>
        <v>1457538.5438994877</v>
      </c>
    </row>
    <row r="43" spans="2:9" x14ac:dyDescent="0.2">
      <c r="B43" s="27" t="s">
        <v>40</v>
      </c>
      <c r="C43" s="77">
        <f>SUM(C40:C42)</f>
        <v>779485</v>
      </c>
      <c r="D43" s="77">
        <f>SUM(D40:D42)</f>
        <v>715872</v>
      </c>
      <c r="E43" s="47">
        <f t="shared" ref="E43:I43" si="21">SUM(E40:E42)</f>
        <v>811295.00652043882</v>
      </c>
      <c r="F43" s="47">
        <f t="shared" si="21"/>
        <v>929705.87263270223</v>
      </c>
      <c r="G43" s="47">
        <f t="shared" si="21"/>
        <v>1076171.3931547762</v>
      </c>
      <c r="H43" s="47">
        <f t="shared" si="21"/>
        <v>1252251.6782668503</v>
      </c>
      <c r="I43" s="47">
        <f t="shared" si="21"/>
        <v>1464304.5438994877</v>
      </c>
    </row>
    <row r="44" spans="2:9" x14ac:dyDescent="0.2">
      <c r="B44" s="27"/>
      <c r="C44" s="34"/>
      <c r="D44" s="34"/>
    </row>
    <row r="45" spans="2:9" ht="3" customHeight="1" x14ac:dyDescent="0.2">
      <c r="C45" s="33"/>
      <c r="D45" s="33"/>
    </row>
    <row r="46" spans="2:9" x14ac:dyDescent="0.2">
      <c r="B46" s="10" t="s">
        <v>41</v>
      </c>
      <c r="C46" s="73">
        <f>C43+C37</f>
        <v>1498622</v>
      </c>
      <c r="D46" s="73">
        <f t="shared" ref="D46:I46" si="22">D43+D37</f>
        <v>1605882</v>
      </c>
      <c r="E46" s="74">
        <f t="shared" si="22"/>
        <v>1805269.7711065067</v>
      </c>
      <c r="F46" s="74">
        <f t="shared" si="22"/>
        <v>2007603.949593951</v>
      </c>
      <c r="G46" s="74">
        <f t="shared" si="22"/>
        <v>2262952.9342963765</v>
      </c>
      <c r="H46" s="74">
        <f t="shared" si="22"/>
        <v>2578541.8339027744</v>
      </c>
      <c r="I46" s="74">
        <f t="shared" si="22"/>
        <v>2966749.4929846535</v>
      </c>
    </row>
    <row r="47" spans="2:9" x14ac:dyDescent="0.2">
      <c r="C47" s="35"/>
      <c r="D47" s="35"/>
    </row>
    <row r="48" spans="2:9" x14ac:dyDescent="0.2">
      <c r="B48" s="5" t="s">
        <v>95</v>
      </c>
      <c r="C48" s="36" t="b">
        <f t="shared" ref="C48:I48" si="23">C46=C20</f>
        <v>1</v>
      </c>
      <c r="D48" s="36" t="b">
        <f t="shared" si="23"/>
        <v>1</v>
      </c>
      <c r="E48" s="36" t="b">
        <f t="shared" si="23"/>
        <v>0</v>
      </c>
      <c r="F48" s="36" t="b">
        <f t="shared" si="23"/>
        <v>0</v>
      </c>
      <c r="G48" s="36" t="b">
        <f t="shared" si="23"/>
        <v>0</v>
      </c>
      <c r="H48" s="36" t="b">
        <f t="shared" si="23"/>
        <v>0</v>
      </c>
      <c r="I48" s="36" t="b">
        <f t="shared" si="23"/>
        <v>0</v>
      </c>
    </row>
    <row r="49" spans="2:9" x14ac:dyDescent="0.2">
      <c r="C49" s="37"/>
      <c r="D49" s="37"/>
    </row>
    <row r="51" spans="2:9" x14ac:dyDescent="0.2">
      <c r="B51" s="10" t="s">
        <v>52</v>
      </c>
    </row>
    <row r="52" spans="2:9" x14ac:dyDescent="0.2">
      <c r="B52" s="5" t="s">
        <v>100</v>
      </c>
      <c r="C52" s="42">
        <f>C8/('income statement '!C5/365)</f>
        <v>12.350001145029427</v>
      </c>
      <c r="D52" s="42">
        <f>D8/('income statement '!D5/365)</f>
        <v>11.847977398345039</v>
      </c>
      <c r="E52" s="43">
        <f>AVERAGE(C52:D52)</f>
        <v>12.098989271687234</v>
      </c>
      <c r="F52" s="43">
        <f t="shared" ref="F52:I52" si="24">AVERAGE(D52:E52)</f>
        <v>11.973483335016137</v>
      </c>
      <c r="G52" s="43">
        <f t="shared" si="24"/>
        <v>12.036236303351686</v>
      </c>
      <c r="H52" s="43">
        <f t="shared" si="24"/>
        <v>12.004859819183912</v>
      </c>
      <c r="I52" s="43">
        <f t="shared" si="24"/>
        <v>12.0205480612678</v>
      </c>
    </row>
    <row r="53" spans="2:9" x14ac:dyDescent="0.2">
      <c r="B53" s="5" t="s">
        <v>99</v>
      </c>
      <c r="C53" s="42">
        <f>C9/('income statement '!C8/365)</f>
        <v>69.420445862457797</v>
      </c>
      <c r="D53" s="42">
        <f>D9/('income statement '!D8/365)</f>
        <v>71.114457118762715</v>
      </c>
      <c r="E53" s="43">
        <f t="shared" ref="E53:I53" si="25">AVERAGE(C53:D53)</f>
        <v>70.267451490610256</v>
      </c>
      <c r="F53" s="43">
        <f t="shared" si="25"/>
        <v>70.690954304686485</v>
      </c>
      <c r="G53" s="43">
        <f t="shared" si="25"/>
        <v>70.479202897648378</v>
      </c>
      <c r="H53" s="43">
        <f t="shared" si="25"/>
        <v>70.585078601167424</v>
      </c>
      <c r="I53" s="43">
        <f t="shared" si="25"/>
        <v>70.532140749407901</v>
      </c>
    </row>
    <row r="54" spans="2:9" x14ac:dyDescent="0.2">
      <c r="B54" s="5" t="s">
        <v>101</v>
      </c>
      <c r="C54" s="42">
        <f>C25/('income statement '!C8/365)</f>
        <v>102.62539330165156</v>
      </c>
      <c r="D54" s="42">
        <f>D25/('income statement '!D8/365)</f>
        <v>74.75327754901538</v>
      </c>
      <c r="E54" s="43">
        <f t="shared" ref="E54:I54" si="26">AVERAGE(C54:D54)</f>
        <v>88.689335425333468</v>
      </c>
      <c r="F54" s="43">
        <f t="shared" si="26"/>
        <v>81.721306487174417</v>
      </c>
      <c r="G54" s="43">
        <f t="shared" si="26"/>
        <v>85.205320956253942</v>
      </c>
      <c r="H54" s="43">
        <f t="shared" si="26"/>
        <v>83.463313721714172</v>
      </c>
      <c r="I54" s="43">
        <f t="shared" si="26"/>
        <v>84.33431733898405</v>
      </c>
    </row>
    <row r="55" spans="2:9" x14ac:dyDescent="0.2">
      <c r="B55" t="s">
        <v>103</v>
      </c>
      <c r="C55" s="78">
        <f>C24/'income statement '!C14</f>
        <v>1.2222222222222223</v>
      </c>
      <c r="D55" s="78">
        <f>D24/'income statement '!D14</f>
        <v>1.7208531242187808</v>
      </c>
      <c r="E55" s="43">
        <f>AVERAGE(C55:D55)</f>
        <v>1.4715376732205017</v>
      </c>
      <c r="F55" s="43">
        <f t="shared" ref="F55:I55" si="27">AVERAGE(D55:E55)</f>
        <v>1.5961953987196411</v>
      </c>
      <c r="G55" s="43">
        <f t="shared" si="27"/>
        <v>1.5338665359700714</v>
      </c>
      <c r="H55" s="43">
        <f t="shared" si="27"/>
        <v>1.5650309673448564</v>
      </c>
      <c r="I55" s="43">
        <f t="shared" si="27"/>
        <v>1.5494487516574638</v>
      </c>
    </row>
    <row r="56" spans="2:9" x14ac:dyDescent="0.2">
      <c r="B56" t="s">
        <v>104</v>
      </c>
      <c r="C56" s="78">
        <f>C28/'income statement '!C14</f>
        <v>2.0392138570140248</v>
      </c>
      <c r="D56" s="78">
        <f>D28/'income statement '!D14</f>
        <v>2.3441837822191229</v>
      </c>
      <c r="E56" s="78">
        <f>AVERAGE(C56:D56)</f>
        <v>2.1916988196165739</v>
      </c>
      <c r="F56" s="78">
        <f t="shared" ref="F56:I56" si="28">AVERAGE(D56:E56)</f>
        <v>2.2679413009178484</v>
      </c>
      <c r="G56" s="78">
        <f t="shared" si="28"/>
        <v>2.2298200602672109</v>
      </c>
      <c r="H56" s="78">
        <f t="shared" si="28"/>
        <v>2.2488806805925297</v>
      </c>
      <c r="I56" s="78">
        <f t="shared" si="28"/>
        <v>2.2393503704298703</v>
      </c>
    </row>
    <row r="57" spans="2:9" x14ac:dyDescent="0.2">
      <c r="B57" t="s">
        <v>105</v>
      </c>
      <c r="C57" s="78">
        <f>C34/'income statement '!C14</f>
        <v>0.24363280156731038</v>
      </c>
      <c r="D57" s="78">
        <f>D34/'income statement '!D14</f>
        <v>0.32697393523939844</v>
      </c>
      <c r="E57" s="43">
        <f>AVERAGE(C57:D57)</f>
        <v>0.28530336840335441</v>
      </c>
      <c r="F57" s="43">
        <f t="shared" ref="F57:I57" si="29">AVERAGE(D57:E57)</f>
        <v>0.30613865182137645</v>
      </c>
      <c r="G57" s="43">
        <f t="shared" si="29"/>
        <v>0.2957210101123654</v>
      </c>
      <c r="H57" s="43">
        <f t="shared" si="29"/>
        <v>0.30092983096687093</v>
      </c>
      <c r="I57" s="43">
        <f t="shared" si="29"/>
        <v>0.29832542053961819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AF4B-CC34-450D-95BB-74E73F1439DD}">
  <sheetPr>
    <tabColor rgb="FF7030A0"/>
  </sheetPr>
  <dimension ref="B2:L60"/>
  <sheetViews>
    <sheetView showGridLines="0" workbookViewId="0">
      <pane ySplit="4" topLeftCell="A5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43.83203125" style="6" customWidth="1"/>
    <col min="3" max="3" width="11.83203125" style="30" bestFit="1" customWidth="1"/>
    <col min="4" max="4" width="13.1640625" style="30" customWidth="1"/>
    <col min="5" max="5" width="11.1640625" style="5" bestFit="1" customWidth="1"/>
    <col min="6" max="6" width="11.5" style="5" bestFit="1" customWidth="1"/>
    <col min="7" max="7" width="12.5" style="5" customWidth="1"/>
    <col min="8" max="8" width="11.5" style="5" customWidth="1"/>
    <col min="9" max="9" width="11.5" style="5" bestFit="1" customWidth="1"/>
    <col min="10" max="10" width="31" customWidth="1"/>
  </cols>
  <sheetData>
    <row r="2" spans="2:10" ht="21" x14ac:dyDescent="0.25">
      <c r="B2" s="87" t="s">
        <v>123</v>
      </c>
      <c r="C2" s="87"/>
      <c r="D2" s="87"/>
      <c r="E2" s="87"/>
      <c r="F2" s="87"/>
      <c r="G2" s="87"/>
      <c r="H2" s="87"/>
      <c r="I2" s="87"/>
    </row>
    <row r="3" spans="2:10" x14ac:dyDescent="0.2">
      <c r="B3" s="3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  <c r="J3" s="41"/>
    </row>
    <row r="4" spans="2:10" x14ac:dyDescent="0.2">
      <c r="B4" s="38" t="s">
        <v>106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10" x14ac:dyDescent="0.2">
      <c r="B5" s="6" t="s">
        <v>53</v>
      </c>
    </row>
    <row r="6" spans="2:10" x14ac:dyDescent="0.2">
      <c r="B6" s="45" t="s">
        <v>19</v>
      </c>
      <c r="C6" s="51">
        <f>'income statement '!C27</f>
        <v>54728</v>
      </c>
      <c r="D6" s="51">
        <f>'income statement '!D27</f>
        <v>53865</v>
      </c>
      <c r="E6" s="50">
        <f>'income statement '!E27</f>
        <v>95423.006520438837</v>
      </c>
      <c r="F6" s="50">
        <f>'income statement '!F27</f>
        <v>118410.86611226339</v>
      </c>
      <c r="G6" s="50">
        <f>'income statement '!G27</f>
        <v>146465.52052207396</v>
      </c>
      <c r="H6" s="50">
        <f>'income statement '!H27</f>
        <v>176080.28511207402</v>
      </c>
      <c r="I6" s="50">
        <f>'income statement '!I27</f>
        <v>212052.86563263749</v>
      </c>
    </row>
    <row r="7" spans="2:10" x14ac:dyDescent="0.2">
      <c r="B7" s="6" t="s">
        <v>54</v>
      </c>
      <c r="C7" s="51"/>
      <c r="D7" s="51"/>
      <c r="E7" s="50"/>
      <c r="F7" s="50"/>
      <c r="G7" s="50"/>
      <c r="H7" s="50"/>
      <c r="I7" s="50"/>
    </row>
    <row r="8" spans="2:10" x14ac:dyDescent="0.2">
      <c r="B8" s="6" t="s">
        <v>20</v>
      </c>
      <c r="C8" s="51">
        <f>'income statement '!C32</f>
        <v>29797</v>
      </c>
      <c r="D8" s="51">
        <f>'income statement '!D32</f>
        <v>40303</v>
      </c>
      <c r="E8" s="50">
        <f>'PP&amp;E Sch'!D8</f>
        <v>46607.749468706344</v>
      </c>
      <c r="F8" s="50">
        <f>'PP&amp;E Sch'!E8</f>
        <v>56982.809681223807</v>
      </c>
      <c r="G8" s="50">
        <f>'PP&amp;E Sch'!F8</f>
        <v>67747.265426202852</v>
      </c>
      <c r="H8" s="50">
        <f>'PP&amp;E Sch'!G8</f>
        <v>81675.982226202832</v>
      </c>
      <c r="I8" s="50">
        <f>'PP&amp;E Sch'!H8</f>
        <v>97783.620442587737</v>
      </c>
    </row>
    <row r="9" spans="2:10" x14ac:dyDescent="0.2">
      <c r="B9" s="6" t="s">
        <v>21</v>
      </c>
      <c r="C9" s="39">
        <f>'income statement '!C33</f>
        <v>0</v>
      </c>
      <c r="D9" s="39">
        <f>'income statement '!D33</f>
        <v>0</v>
      </c>
      <c r="E9" s="79">
        <f>'income statement '!E33</f>
        <v>0</v>
      </c>
      <c r="F9" s="79">
        <f>'income statement '!F33</f>
        <v>0</v>
      </c>
      <c r="G9" s="79">
        <f>'income statement '!G33</f>
        <v>0</v>
      </c>
      <c r="H9" s="79">
        <f>'income statement '!H33</f>
        <v>0</v>
      </c>
      <c r="I9" s="79">
        <f>'income statement '!I33</f>
        <v>0</v>
      </c>
    </row>
    <row r="10" spans="2:10" x14ac:dyDescent="0.2">
      <c r="B10" s="45" t="s">
        <v>55</v>
      </c>
      <c r="C10" s="51"/>
      <c r="D10" s="51"/>
      <c r="E10" s="50"/>
      <c r="F10" s="50"/>
      <c r="G10" s="50"/>
      <c r="H10" s="50"/>
      <c r="I10" s="50"/>
    </row>
    <row r="11" spans="2:10" x14ac:dyDescent="0.2">
      <c r="B11" s="6" t="s">
        <v>77</v>
      </c>
      <c r="C11" s="51">
        <v>-14180</v>
      </c>
      <c r="D11" s="51">
        <v>13194</v>
      </c>
      <c r="E11" s="50">
        <f>'balances sheet'!D8-'balances sheet'!E8</f>
        <v>-6412.8409920534978</v>
      </c>
      <c r="F11" s="50">
        <f>'balances sheet'!E8-'balances sheet'!F8</f>
        <v>-6538.2236031786015</v>
      </c>
      <c r="G11" s="50">
        <f>'balances sheet'!F8-'balances sheet'!G8</f>
        <v>-8540.1796761856822</v>
      </c>
      <c r="H11" s="50">
        <f>'balances sheet'!G8-'balances sheet'!H8</f>
        <v>-9831.6287999999913</v>
      </c>
      <c r="I11" s="50">
        <f>'balances sheet'!H8-'balances sheet'!I8</f>
        <v>-12047.906646853684</v>
      </c>
    </row>
    <row r="12" spans="2:10" x14ac:dyDescent="0.2">
      <c r="B12" s="6" t="s">
        <v>32</v>
      </c>
      <c r="C12" s="51">
        <v>-24983</v>
      </c>
      <c r="D12" s="51">
        <v>-32228</v>
      </c>
      <c r="E12" s="50">
        <f>'balances sheet'!D9-'balances sheet'!E9</f>
        <v>-25102.32642929061</v>
      </c>
      <c r="F12" s="50">
        <f>'balances sheet'!E9-'balances sheet'!F9</f>
        <v>-34758.38134131534</v>
      </c>
      <c r="G12" s="50">
        <f>'balances sheet'!F9-'balances sheet'!G9</f>
        <v>-38930.977494756342</v>
      </c>
      <c r="H12" s="50">
        <f>'balances sheet'!G9-'balances sheet'!H9</f>
        <v>-48385.303160864132</v>
      </c>
      <c r="I12" s="50">
        <f>'balances sheet'!H9-'balances sheet'!I9</f>
        <v>-57061.69032222213</v>
      </c>
    </row>
    <row r="13" spans="2:10" x14ac:dyDescent="0.2">
      <c r="B13" s="6" t="s">
        <v>34</v>
      </c>
      <c r="C13" s="51">
        <v>39888</v>
      </c>
      <c r="D13" s="51">
        <v>-600</v>
      </c>
      <c r="E13" s="50">
        <f>'balances sheet'!E25-'balances sheet'!D25</f>
        <v>61224.986260850099</v>
      </c>
      <c r="F13" s="50">
        <f>'balances sheet'!F25-'balances sheet'!E25</f>
        <v>22658.487322342815</v>
      </c>
      <c r="G13" s="50">
        <f>'balances sheet'!G25-'balances sheet'!F25</f>
        <v>57639.67322253983</v>
      </c>
      <c r="H13" s="50">
        <f>'balances sheet'!H25-'balances sheet'!G25</f>
        <v>50886.692022007192</v>
      </c>
      <c r="I13" s="50">
        <f>'balances sheet'!I25-'balances sheet'!H25</f>
        <v>72029.21309835196</v>
      </c>
    </row>
    <row r="14" spans="2:10" x14ac:dyDescent="0.2">
      <c r="B14" s="45" t="s">
        <v>107</v>
      </c>
      <c r="C14" s="80">
        <f>SUM(C6:C13)</f>
        <v>85250</v>
      </c>
      <c r="D14" s="80">
        <f t="shared" ref="D14:I14" si="1">SUM(D6:D13)</f>
        <v>74534</v>
      </c>
      <c r="E14" s="81">
        <f t="shared" si="1"/>
        <v>171740.57482865118</v>
      </c>
      <c r="F14" s="81">
        <f t="shared" si="1"/>
        <v>156755.55817133607</v>
      </c>
      <c r="G14" s="81">
        <f t="shared" si="1"/>
        <v>224381.30199987462</v>
      </c>
      <c r="H14" s="81">
        <f t="shared" si="1"/>
        <v>250426.02739941989</v>
      </c>
      <c r="I14" s="81">
        <f t="shared" si="1"/>
        <v>312756.1022045014</v>
      </c>
    </row>
    <row r="15" spans="2:10" x14ac:dyDescent="0.2">
      <c r="C15" s="51"/>
      <c r="D15" s="51"/>
      <c r="E15" s="50"/>
      <c r="F15" s="50"/>
      <c r="G15" s="50"/>
      <c r="H15" s="50"/>
      <c r="I15" s="50"/>
    </row>
    <row r="16" spans="2:10" x14ac:dyDescent="0.2">
      <c r="B16" s="6" t="s">
        <v>56</v>
      </c>
      <c r="C16" s="51"/>
      <c r="D16" s="51"/>
      <c r="E16" s="50"/>
      <c r="F16" s="50"/>
      <c r="G16" s="50"/>
      <c r="H16" s="50"/>
      <c r="I16" s="50"/>
    </row>
    <row r="17" spans="2:12" x14ac:dyDescent="0.2">
      <c r="B17" s="6" t="s">
        <v>116</v>
      </c>
      <c r="C17" s="51">
        <v>-768023</v>
      </c>
      <c r="D17" s="51">
        <v>-612810</v>
      </c>
      <c r="E17" s="50">
        <f>-'PP&amp;E Sch'!D6</f>
        <v>-643450.5</v>
      </c>
      <c r="F17" s="50">
        <f>-'PP&amp;E Sch'!E6</f>
        <v>-675623.02500000002</v>
      </c>
      <c r="G17" s="50">
        <f>-'PP&amp;E Sch'!F6</f>
        <v>-709404.17625000002</v>
      </c>
      <c r="H17" s="50">
        <f>-'PP&amp;E Sch'!G6</f>
        <v>-744874.38506250002</v>
      </c>
      <c r="I17" s="50">
        <f>-'PP&amp;E Sch'!H6</f>
        <v>-782118.10431562504</v>
      </c>
      <c r="J17" s="25"/>
      <c r="K17" s="25"/>
      <c r="L17" s="25"/>
    </row>
    <row r="18" spans="2:12" x14ac:dyDescent="0.2">
      <c r="B18" s="6" t="s">
        <v>118</v>
      </c>
      <c r="C18" s="51">
        <f>C19-C17</f>
        <v>658861</v>
      </c>
      <c r="D18" s="51">
        <f t="shared" ref="D18" si="2">D19-D17</f>
        <v>519809</v>
      </c>
      <c r="E18" s="50">
        <f>AVERAGE(C18:D18)</f>
        <v>589335</v>
      </c>
      <c r="F18" s="50">
        <f t="shared" ref="F18:I18" si="3">AVERAGE(D18:E18)</f>
        <v>554572</v>
      </c>
      <c r="G18" s="50">
        <f t="shared" si="3"/>
        <v>571953.5</v>
      </c>
      <c r="H18" s="50">
        <f t="shared" si="3"/>
        <v>563262.75</v>
      </c>
      <c r="I18" s="50">
        <f t="shared" si="3"/>
        <v>567608.125</v>
      </c>
    </row>
    <row r="19" spans="2:12" x14ac:dyDescent="0.2">
      <c r="B19" s="45" t="s">
        <v>117</v>
      </c>
      <c r="C19" s="80">
        <v>-109162</v>
      </c>
      <c r="D19" s="80">
        <v>-93001</v>
      </c>
      <c r="E19" s="81">
        <f>SUM(E17:E18)</f>
        <v>-54115.5</v>
      </c>
      <c r="F19" s="81">
        <f t="shared" ref="F19:I19" si="4">SUM(F17:F18)</f>
        <v>-121051.02500000002</v>
      </c>
      <c r="G19" s="81">
        <f t="shared" si="4"/>
        <v>-137450.67625000002</v>
      </c>
      <c r="H19" s="81">
        <f t="shared" si="4"/>
        <v>-181611.63506250002</v>
      </c>
      <c r="I19" s="81">
        <f t="shared" si="4"/>
        <v>-214509.97931562504</v>
      </c>
    </row>
    <row r="20" spans="2:12" x14ac:dyDescent="0.2">
      <c r="C20" s="51"/>
      <c r="D20" s="51"/>
      <c r="E20" s="50"/>
      <c r="F20" s="50"/>
      <c r="G20" s="50"/>
      <c r="H20" s="50"/>
      <c r="I20" s="50"/>
      <c r="J20" s="25"/>
    </row>
    <row r="21" spans="2:12" x14ac:dyDescent="0.2">
      <c r="B21" s="6" t="s">
        <v>57</v>
      </c>
      <c r="C21" s="51"/>
      <c r="D21" s="51"/>
      <c r="E21" s="50"/>
      <c r="F21" s="50"/>
      <c r="G21" s="50"/>
      <c r="H21" s="50"/>
      <c r="I21" s="50"/>
    </row>
    <row r="22" spans="2:12" x14ac:dyDescent="0.2">
      <c r="B22" s="46" t="s">
        <v>108</v>
      </c>
      <c r="C22" s="51">
        <v>5</v>
      </c>
      <c r="D22" s="51">
        <v>479</v>
      </c>
      <c r="E22" s="39">
        <f>'income statement '!E46</f>
        <v>0</v>
      </c>
      <c r="F22" s="39">
        <f>'income statement '!F46</f>
        <v>0</v>
      </c>
      <c r="G22" s="39">
        <f>'income statement '!G46</f>
        <v>0</v>
      </c>
      <c r="H22" s="39">
        <f>'income statement '!H46</f>
        <v>0</v>
      </c>
      <c r="I22" s="39">
        <f>'income statement '!I46</f>
        <v>0</v>
      </c>
    </row>
    <row r="23" spans="2:12" x14ac:dyDescent="0.2">
      <c r="B23" s="46" t="s">
        <v>109</v>
      </c>
      <c r="C23" s="51">
        <v>99105</v>
      </c>
      <c r="D23" s="51">
        <v>67134</v>
      </c>
      <c r="E23" s="50">
        <f>D23*(1-0.1)</f>
        <v>60420.6</v>
      </c>
      <c r="F23" s="50">
        <f t="shared" ref="F23:I23" si="5">E23*(1-0.1)</f>
        <v>54378.54</v>
      </c>
      <c r="G23" s="50">
        <f t="shared" si="5"/>
        <v>48940.686000000002</v>
      </c>
      <c r="H23" s="50">
        <f t="shared" si="5"/>
        <v>44046.617400000003</v>
      </c>
      <c r="I23" s="50">
        <f t="shared" si="5"/>
        <v>39641.955660000007</v>
      </c>
    </row>
    <row r="24" spans="2:12" x14ac:dyDescent="0.2">
      <c r="B24" s="46" t="s">
        <v>110</v>
      </c>
      <c r="C24" s="51">
        <v>-49493</v>
      </c>
      <c r="D24" s="51">
        <v>-29059</v>
      </c>
      <c r="E24" s="50">
        <f t="shared" ref="E24:I24" si="6">D24*(1-0.1)</f>
        <v>-26153.100000000002</v>
      </c>
      <c r="F24" s="50">
        <f t="shared" si="6"/>
        <v>-23537.79</v>
      </c>
      <c r="G24" s="50">
        <f t="shared" si="6"/>
        <v>-21184.011000000002</v>
      </c>
      <c r="H24" s="50">
        <f t="shared" si="6"/>
        <v>-19065.609900000003</v>
      </c>
      <c r="I24" s="50">
        <f t="shared" si="6"/>
        <v>-17159.048910000005</v>
      </c>
    </row>
    <row r="25" spans="2:12" x14ac:dyDescent="0.2">
      <c r="B25" s="46" t="s">
        <v>111</v>
      </c>
      <c r="C25" s="51">
        <v>-26349</v>
      </c>
      <c r="D25" s="51">
        <v>-21650</v>
      </c>
      <c r="E25" s="50">
        <f t="shared" ref="E25:I25" si="7">D25*(1-0.1)</f>
        <v>-19485</v>
      </c>
      <c r="F25" s="50">
        <f t="shared" si="7"/>
        <v>-17536.5</v>
      </c>
      <c r="G25" s="50">
        <f t="shared" si="7"/>
        <v>-15782.85</v>
      </c>
      <c r="H25" s="50">
        <f t="shared" si="7"/>
        <v>-14204.565000000001</v>
      </c>
      <c r="I25" s="50">
        <f t="shared" si="7"/>
        <v>-12784.1085</v>
      </c>
    </row>
    <row r="26" spans="2:12" x14ac:dyDescent="0.2">
      <c r="B26" s="46" t="s">
        <v>112</v>
      </c>
      <c r="C26" s="51">
        <v>-4297</v>
      </c>
      <c r="D26" s="51">
        <v>-5083</v>
      </c>
      <c r="E26" s="50">
        <f>D26*(1.05)</f>
        <v>-5337.1500000000005</v>
      </c>
      <c r="F26" s="50">
        <f t="shared" ref="F26:I26" si="8">E26*(1.05)</f>
        <v>-5604.0075000000006</v>
      </c>
      <c r="G26" s="50">
        <f t="shared" si="8"/>
        <v>-5884.207875000001</v>
      </c>
      <c r="H26" s="50">
        <f t="shared" si="8"/>
        <v>-6178.4182687500015</v>
      </c>
      <c r="I26" s="50">
        <f t="shared" si="8"/>
        <v>-6487.339182187502</v>
      </c>
    </row>
    <row r="27" spans="2:12" x14ac:dyDescent="0.2">
      <c r="B27" s="46" t="s">
        <v>113</v>
      </c>
      <c r="C27" s="51">
        <v>-2132</v>
      </c>
      <c r="D27" s="51">
        <v>-1406</v>
      </c>
      <c r="E27" s="50">
        <f>D27</f>
        <v>-1406</v>
      </c>
      <c r="F27" s="50">
        <f t="shared" ref="F27:I27" si="9">E27</f>
        <v>-1406</v>
      </c>
      <c r="G27" s="50">
        <f t="shared" si="9"/>
        <v>-1406</v>
      </c>
      <c r="H27" s="50">
        <f t="shared" si="9"/>
        <v>-1406</v>
      </c>
      <c r="I27" s="50">
        <f t="shared" si="9"/>
        <v>-1406</v>
      </c>
    </row>
    <row r="28" spans="2:12" x14ac:dyDescent="0.2">
      <c r="B28" s="46" t="s">
        <v>114</v>
      </c>
      <c r="C28" s="39">
        <v>0</v>
      </c>
      <c r="D28" s="39">
        <v>0</v>
      </c>
      <c r="E28" s="50"/>
      <c r="F28" s="50"/>
      <c r="G28" s="50"/>
      <c r="H28" s="50"/>
      <c r="I28" s="50"/>
    </row>
    <row r="29" spans="2:12" x14ac:dyDescent="0.2">
      <c r="B29" s="46" t="s">
        <v>115</v>
      </c>
      <c r="C29" s="51">
        <v>450</v>
      </c>
      <c r="D29" s="51">
        <v>40</v>
      </c>
      <c r="E29" s="39">
        <f>'income statement '!E53</f>
        <v>0</v>
      </c>
      <c r="F29" s="39">
        <f>'income statement '!F53</f>
        <v>0</v>
      </c>
      <c r="G29" s="39">
        <f>'income statement '!G53</f>
        <v>0</v>
      </c>
      <c r="H29" s="39">
        <f>'income statement '!H53</f>
        <v>0</v>
      </c>
      <c r="I29" s="39">
        <f>'income statement '!I53</f>
        <v>0</v>
      </c>
    </row>
    <row r="30" spans="2:12" x14ac:dyDescent="0.2">
      <c r="B30" s="45" t="s">
        <v>119</v>
      </c>
      <c r="C30" s="80">
        <f>SUM(C22:C29)</f>
        <v>17289</v>
      </c>
      <c r="D30" s="80">
        <f t="shared" ref="D30:I30" si="10">SUM(D22:D29)</f>
        <v>10455</v>
      </c>
      <c r="E30" s="82">
        <f t="shared" si="10"/>
        <v>8039.3499999999985</v>
      </c>
      <c r="F30" s="82">
        <f t="shared" si="10"/>
        <v>6294.2424999999994</v>
      </c>
      <c r="G30" s="82">
        <f t="shared" si="10"/>
        <v>4683.6171249999979</v>
      </c>
      <c r="H30" s="82">
        <f t="shared" si="10"/>
        <v>3192.0242312499977</v>
      </c>
      <c r="I30" s="82">
        <f t="shared" si="10"/>
        <v>1805.4590678124996</v>
      </c>
    </row>
    <row r="31" spans="2:12" x14ac:dyDescent="0.2">
      <c r="C31" s="51"/>
      <c r="D31" s="51"/>
      <c r="E31" s="50"/>
      <c r="F31" s="50"/>
      <c r="G31" s="50"/>
      <c r="H31" s="50"/>
      <c r="I31" s="50"/>
    </row>
    <row r="32" spans="2:12" x14ac:dyDescent="0.2">
      <c r="B32" s="46" t="s">
        <v>58</v>
      </c>
      <c r="C32" s="51">
        <f>C14+C19+C30</f>
        <v>-6623</v>
      </c>
      <c r="D32" s="51">
        <f t="shared" ref="D32:I32" si="11">D14+D19+D30</f>
        <v>-8012</v>
      </c>
      <c r="E32" s="50">
        <f t="shared" si="11"/>
        <v>125664.42482865119</v>
      </c>
      <c r="F32" s="50">
        <f t="shared" si="11"/>
        <v>41998.77567133605</v>
      </c>
      <c r="G32" s="50">
        <f t="shared" si="11"/>
        <v>91614.242874874602</v>
      </c>
      <c r="H32" s="50">
        <f t="shared" si="11"/>
        <v>72006.416568169865</v>
      </c>
      <c r="I32" s="50">
        <f t="shared" si="11"/>
        <v>100051.58195668885</v>
      </c>
    </row>
    <row r="33" spans="2:9" x14ac:dyDescent="0.2">
      <c r="B33" s="46" t="s">
        <v>120</v>
      </c>
      <c r="C33" s="51"/>
      <c r="D33" s="50">
        <f t="shared" ref="D33" si="12">C34</f>
        <v>36178</v>
      </c>
      <c r="E33" s="50">
        <f>D34</f>
        <v>68664</v>
      </c>
      <c r="F33" s="50">
        <f t="shared" ref="F33:I33" si="13">E34</f>
        <v>194328.42482865119</v>
      </c>
      <c r="G33" s="50">
        <f t="shared" si="13"/>
        <v>236327.20049998723</v>
      </c>
      <c r="H33" s="50">
        <f t="shared" si="13"/>
        <v>327941.44337486185</v>
      </c>
      <c r="I33" s="50">
        <f t="shared" si="13"/>
        <v>399947.85994303168</v>
      </c>
    </row>
    <row r="34" spans="2:9" x14ac:dyDescent="0.2">
      <c r="B34" s="46" t="s">
        <v>121</v>
      </c>
      <c r="C34" s="80">
        <v>36178</v>
      </c>
      <c r="D34" s="80">
        <v>68664</v>
      </c>
      <c r="E34" s="81">
        <f>SUM(E32:E33)</f>
        <v>194328.42482865119</v>
      </c>
      <c r="F34" s="81">
        <f t="shared" ref="F34:I34" si="14">SUM(F32:F33)</f>
        <v>236327.20049998723</v>
      </c>
      <c r="G34" s="81">
        <f t="shared" si="14"/>
        <v>327941.44337486185</v>
      </c>
      <c r="H34" s="81">
        <f t="shared" si="14"/>
        <v>399947.85994303168</v>
      </c>
      <c r="I34" s="81">
        <f t="shared" si="14"/>
        <v>499999.44189972052</v>
      </c>
    </row>
    <row r="35" spans="2:9" x14ac:dyDescent="0.2">
      <c r="B35"/>
      <c r="C35"/>
      <c r="D35"/>
      <c r="E35"/>
      <c r="F35"/>
      <c r="G35"/>
      <c r="H35"/>
      <c r="I35"/>
    </row>
    <row r="36" spans="2:9" x14ac:dyDescent="0.2">
      <c r="B36"/>
      <c r="C36"/>
      <c r="D36"/>
      <c r="E36"/>
      <c r="F36"/>
      <c r="G36"/>
      <c r="H36"/>
      <c r="I36"/>
    </row>
    <row r="37" spans="2:9" x14ac:dyDescent="0.2">
      <c r="B37"/>
      <c r="C37"/>
      <c r="D37"/>
      <c r="E37"/>
      <c r="F37"/>
      <c r="G37"/>
      <c r="H37"/>
      <c r="I37"/>
    </row>
    <row r="38" spans="2:9" x14ac:dyDescent="0.2">
      <c r="B38"/>
      <c r="C38"/>
      <c r="D38"/>
      <c r="E38"/>
      <c r="F38"/>
      <c r="G38"/>
      <c r="H38"/>
      <c r="I38"/>
    </row>
    <row r="39" spans="2:9" x14ac:dyDescent="0.2">
      <c r="B39"/>
      <c r="C39"/>
      <c r="D39"/>
      <c r="E39"/>
      <c r="F39"/>
      <c r="G39"/>
      <c r="H39"/>
      <c r="I39"/>
    </row>
    <row r="40" spans="2:9" x14ac:dyDescent="0.2">
      <c r="B40"/>
      <c r="C40"/>
      <c r="D40"/>
      <c r="E40"/>
      <c r="F40"/>
      <c r="G40"/>
      <c r="H40"/>
      <c r="I40"/>
    </row>
    <row r="41" spans="2:9" x14ac:dyDescent="0.2">
      <c r="B41"/>
      <c r="C41"/>
      <c r="D41"/>
      <c r="E41"/>
      <c r="F41"/>
      <c r="G41"/>
      <c r="H41"/>
      <c r="I41"/>
    </row>
    <row r="42" spans="2:9" x14ac:dyDescent="0.2">
      <c r="B42"/>
      <c r="C42"/>
      <c r="D42"/>
      <c r="E42"/>
      <c r="F42"/>
      <c r="G42"/>
      <c r="H42"/>
      <c r="I42"/>
    </row>
    <row r="43" spans="2:9" x14ac:dyDescent="0.2">
      <c r="B43"/>
      <c r="C43"/>
      <c r="D43"/>
      <c r="E43"/>
      <c r="F43"/>
      <c r="G43"/>
      <c r="H43"/>
      <c r="I43"/>
    </row>
    <row r="44" spans="2:9" x14ac:dyDescent="0.2">
      <c r="B44"/>
      <c r="C44"/>
      <c r="D44"/>
      <c r="E44"/>
      <c r="F44"/>
      <c r="G44"/>
      <c r="H44"/>
      <c r="I44"/>
    </row>
    <row r="45" spans="2:9" x14ac:dyDescent="0.2">
      <c r="B45"/>
      <c r="C45"/>
      <c r="D45"/>
      <c r="E45"/>
      <c r="F45"/>
      <c r="G45"/>
      <c r="H45"/>
      <c r="I45"/>
    </row>
    <row r="46" spans="2:9" x14ac:dyDescent="0.2">
      <c r="B46"/>
      <c r="C46"/>
      <c r="D46"/>
      <c r="E46"/>
      <c r="F46"/>
      <c r="G46"/>
      <c r="H46"/>
      <c r="I46"/>
    </row>
    <row r="47" spans="2:9" x14ac:dyDescent="0.2">
      <c r="B47"/>
      <c r="C47"/>
      <c r="D47"/>
      <c r="E47"/>
      <c r="F47"/>
      <c r="G47"/>
      <c r="H47"/>
      <c r="I47"/>
    </row>
    <row r="48" spans="2:9" x14ac:dyDescent="0.2">
      <c r="B48"/>
      <c r="C48"/>
      <c r="D48"/>
      <c r="E48"/>
      <c r="F48"/>
      <c r="G48"/>
      <c r="H48"/>
      <c r="I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BE7-591B-4504-9E27-0A191B3586A2}">
  <sheetPr>
    <tabColor rgb="FFFFC000"/>
  </sheetPr>
  <dimension ref="A1:H23"/>
  <sheetViews>
    <sheetView showGridLines="0" workbookViewId="0">
      <selection activeCell="K9" sqref="K9"/>
    </sheetView>
  </sheetViews>
  <sheetFormatPr baseColWidth="10" defaultColWidth="8.83203125" defaultRowHeight="15" x14ac:dyDescent="0.2"/>
  <cols>
    <col min="1" max="1" width="45.6640625" style="6" customWidth="1"/>
    <col min="2" max="3" width="13.6640625" style="5" bestFit="1" customWidth="1"/>
    <col min="4" max="4" width="11.1640625" style="5" bestFit="1" customWidth="1"/>
    <col min="5" max="5" width="11.1640625" style="5" customWidth="1"/>
    <col min="6" max="8" width="11.1640625" style="5" bestFit="1" customWidth="1"/>
  </cols>
  <sheetData>
    <row r="1" spans="1:8" x14ac:dyDescent="0.2">
      <c r="A1" s="4"/>
      <c r="B1"/>
      <c r="C1"/>
      <c r="D1"/>
      <c r="E1"/>
      <c r="F1"/>
      <c r="G1"/>
      <c r="H1"/>
    </row>
    <row r="2" spans="1:8" x14ac:dyDescent="0.2">
      <c r="A2" s="4"/>
      <c r="B2"/>
      <c r="C2"/>
      <c r="D2"/>
      <c r="E2"/>
      <c r="F2"/>
      <c r="G2"/>
      <c r="H2"/>
    </row>
    <row r="3" spans="1:8" ht="21" x14ac:dyDescent="0.25">
      <c r="A3" s="87" t="s">
        <v>123</v>
      </c>
      <c r="B3" s="87"/>
      <c r="C3" s="87"/>
      <c r="D3" s="87"/>
      <c r="E3" s="87"/>
      <c r="F3" s="87"/>
      <c r="G3" s="87"/>
      <c r="H3" s="87"/>
    </row>
    <row r="4" spans="1:8" x14ac:dyDescent="0.2">
      <c r="A4" s="38"/>
      <c r="B4" s="9" t="s">
        <v>50</v>
      </c>
      <c r="C4" s="9" t="s">
        <v>50</v>
      </c>
      <c r="D4" s="9" t="s">
        <v>51</v>
      </c>
      <c r="E4" s="9" t="s">
        <v>51</v>
      </c>
      <c r="F4" s="9" t="s">
        <v>51</v>
      </c>
      <c r="G4" s="9" t="s">
        <v>51</v>
      </c>
      <c r="H4" s="9" t="s">
        <v>51</v>
      </c>
    </row>
    <row r="5" spans="1:8" x14ac:dyDescent="0.2">
      <c r="A5" s="38" t="s">
        <v>122</v>
      </c>
      <c r="B5" s="9">
        <v>2022</v>
      </c>
      <c r="C5" s="9">
        <f>B5+1</f>
        <v>2023</v>
      </c>
      <c r="D5" s="9">
        <f t="shared" ref="D5:H5" si="0">C5+1</f>
        <v>2024</v>
      </c>
      <c r="E5" s="9">
        <f t="shared" si="0"/>
        <v>2025</v>
      </c>
      <c r="F5" s="9">
        <f t="shared" si="0"/>
        <v>2026</v>
      </c>
      <c r="G5" s="9">
        <f t="shared" si="0"/>
        <v>2027</v>
      </c>
      <c r="H5" s="9">
        <f t="shared" si="0"/>
        <v>2028</v>
      </c>
    </row>
    <row r="6" spans="1:8" x14ac:dyDescent="0.2">
      <c r="A6" s="6" t="s">
        <v>59</v>
      </c>
      <c r="B6"/>
      <c r="C6" s="53"/>
      <c r="D6" s="53">
        <f>'Cash Flow Statement '!E33</f>
        <v>68664</v>
      </c>
      <c r="E6" s="53">
        <f>D10</f>
        <v>196328.42482865119</v>
      </c>
      <c r="F6" s="53">
        <f t="shared" ref="F6:H6" si="1">E10</f>
        <v>240327.20049998723</v>
      </c>
      <c r="G6" s="53">
        <f t="shared" si="1"/>
        <v>333941.44337486185</v>
      </c>
      <c r="H6" s="53">
        <f t="shared" si="1"/>
        <v>407947.85994303174</v>
      </c>
    </row>
    <row r="7" spans="1:8" x14ac:dyDescent="0.2">
      <c r="A7" s="6" t="s">
        <v>60</v>
      </c>
      <c r="B7"/>
      <c r="C7"/>
      <c r="D7" s="53">
        <f>'Cash Flow Statement '!E14+'Cash Flow Statement '!E19</f>
        <v>117625.07482865118</v>
      </c>
      <c r="E7" s="53">
        <f>'Cash Flow Statement '!F14+'Cash Flow Statement '!F19</f>
        <v>35704.53317133605</v>
      </c>
      <c r="F7" s="53">
        <f>'Cash Flow Statement '!G14+'Cash Flow Statement '!G19</f>
        <v>86930.625749874598</v>
      </c>
      <c r="G7" s="53">
        <f>'Cash Flow Statement '!H14+'Cash Flow Statement '!H19</f>
        <v>68814.392336919875</v>
      </c>
      <c r="H7" s="53">
        <f>'Cash Flow Statement '!I14+'Cash Flow Statement '!I19</f>
        <v>98246.122888876358</v>
      </c>
    </row>
    <row r="8" spans="1:8" x14ac:dyDescent="0.2">
      <c r="A8" s="6" t="s">
        <v>61</v>
      </c>
      <c r="B8"/>
      <c r="C8"/>
      <c r="D8" s="53">
        <f>'Cash Flow Statement '!E30</f>
        <v>8039.3499999999985</v>
      </c>
      <c r="E8" s="53">
        <f>'Cash Flow Statement '!F30</f>
        <v>6294.2424999999994</v>
      </c>
      <c r="F8" s="53">
        <f>'Cash Flow Statement '!G30</f>
        <v>4683.6171249999979</v>
      </c>
      <c r="G8" s="53">
        <f>'Cash Flow Statement '!H30</f>
        <v>3192.0242312499977</v>
      </c>
      <c r="H8" s="53">
        <f>'Cash Flow Statement '!I30</f>
        <v>1805.4590678124996</v>
      </c>
    </row>
    <row r="9" spans="1:8" x14ac:dyDescent="0.2">
      <c r="A9" s="6" t="s">
        <v>62</v>
      </c>
      <c r="B9"/>
      <c r="C9"/>
      <c r="D9" s="21">
        <v>2000</v>
      </c>
      <c r="E9" s="21">
        <v>2000</v>
      </c>
      <c r="F9" s="21">
        <v>2000</v>
      </c>
      <c r="G9" s="21">
        <v>2000</v>
      </c>
      <c r="H9" s="21">
        <v>2000</v>
      </c>
    </row>
    <row r="10" spans="1:8" x14ac:dyDescent="0.2">
      <c r="A10" s="6" t="s">
        <v>63</v>
      </c>
      <c r="B10"/>
      <c r="C10"/>
      <c r="D10" s="53">
        <f>SUM(D6:D9)</f>
        <v>196328.42482865119</v>
      </c>
      <c r="E10" s="53">
        <f t="shared" ref="E10:H10" si="2">SUM(E6:E9)</f>
        <v>240327.20049998723</v>
      </c>
      <c r="F10" s="53">
        <f t="shared" si="2"/>
        <v>333941.44337486185</v>
      </c>
      <c r="G10" s="53">
        <f t="shared" si="2"/>
        <v>407947.85994303174</v>
      </c>
      <c r="H10" s="53">
        <f t="shared" si="2"/>
        <v>509999.44189972058</v>
      </c>
    </row>
    <row r="11" spans="1:8" x14ac:dyDescent="0.2">
      <c r="A11" s="6" t="s">
        <v>35</v>
      </c>
      <c r="B11"/>
      <c r="C11"/>
      <c r="D11" s="54">
        <v>0</v>
      </c>
      <c r="E11" s="54">
        <v>0</v>
      </c>
      <c r="F11" s="54">
        <v>0</v>
      </c>
      <c r="G11" s="54">
        <v>0</v>
      </c>
      <c r="H11" s="54">
        <v>0</v>
      </c>
    </row>
    <row r="12" spans="1:8" x14ac:dyDescent="0.2">
      <c r="A12" s="6" t="s">
        <v>35</v>
      </c>
      <c r="B12"/>
      <c r="C12"/>
      <c r="D12" s="54">
        <v>0</v>
      </c>
      <c r="E12" s="54">
        <v>0</v>
      </c>
      <c r="F12" s="54">
        <v>0</v>
      </c>
      <c r="G12" s="54">
        <v>0</v>
      </c>
      <c r="H12" s="54">
        <v>0</v>
      </c>
    </row>
    <row r="13" spans="1:8" x14ac:dyDescent="0.2">
      <c r="B13" s="52"/>
      <c r="C13"/>
      <c r="D13"/>
      <c r="E13"/>
      <c r="F13"/>
      <c r="G13"/>
      <c r="H13"/>
    </row>
    <row r="14" spans="1:8" x14ac:dyDescent="0.2">
      <c r="A14" s="6" t="s">
        <v>64</v>
      </c>
      <c r="B14"/>
      <c r="C14"/>
      <c r="D14"/>
      <c r="E14"/>
      <c r="F14"/>
      <c r="G14"/>
      <c r="H14"/>
    </row>
    <row r="15" spans="1:8" x14ac:dyDescent="0.2">
      <c r="A15" s="6" t="s">
        <v>37</v>
      </c>
      <c r="B15" s="44">
        <f>'balances sheet'!C32</f>
        <v>224883</v>
      </c>
      <c r="C15" s="44">
        <f>'balances sheet'!D32</f>
        <v>296023</v>
      </c>
      <c r="D15" s="44">
        <f>C15-C16</f>
        <v>273534.7</v>
      </c>
      <c r="E15" s="44">
        <f t="shared" ref="E15:H15" si="3">D15-D16</f>
        <v>243932.40000000002</v>
      </c>
      <c r="F15" s="44">
        <f t="shared" si="3"/>
        <v>216578.93000000002</v>
      </c>
      <c r="G15" s="44">
        <f t="shared" si="3"/>
        <v>192185.69</v>
      </c>
      <c r="H15" s="44">
        <f t="shared" si="3"/>
        <v>170527.79699999999</v>
      </c>
    </row>
    <row r="16" spans="1:8" x14ac:dyDescent="0.2">
      <c r="A16" s="6" t="s">
        <v>65</v>
      </c>
      <c r="B16" s="44"/>
      <c r="C16" s="44">
        <f>B15*10%</f>
        <v>22488.300000000003</v>
      </c>
      <c r="D16" s="44">
        <f t="shared" ref="D16:H16" si="4">C15*10%</f>
        <v>29602.300000000003</v>
      </c>
      <c r="E16" s="44">
        <f t="shared" si="4"/>
        <v>27353.47</v>
      </c>
      <c r="F16" s="44">
        <f t="shared" si="4"/>
        <v>24393.240000000005</v>
      </c>
      <c r="G16" s="44">
        <f t="shared" si="4"/>
        <v>21657.893000000004</v>
      </c>
      <c r="H16" s="44">
        <f t="shared" si="4"/>
        <v>19218.569</v>
      </c>
    </row>
    <row r="17" spans="1:8" x14ac:dyDescent="0.2">
      <c r="A17" s="6" t="s">
        <v>16</v>
      </c>
      <c r="B17"/>
      <c r="C17"/>
      <c r="D17"/>
      <c r="E17"/>
      <c r="F17"/>
      <c r="G17"/>
      <c r="H17"/>
    </row>
    <row r="18" spans="1:8" x14ac:dyDescent="0.2">
      <c r="A18" s="6" t="s">
        <v>66</v>
      </c>
      <c r="B18"/>
      <c r="C18"/>
      <c r="D18" s="55">
        <v>0.08</v>
      </c>
      <c r="E18" s="55">
        <v>0.08</v>
      </c>
      <c r="F18" s="55">
        <v>0.08</v>
      </c>
      <c r="G18" s="55">
        <v>0.08</v>
      </c>
      <c r="H18" s="55">
        <v>0.08</v>
      </c>
    </row>
    <row r="19" spans="1:8" x14ac:dyDescent="0.2">
      <c r="A19" s="6" t="s">
        <v>67</v>
      </c>
      <c r="B19"/>
      <c r="C19"/>
      <c r="D19" s="55">
        <v>0.05</v>
      </c>
      <c r="E19" s="55">
        <v>0.05</v>
      </c>
      <c r="F19" s="55">
        <v>0.05</v>
      </c>
      <c r="G19" s="55">
        <v>0.05</v>
      </c>
      <c r="H19" s="55">
        <v>0.05</v>
      </c>
    </row>
    <row r="20" spans="1:8" x14ac:dyDescent="0.2">
      <c r="B20"/>
      <c r="C20"/>
      <c r="D20"/>
      <c r="E20"/>
      <c r="F20"/>
      <c r="G20"/>
      <c r="H20"/>
    </row>
    <row r="21" spans="1:8" x14ac:dyDescent="0.2">
      <c r="A21" s="6" t="s">
        <v>69</v>
      </c>
      <c r="B21"/>
      <c r="C21"/>
      <c r="D21" s="54">
        <v>0</v>
      </c>
      <c r="E21" s="54">
        <v>0</v>
      </c>
      <c r="F21" s="54">
        <v>0</v>
      </c>
      <c r="G21" s="54">
        <v>0</v>
      </c>
      <c r="H21" s="54">
        <v>0</v>
      </c>
    </row>
    <row r="22" spans="1:8" x14ac:dyDescent="0.2">
      <c r="A22" s="6" t="s">
        <v>68</v>
      </c>
      <c r="B22"/>
      <c r="C22"/>
      <c r="D22" s="44">
        <f>AVERAGE(C15:C16,D15:D16)*D18</f>
        <v>12432.966</v>
      </c>
      <c r="E22" s="44">
        <f t="shared" ref="E22:H22" si="5">AVERAGE(D15:D16,E15:E16)*E18</f>
        <v>11488.457399999999</v>
      </c>
      <c r="F22" s="44">
        <f t="shared" si="5"/>
        <v>10245.160800000001</v>
      </c>
      <c r="G22" s="44">
        <f t="shared" si="5"/>
        <v>9096.3150600000008</v>
      </c>
      <c r="H22" s="44">
        <f t="shared" si="5"/>
        <v>8071.7989800000005</v>
      </c>
    </row>
    <row r="23" spans="1:8" ht="16" thickBot="1" x14ac:dyDescent="0.25">
      <c r="A23" s="45" t="s">
        <v>70</v>
      </c>
      <c r="B23" s="1"/>
      <c r="C23" s="1"/>
      <c r="D23" s="56">
        <f>D22</f>
        <v>12432.966</v>
      </c>
      <c r="E23" s="56">
        <f t="shared" ref="E23:H23" si="6">E22</f>
        <v>11488.457399999999</v>
      </c>
      <c r="F23" s="56">
        <f t="shared" si="6"/>
        <v>10245.160800000001</v>
      </c>
      <c r="G23" s="56">
        <f t="shared" si="6"/>
        <v>9096.3150600000008</v>
      </c>
      <c r="H23" s="56">
        <f t="shared" si="6"/>
        <v>8071.7989800000005</v>
      </c>
    </row>
  </sheetData>
  <mergeCells count="1"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C1-5623-4BA8-9044-3EF5666600D6}">
  <sheetPr>
    <tabColor rgb="FFFFC000"/>
  </sheetPr>
  <dimension ref="A1:H11"/>
  <sheetViews>
    <sheetView showGridLines="0" workbookViewId="0">
      <selection activeCell="F21" sqref="F21"/>
    </sheetView>
  </sheetViews>
  <sheetFormatPr baseColWidth="10" defaultColWidth="8.83203125" defaultRowHeight="15" x14ac:dyDescent="0.2"/>
  <cols>
    <col min="1" max="1" width="33.33203125" style="5" bestFit="1" customWidth="1"/>
    <col min="2" max="2" width="13.1640625" style="5" customWidth="1"/>
    <col min="3" max="3" width="12.6640625" style="5" customWidth="1"/>
    <col min="4" max="8" width="12.33203125" style="5" bestFit="1" customWidth="1"/>
  </cols>
  <sheetData>
    <row r="1" spans="1:8" ht="21" x14ac:dyDescent="0.25">
      <c r="A1" s="87" t="s">
        <v>123</v>
      </c>
      <c r="B1" s="87"/>
      <c r="C1" s="87"/>
      <c r="D1" s="87"/>
      <c r="E1" s="87"/>
      <c r="F1" s="87"/>
      <c r="G1" s="87"/>
      <c r="H1" s="87"/>
    </row>
    <row r="2" spans="1:8" x14ac:dyDescent="0.2">
      <c r="A2" s="38"/>
      <c r="B2" s="9" t="s">
        <v>50</v>
      </c>
      <c r="C2" s="9" t="s">
        <v>50</v>
      </c>
      <c r="D2" s="9" t="s">
        <v>51</v>
      </c>
      <c r="E2" s="9" t="s">
        <v>51</v>
      </c>
      <c r="F2" s="9" t="s">
        <v>51</v>
      </c>
      <c r="G2" s="9" t="s">
        <v>51</v>
      </c>
      <c r="H2" s="9" t="s">
        <v>51</v>
      </c>
    </row>
    <row r="3" spans="1:8" x14ac:dyDescent="0.2">
      <c r="A3" s="38" t="s">
        <v>122</v>
      </c>
      <c r="B3" s="9">
        <v>2022</v>
      </c>
      <c r="C3" s="9">
        <f>B3+1</f>
        <v>2023</v>
      </c>
      <c r="D3" s="9">
        <f t="shared" ref="D3:H3" si="0">C3+1</f>
        <v>2024</v>
      </c>
      <c r="E3" s="9">
        <f t="shared" si="0"/>
        <v>2025</v>
      </c>
      <c r="F3" s="9">
        <f t="shared" si="0"/>
        <v>2026</v>
      </c>
      <c r="G3" s="9">
        <f t="shared" si="0"/>
        <v>2027</v>
      </c>
      <c r="H3" s="9">
        <f t="shared" si="0"/>
        <v>2028</v>
      </c>
    </row>
    <row r="4" spans="1:8" x14ac:dyDescent="0.2">
      <c r="A4" s="57" t="s">
        <v>71</v>
      </c>
      <c r="B4" s="53"/>
      <c r="C4" s="53"/>
    </row>
    <row r="5" spans="1:8" x14ac:dyDescent="0.2">
      <c r="A5" s="6" t="s">
        <v>72</v>
      </c>
      <c r="B5" s="53"/>
      <c r="C5" s="53"/>
      <c r="D5" s="53">
        <f>'balances sheet'!D14</f>
        <v>724805</v>
      </c>
      <c r="E5" s="53">
        <f>D11</f>
        <v>1414863.2494687063</v>
      </c>
      <c r="F5" s="53">
        <f>E11</f>
        <v>2147469.0841499302</v>
      </c>
      <c r="G5" s="53">
        <f>F11</f>
        <v>2924620.5258261329</v>
      </c>
      <c r="H5" s="53">
        <f>G11</f>
        <v>3751170.8931148355</v>
      </c>
    </row>
    <row r="6" spans="1:8" x14ac:dyDescent="0.2">
      <c r="A6" s="5" t="s">
        <v>73</v>
      </c>
      <c r="B6" s="53">
        <f>-'Cash Flow Statement '!C17</f>
        <v>768023</v>
      </c>
      <c r="C6" s="53">
        <f>-'Cash Flow Statement '!D17</f>
        <v>612810</v>
      </c>
      <c r="D6" s="53">
        <f>C6*1.05</f>
        <v>643450.5</v>
      </c>
      <c r="E6" s="53">
        <f t="shared" ref="E6:H6" si="1">D6*1.05</f>
        <v>675623.02500000002</v>
      </c>
      <c r="F6" s="53">
        <f t="shared" si="1"/>
        <v>709404.17625000002</v>
      </c>
      <c r="G6" s="53">
        <f t="shared" si="1"/>
        <v>744874.38506250002</v>
      </c>
      <c r="H6" s="53">
        <f t="shared" si="1"/>
        <v>782118.10431562504</v>
      </c>
    </row>
    <row r="7" spans="1:8" x14ac:dyDescent="0.2">
      <c r="B7" s="53"/>
      <c r="C7" s="53"/>
      <c r="D7" s="53"/>
      <c r="E7" s="53"/>
      <c r="F7" s="53"/>
      <c r="G7" s="53"/>
      <c r="H7" s="53"/>
    </row>
    <row r="8" spans="1:8" x14ac:dyDescent="0.2">
      <c r="A8" s="5" t="s">
        <v>74</v>
      </c>
      <c r="B8" s="53">
        <f>'income statement '!C32</f>
        <v>29797</v>
      </c>
      <c r="C8" s="53">
        <f>'income statement '!D32</f>
        <v>40303</v>
      </c>
      <c r="D8" s="53">
        <f>'income statement '!E5*'PP&amp;E Sch'!D9</f>
        <v>46607.749468706344</v>
      </c>
      <c r="E8" s="53">
        <f>'income statement '!F5*'PP&amp;E Sch'!E9</f>
        <v>56982.809681223807</v>
      </c>
      <c r="F8" s="53">
        <f>'income statement '!G5*'PP&amp;E Sch'!F9</f>
        <v>67747.265426202852</v>
      </c>
      <c r="G8" s="53">
        <f>'income statement '!H5*'PP&amp;E Sch'!G9</f>
        <v>81675.982226202832</v>
      </c>
      <c r="H8" s="53">
        <f>'income statement '!I5*'PP&amp;E Sch'!H9</f>
        <v>97783.620442587737</v>
      </c>
    </row>
    <row r="9" spans="1:8" x14ac:dyDescent="0.2">
      <c r="A9" s="24" t="s">
        <v>75</v>
      </c>
      <c r="B9" s="53">
        <f>'income statement '!C32/'income statement '!C5</f>
        <v>4.2648052304944235E-2</v>
      </c>
      <c r="C9" s="53">
        <f>'income statement '!D32/'income statement '!D5</f>
        <v>4.5987202132369384E-2</v>
      </c>
      <c r="D9" s="53">
        <f>AVERAGE(B9:C9)</f>
        <v>4.4317627218656813E-2</v>
      </c>
      <c r="E9" s="53">
        <f t="shared" ref="E9:H9" si="2">AVERAGE(C9:D9)</f>
        <v>4.5152414675513099E-2</v>
      </c>
      <c r="F9" s="53">
        <f t="shared" si="2"/>
        <v>4.4735020947084952E-2</v>
      </c>
      <c r="G9" s="53">
        <f t="shared" si="2"/>
        <v>4.4943717811299022E-2</v>
      </c>
      <c r="H9" s="53">
        <f t="shared" si="2"/>
        <v>4.4839369379191987E-2</v>
      </c>
    </row>
    <row r="10" spans="1:8" x14ac:dyDescent="0.2">
      <c r="B10" s="53"/>
      <c r="C10" s="53"/>
      <c r="D10" s="53"/>
      <c r="E10" s="53"/>
      <c r="F10" s="53"/>
      <c r="G10" s="53"/>
      <c r="H10" s="53"/>
    </row>
    <row r="11" spans="1:8" ht="16" thickBot="1" x14ac:dyDescent="0.25">
      <c r="A11" s="10" t="s">
        <v>76</v>
      </c>
      <c r="B11" s="53"/>
      <c r="C11" s="53"/>
      <c r="D11" s="58">
        <f>SUM(D5:D8)</f>
        <v>1414863.2494687063</v>
      </c>
      <c r="E11" s="58">
        <f>SUM(E5:E8)</f>
        <v>2147469.0841499302</v>
      </c>
      <c r="F11" s="58">
        <f>SUM(F5:F8)</f>
        <v>2924620.5258261329</v>
      </c>
      <c r="G11" s="58">
        <f>SUM(G5:G8)</f>
        <v>3751170.8931148355</v>
      </c>
      <c r="H11" s="58">
        <f>SUM(H5:H8)</f>
        <v>4631072.6178730484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 company and analysis</vt:lpstr>
      <vt:lpstr>income statement </vt:lpstr>
      <vt:lpstr>balances sheet</vt:lpstr>
      <vt:lpstr>Cash Flow Statement </vt:lpstr>
      <vt:lpstr>Debt Sch</vt:lpstr>
      <vt:lpstr>PP&amp;E 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Deekshitha R</cp:lastModifiedBy>
  <dcterms:created xsi:type="dcterms:W3CDTF">2022-07-24T06:36:42Z</dcterms:created>
  <dcterms:modified xsi:type="dcterms:W3CDTF">2024-03-30T21:11:34Z</dcterms:modified>
</cp:coreProperties>
</file>