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AF9309B-0501-4B97-BD7B-F25478649A2B}" xr6:coauthVersionLast="47" xr6:coauthVersionMax="47" xr10:uidLastSave="{00000000-0000-0000-0000-000000000000}"/>
  <bookViews>
    <workbookView xWindow="-110" yWindow="-110" windowWidth="22620" windowHeight="13500" firstSheet="5" activeTab="5" xr2:uid="{0F9CAA1E-FAAD-48DA-978D-8324C1F081C8}"/>
  </bookViews>
  <sheets>
    <sheet name="OPS &amp; Business" sheetId="1" state="hidden" r:id="rId1"/>
    <sheet name="Cost &amp; Income" sheetId="2" state="hidden" r:id="rId2"/>
    <sheet name="Deepak's PoD" sheetId="3" state="hidden" r:id="rId3"/>
    <sheet name="Working_1" sheetId="4" state="hidden" r:id="rId4"/>
    <sheet name="Working_2" sheetId="5" state="hidden" r:id="rId5"/>
    <sheet name="WORK SHEET FINAL" sheetId="8" r:id="rId6"/>
    <sheet name="Working_2 (2)" sheetId="6" state="hidden" r:id="rId7"/>
    <sheet name="TO DO" sheetId="7" state="hidden" r:id="rId8"/>
  </sheets>
  <definedNames>
    <definedName name="Cr">'Working_2 (2)'!$AG$4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" i="8" l="1"/>
  <c r="I15" i="8"/>
  <c r="I13" i="8"/>
  <c r="I14" i="8"/>
  <c r="Z27" i="8"/>
  <c r="AA27" i="8"/>
  <c r="AB27" i="8"/>
  <c r="Z28" i="8"/>
  <c r="AA28" i="8"/>
  <c r="AB28" i="8"/>
  <c r="Z29" i="8"/>
  <c r="AA29" i="8"/>
  <c r="AB29" i="8"/>
  <c r="Z30" i="8"/>
  <c r="AA30" i="8"/>
  <c r="AB30" i="8"/>
  <c r="Z31" i="8"/>
  <c r="AA31" i="8"/>
  <c r="AB31" i="8"/>
  <c r="Z32" i="8"/>
  <c r="AA32" i="8"/>
  <c r="AB32" i="8"/>
  <c r="Z33" i="8"/>
  <c r="AA33" i="8"/>
  <c r="AB33" i="8"/>
  <c r="Z34" i="8"/>
  <c r="AA34" i="8"/>
  <c r="AB34" i="8"/>
  <c r="AB35" i="8"/>
  <c r="H4" i="8"/>
  <c r="H7" i="8"/>
  <c r="H9" i="8"/>
  <c r="H10" i="8"/>
  <c r="I7" i="8"/>
  <c r="I9" i="8"/>
  <c r="I10" i="8"/>
  <c r="I12" i="8"/>
  <c r="Z75" i="8"/>
  <c r="AA75" i="8"/>
  <c r="AB75" i="8"/>
  <c r="C7" i="8"/>
  <c r="C8" i="8"/>
  <c r="C9" i="8"/>
  <c r="D18" i="8"/>
  <c r="E18" i="8"/>
  <c r="G18" i="8"/>
  <c r="I18" i="8"/>
  <c r="K18" i="8"/>
  <c r="O18" i="8"/>
  <c r="D19" i="8"/>
  <c r="E19" i="8"/>
  <c r="G19" i="8"/>
  <c r="I19" i="8"/>
  <c r="K19" i="8"/>
  <c r="O19" i="8"/>
  <c r="D20" i="8"/>
  <c r="E20" i="8"/>
  <c r="G20" i="8"/>
  <c r="I20" i="8"/>
  <c r="K20" i="8"/>
  <c r="O20" i="8"/>
  <c r="D21" i="8"/>
  <c r="E21" i="8"/>
  <c r="G21" i="8"/>
  <c r="I21" i="8"/>
  <c r="K21" i="8"/>
  <c r="O21" i="8"/>
  <c r="D22" i="8"/>
  <c r="E22" i="8"/>
  <c r="G22" i="8"/>
  <c r="I22" i="8"/>
  <c r="K22" i="8"/>
  <c r="O22" i="8"/>
  <c r="D23" i="8"/>
  <c r="E23" i="8"/>
  <c r="G23" i="8"/>
  <c r="I23" i="8"/>
  <c r="K23" i="8"/>
  <c r="O23" i="8"/>
  <c r="D24" i="8"/>
  <c r="E24" i="8"/>
  <c r="G24" i="8"/>
  <c r="I24" i="8"/>
  <c r="K24" i="8"/>
  <c r="O24" i="8"/>
  <c r="O25" i="8"/>
  <c r="O27" i="8"/>
  <c r="O28" i="8"/>
  <c r="Y73" i="8"/>
  <c r="Z73" i="8"/>
  <c r="AA73" i="8"/>
  <c r="AB73" i="8"/>
  <c r="AB76" i="8"/>
  <c r="C39" i="8"/>
  <c r="Z79" i="8"/>
  <c r="AA79" i="8"/>
  <c r="AB79" i="8"/>
  <c r="AA80" i="8"/>
  <c r="AB80" i="8"/>
  <c r="AA81" i="8"/>
  <c r="AB81" i="8"/>
  <c r="AB82" i="8"/>
  <c r="AB83" i="8"/>
  <c r="J34" i="8"/>
  <c r="Y86" i="8"/>
  <c r="Z86" i="8"/>
  <c r="AA86" i="8"/>
  <c r="AB86" i="8"/>
  <c r="K25" i="8"/>
  <c r="Y97" i="8"/>
  <c r="Z97" i="8"/>
  <c r="AA97" i="8"/>
  <c r="AB97" i="8"/>
  <c r="AB87" i="8"/>
  <c r="AB89" i="8"/>
  <c r="AA35" i="8"/>
  <c r="AA76" i="8"/>
  <c r="AA82" i="8"/>
  <c r="AA83" i="8"/>
  <c r="AA87" i="8"/>
  <c r="AA89" i="8"/>
  <c r="Z35" i="8"/>
  <c r="Z37" i="8"/>
  <c r="Z38" i="8"/>
  <c r="Z39" i="8"/>
  <c r="Y42" i="8"/>
  <c r="Z42" i="8"/>
  <c r="Z45" i="8"/>
  <c r="Z76" i="8"/>
  <c r="Z82" i="8"/>
  <c r="Z83" i="8"/>
  <c r="Z87" i="8"/>
  <c r="Z89" i="8"/>
  <c r="Y35" i="8"/>
  <c r="Y45" i="8"/>
  <c r="Y75" i="8"/>
  <c r="Y76" i="8"/>
  <c r="Y79" i="8"/>
  <c r="Y82" i="8"/>
  <c r="Y83" i="8"/>
  <c r="Y87" i="8"/>
  <c r="Y89" i="8"/>
  <c r="F18" i="8"/>
  <c r="H18" i="8"/>
  <c r="J18" i="8"/>
  <c r="F19" i="8"/>
  <c r="H19" i="8"/>
  <c r="J19" i="8"/>
  <c r="F20" i="8"/>
  <c r="H20" i="8"/>
  <c r="J20" i="8"/>
  <c r="F21" i="8"/>
  <c r="H21" i="8"/>
  <c r="J21" i="8"/>
  <c r="F22" i="8"/>
  <c r="H22" i="8"/>
  <c r="J22" i="8"/>
  <c r="F23" i="8"/>
  <c r="H23" i="8"/>
  <c r="J23" i="8"/>
  <c r="F24" i="8"/>
  <c r="H24" i="8"/>
  <c r="J24" i="8"/>
  <c r="J25" i="8"/>
  <c r="G38" i="8"/>
  <c r="Z96" i="8"/>
  <c r="AA96" i="8"/>
  <c r="AB96" i="8"/>
  <c r="AB88" i="8"/>
  <c r="AA88" i="8"/>
  <c r="Z88" i="8"/>
  <c r="Y96" i="8"/>
  <c r="Y88" i="8"/>
  <c r="AE76" i="8"/>
  <c r="AC75" i="8"/>
  <c r="AD75" i="8"/>
  <c r="AD76" i="8"/>
  <c r="AC76" i="8"/>
  <c r="O29" i="8"/>
  <c r="O30" i="8"/>
  <c r="N18" i="8"/>
  <c r="N19" i="8"/>
  <c r="N20" i="8"/>
  <c r="N21" i="8"/>
  <c r="N22" i="8"/>
  <c r="N23" i="8"/>
  <c r="N24" i="8"/>
  <c r="N25" i="8"/>
  <c r="N27" i="8"/>
  <c r="N28" i="8"/>
  <c r="N29" i="8"/>
  <c r="N30" i="8"/>
  <c r="Z49" i="8"/>
  <c r="AA49" i="8"/>
  <c r="AB49" i="8"/>
  <c r="Z53" i="8"/>
  <c r="AA53" i="8"/>
  <c r="AB53" i="8"/>
  <c r="Z54" i="8"/>
  <c r="AA54" i="8"/>
  <c r="AB54" i="8"/>
  <c r="Z55" i="8"/>
  <c r="AA55" i="8"/>
  <c r="AB55" i="8"/>
  <c r="AB56" i="8"/>
  <c r="G36" i="8"/>
  <c r="G37" i="8"/>
  <c r="M18" i="8"/>
  <c r="M19" i="8"/>
  <c r="M20" i="8"/>
  <c r="M21" i="8"/>
  <c r="M22" i="8"/>
  <c r="M23" i="8"/>
  <c r="M24" i="8"/>
  <c r="M25" i="8"/>
  <c r="M27" i="8"/>
  <c r="M28" i="8"/>
  <c r="M29" i="8"/>
  <c r="M30" i="8"/>
  <c r="AB57" i="8"/>
  <c r="AA56" i="8"/>
  <c r="AA57" i="8"/>
  <c r="L18" i="8"/>
  <c r="L19" i="8"/>
  <c r="L20" i="8"/>
  <c r="L21" i="8"/>
  <c r="L22" i="8"/>
  <c r="L23" i="8"/>
  <c r="L24" i="8"/>
  <c r="L25" i="8"/>
  <c r="L28" i="8"/>
  <c r="L29" i="8"/>
  <c r="L30" i="8"/>
  <c r="AB58" i="8"/>
  <c r="AA58" i="8"/>
  <c r="Y52" i="8"/>
  <c r="Z52" i="8"/>
  <c r="AA52" i="8"/>
  <c r="AB52" i="8"/>
  <c r="Z51" i="8"/>
  <c r="AA51" i="8"/>
  <c r="AB51" i="8"/>
  <c r="Z50" i="8"/>
  <c r="AA50" i="8"/>
  <c r="AB50" i="8"/>
  <c r="C7" i="5"/>
  <c r="C8" i="5"/>
  <c r="C9" i="5"/>
  <c r="H3" i="5"/>
  <c r="I3" i="5"/>
  <c r="J3" i="5"/>
  <c r="L3" i="5"/>
  <c r="N3" i="5"/>
  <c r="H4" i="5"/>
  <c r="I4" i="5"/>
  <c r="J4" i="5"/>
  <c r="L4" i="5"/>
  <c r="N4" i="5"/>
  <c r="H5" i="5"/>
  <c r="I5" i="5"/>
  <c r="J5" i="5"/>
  <c r="L5" i="5"/>
  <c r="N5" i="5"/>
  <c r="H6" i="5"/>
  <c r="I6" i="5"/>
  <c r="J6" i="5"/>
  <c r="L6" i="5"/>
  <c r="N6" i="5"/>
  <c r="H7" i="5"/>
  <c r="I7" i="5"/>
  <c r="J7" i="5"/>
  <c r="L7" i="5"/>
  <c r="N7" i="5"/>
  <c r="H8" i="5"/>
  <c r="I8" i="5"/>
  <c r="J8" i="5"/>
  <c r="L8" i="5"/>
  <c r="N8" i="5"/>
  <c r="H9" i="5"/>
  <c r="I9" i="5"/>
  <c r="J9" i="5"/>
  <c r="L9" i="5"/>
  <c r="N9" i="5"/>
  <c r="N10" i="5"/>
  <c r="H15" i="5"/>
  <c r="Y89" i="5"/>
  <c r="AA11" i="8"/>
  <c r="AB11" i="8"/>
  <c r="AA12" i="8"/>
  <c r="AB12" i="8"/>
  <c r="AB13" i="8"/>
  <c r="AA14" i="8"/>
  <c r="AB14" i="8"/>
  <c r="AA15" i="8"/>
  <c r="AB15" i="8"/>
  <c r="AB16" i="8"/>
  <c r="AB18" i="8"/>
  <c r="AA13" i="8"/>
  <c r="AA16" i="8"/>
  <c r="AA18" i="8"/>
  <c r="Z13" i="8"/>
  <c r="Z16" i="8"/>
  <c r="Z18" i="8"/>
  <c r="Y11" i="8"/>
  <c r="Y13" i="8"/>
  <c r="Y16" i="8"/>
  <c r="Y18" i="8"/>
  <c r="L13" i="8"/>
  <c r="N13" i="8"/>
  <c r="L4" i="8"/>
  <c r="N7" i="8"/>
  <c r="N8" i="8"/>
  <c r="N9" i="8"/>
  <c r="N10" i="8"/>
  <c r="N11" i="8"/>
  <c r="N12" i="8"/>
  <c r="N6" i="8"/>
  <c r="Y74" i="8"/>
  <c r="Z74" i="8"/>
  <c r="AA74" i="8"/>
  <c r="AB74" i="8"/>
  <c r="AB77" i="8"/>
  <c r="AB84" i="8"/>
  <c r="J35" i="8"/>
  <c r="Y85" i="8"/>
  <c r="Z85" i="8"/>
  <c r="AA85" i="8"/>
  <c r="AB85" i="8"/>
  <c r="AB90" i="8"/>
  <c r="AA77" i="8"/>
  <c r="AA84" i="8"/>
  <c r="AA90" i="8"/>
  <c r="Z77" i="8"/>
  <c r="Z84" i="8"/>
  <c r="Z90" i="8"/>
  <c r="Y77" i="8"/>
  <c r="Y84" i="8"/>
  <c r="Y90" i="8"/>
  <c r="AD118" i="8"/>
  <c r="AC118" i="8"/>
  <c r="AB117" i="8"/>
  <c r="AA117" i="8"/>
  <c r="Z117" i="8"/>
  <c r="Y117" i="8"/>
  <c r="AB116" i="8"/>
  <c r="AA116" i="8"/>
  <c r="Z116" i="8"/>
  <c r="Y116" i="8"/>
  <c r="AA100" i="8"/>
  <c r="AB100" i="8"/>
  <c r="AC100" i="8"/>
  <c r="AD100" i="8"/>
  <c r="AA93" i="8"/>
  <c r="AB93" i="8"/>
  <c r="AC93" i="8"/>
  <c r="AD93" i="8"/>
  <c r="AD65" i="8"/>
  <c r="AC65" i="8"/>
  <c r="AB65" i="8"/>
  <c r="AB115" i="8"/>
  <c r="AA65" i="8"/>
  <c r="AA115" i="8"/>
  <c r="Z65" i="8"/>
  <c r="Y65" i="8"/>
  <c r="AD62" i="8"/>
  <c r="AD63" i="8"/>
  <c r="AC62" i="8"/>
  <c r="AC63" i="8"/>
  <c r="Z62" i="8"/>
  <c r="Z63" i="8"/>
  <c r="Y62" i="8"/>
  <c r="Y63" i="8"/>
  <c r="AD56" i="8"/>
  <c r="AC56" i="8"/>
  <c r="Y56" i="8"/>
  <c r="C44" i="8"/>
  <c r="AD44" i="8"/>
  <c r="AC44" i="8"/>
  <c r="Z43" i="8"/>
  <c r="AD42" i="8"/>
  <c r="AC42" i="8"/>
  <c r="AB42" i="8"/>
  <c r="AA42" i="8"/>
  <c r="Z41" i="8"/>
  <c r="Z40" i="8"/>
  <c r="C35" i="8"/>
  <c r="AC30" i="8"/>
  <c r="AD30" i="8"/>
  <c r="AC29" i="8"/>
  <c r="AD29" i="8"/>
  <c r="AC28" i="8"/>
  <c r="AD28" i="8"/>
  <c r="AC15" i="8"/>
  <c r="I4" i="8"/>
  <c r="AC12" i="8"/>
  <c r="AD12" i="8"/>
  <c r="AD13" i="8"/>
  <c r="AC11" i="8"/>
  <c r="AA10" i="8"/>
  <c r="AB10" i="8"/>
  <c r="C25" i="8"/>
  <c r="AA9" i="8"/>
  <c r="AB9" i="8"/>
  <c r="AA8" i="8"/>
  <c r="AB8" i="8"/>
  <c r="H18" i="5"/>
  <c r="H20" i="5"/>
  <c r="H21" i="5"/>
  <c r="I18" i="5"/>
  <c r="I20" i="5"/>
  <c r="I21" i="5"/>
  <c r="I23" i="5"/>
  <c r="Z68" i="5"/>
  <c r="AA68" i="5"/>
  <c r="AB68" i="5"/>
  <c r="AA67" i="5"/>
  <c r="AB67" i="5"/>
  <c r="AB70" i="5"/>
  <c r="C36" i="5"/>
  <c r="Z72" i="5"/>
  <c r="AA72" i="5"/>
  <c r="AB72" i="5"/>
  <c r="AA73" i="5"/>
  <c r="AB73" i="5"/>
  <c r="Z75" i="5"/>
  <c r="AA75" i="5"/>
  <c r="AB75" i="5"/>
  <c r="AB76" i="5"/>
  <c r="AB77" i="5"/>
  <c r="AA11" i="5"/>
  <c r="AB11" i="5"/>
  <c r="AA12" i="5"/>
  <c r="AB12" i="5"/>
  <c r="AB13" i="5"/>
  <c r="AA14" i="5"/>
  <c r="AB14" i="5"/>
  <c r="AA15" i="5"/>
  <c r="AB15" i="5"/>
  <c r="AB16" i="5"/>
  <c r="AB17" i="5"/>
  <c r="AB19" i="5"/>
  <c r="Z24" i="5"/>
  <c r="AA24" i="5"/>
  <c r="AB24" i="5"/>
  <c r="Z25" i="5"/>
  <c r="AA25" i="5"/>
  <c r="AB25" i="5"/>
  <c r="Z26" i="5"/>
  <c r="AA26" i="5"/>
  <c r="AB26" i="5"/>
  <c r="Z27" i="5"/>
  <c r="AA27" i="5"/>
  <c r="AB27" i="5"/>
  <c r="AB28" i="5"/>
  <c r="AA78" i="5"/>
  <c r="AB78" i="5"/>
  <c r="Z89" i="5"/>
  <c r="AA89" i="5"/>
  <c r="AB89" i="5"/>
  <c r="AB81" i="5"/>
  <c r="N47" i="5"/>
  <c r="N48" i="5"/>
  <c r="AB83" i="5"/>
  <c r="AA70" i="5"/>
  <c r="AA76" i="5"/>
  <c r="AA77" i="5"/>
  <c r="AA13" i="5"/>
  <c r="AA16" i="5"/>
  <c r="AA17" i="5"/>
  <c r="AA19" i="5"/>
  <c r="AA28" i="5"/>
  <c r="AA81" i="5"/>
  <c r="AA83" i="5"/>
  <c r="Z70" i="5"/>
  <c r="Z76" i="5"/>
  <c r="Z77" i="5"/>
  <c r="Z13" i="5"/>
  <c r="Z16" i="5"/>
  <c r="Z17" i="5"/>
  <c r="Z19" i="5"/>
  <c r="Z28" i="5"/>
  <c r="Z81" i="5"/>
  <c r="Z83" i="5"/>
  <c r="Y68" i="5"/>
  <c r="Y70" i="5"/>
  <c r="Y72" i="5"/>
  <c r="Y75" i="5"/>
  <c r="Y76" i="5"/>
  <c r="Y77" i="5"/>
  <c r="Y11" i="5"/>
  <c r="Y13" i="5"/>
  <c r="Y16" i="5"/>
  <c r="Y17" i="5"/>
  <c r="Y19" i="5"/>
  <c r="Y28" i="5"/>
  <c r="Y81" i="5"/>
  <c r="Y83" i="5"/>
  <c r="Z30" i="5"/>
  <c r="Z31" i="5"/>
  <c r="Z32" i="5"/>
  <c r="Y35" i="5"/>
  <c r="Z35" i="5"/>
  <c r="Z38" i="5"/>
  <c r="Z40" i="5"/>
  <c r="Z103" i="5"/>
  <c r="AA40" i="5"/>
  <c r="AA103" i="5"/>
  <c r="AB40" i="5"/>
  <c r="Z55" i="5"/>
  <c r="Z56" i="5"/>
  <c r="Z102" i="5"/>
  <c r="AA56" i="5"/>
  <c r="AA102" i="5"/>
  <c r="AB56" i="5"/>
  <c r="AB58" i="5"/>
  <c r="Z42" i="5"/>
  <c r="Z46" i="5"/>
  <c r="Z47" i="5"/>
  <c r="Z48" i="5"/>
  <c r="Z49" i="5"/>
  <c r="Z51" i="5"/>
  <c r="Z43" i="5"/>
  <c r="Z101" i="5"/>
  <c r="AA51" i="5"/>
  <c r="AA43" i="5"/>
  <c r="AA101" i="5"/>
  <c r="AB51" i="5"/>
  <c r="AB63" i="5"/>
  <c r="AA58" i="5"/>
  <c r="AA63" i="5"/>
  <c r="Z58" i="5"/>
  <c r="Z63" i="5"/>
  <c r="AC27" i="5"/>
  <c r="AD27" i="5"/>
  <c r="K9" i="5"/>
  <c r="M9" i="5"/>
  <c r="O9" i="5"/>
  <c r="S9" i="5"/>
  <c r="R9" i="5"/>
  <c r="K8" i="5"/>
  <c r="M8" i="5"/>
  <c r="O8" i="5"/>
  <c r="S8" i="5"/>
  <c r="R8" i="5"/>
  <c r="K7" i="5"/>
  <c r="M7" i="5"/>
  <c r="O7" i="5"/>
  <c r="S7" i="5"/>
  <c r="R7" i="5"/>
  <c r="K6" i="5"/>
  <c r="M6" i="5"/>
  <c r="O6" i="5"/>
  <c r="S6" i="5"/>
  <c r="R6" i="5"/>
  <c r="K5" i="5"/>
  <c r="M5" i="5"/>
  <c r="O5" i="5"/>
  <c r="S5" i="5"/>
  <c r="R5" i="5"/>
  <c r="K4" i="5"/>
  <c r="M4" i="5"/>
  <c r="O4" i="5"/>
  <c r="S4" i="5"/>
  <c r="R4" i="5"/>
  <c r="K3" i="5"/>
  <c r="M3" i="5"/>
  <c r="O3" i="5"/>
  <c r="S3" i="5"/>
  <c r="R3" i="5"/>
  <c r="C7" i="6"/>
  <c r="C8" i="6"/>
  <c r="C9" i="6"/>
  <c r="H3" i="6"/>
  <c r="I3" i="6"/>
  <c r="J3" i="6"/>
  <c r="L3" i="6"/>
  <c r="N3" i="6"/>
  <c r="H4" i="6"/>
  <c r="I4" i="6"/>
  <c r="J4" i="6"/>
  <c r="L4" i="6"/>
  <c r="N4" i="6"/>
  <c r="H5" i="6"/>
  <c r="I5" i="6"/>
  <c r="J5" i="6"/>
  <c r="L5" i="6"/>
  <c r="N5" i="6"/>
  <c r="H6" i="6"/>
  <c r="I6" i="6"/>
  <c r="J6" i="6"/>
  <c r="L6" i="6"/>
  <c r="N6" i="6"/>
  <c r="H7" i="6"/>
  <c r="I7" i="6"/>
  <c r="J7" i="6"/>
  <c r="L7" i="6"/>
  <c r="N7" i="6"/>
  <c r="H8" i="6"/>
  <c r="I8" i="6"/>
  <c r="J8" i="6"/>
  <c r="L8" i="6"/>
  <c r="N8" i="6"/>
  <c r="H9" i="6"/>
  <c r="I9" i="6"/>
  <c r="J9" i="6"/>
  <c r="L9" i="6"/>
  <c r="N9" i="6"/>
  <c r="N10" i="6"/>
  <c r="H15" i="6"/>
  <c r="Z89" i="6"/>
  <c r="AA89" i="6"/>
  <c r="AB89" i="6"/>
  <c r="AA86" i="6"/>
  <c r="AB86" i="6"/>
  <c r="AB92" i="6"/>
  <c r="AA94" i="6"/>
  <c r="AB96" i="6"/>
  <c r="AB99" i="6"/>
  <c r="H18" i="6"/>
  <c r="H20" i="6"/>
  <c r="H21" i="6"/>
  <c r="I18" i="6"/>
  <c r="I20" i="6"/>
  <c r="I21" i="6"/>
  <c r="I23" i="6"/>
  <c r="Z68" i="6"/>
  <c r="AA68" i="6"/>
  <c r="AB68" i="6"/>
  <c r="AA67" i="6"/>
  <c r="AB67" i="6"/>
  <c r="AB70" i="6"/>
  <c r="C36" i="6"/>
  <c r="Z72" i="6"/>
  <c r="AA72" i="6"/>
  <c r="AB72" i="6"/>
  <c r="AA73" i="6"/>
  <c r="AB73" i="6"/>
  <c r="Z75" i="6"/>
  <c r="AA75" i="6"/>
  <c r="AB75" i="6"/>
  <c r="AB76" i="6"/>
  <c r="AB77" i="6"/>
  <c r="AA11" i="6"/>
  <c r="AB11" i="6"/>
  <c r="AA12" i="6"/>
  <c r="AB12" i="6"/>
  <c r="AB13" i="6"/>
  <c r="AA14" i="6"/>
  <c r="AB14" i="6"/>
  <c r="AA15" i="6"/>
  <c r="AB15" i="6"/>
  <c r="AB16" i="6"/>
  <c r="AB17" i="6"/>
  <c r="AB19" i="6"/>
  <c r="Z24" i="6"/>
  <c r="AA24" i="6"/>
  <c r="AB24" i="6"/>
  <c r="Z25" i="6"/>
  <c r="AA25" i="6"/>
  <c r="AB25" i="6"/>
  <c r="Z26" i="6"/>
  <c r="AA26" i="6"/>
  <c r="AB26" i="6"/>
  <c r="Z27" i="6"/>
  <c r="AA27" i="6"/>
  <c r="AB27" i="6"/>
  <c r="AB28" i="6"/>
  <c r="AA78" i="6"/>
  <c r="AB78" i="6"/>
  <c r="AB81" i="6"/>
  <c r="AB83" i="6"/>
  <c r="Z30" i="6"/>
  <c r="Z31" i="6"/>
  <c r="Z32" i="6"/>
  <c r="Y35" i="6"/>
  <c r="Z35" i="6"/>
  <c r="Z38" i="6"/>
  <c r="Z40" i="6"/>
  <c r="Z103" i="6"/>
  <c r="AA40" i="6"/>
  <c r="AA103" i="6"/>
  <c r="AB40" i="6"/>
  <c r="AB49" i="6"/>
  <c r="Z55" i="6"/>
  <c r="Z56" i="6"/>
  <c r="Z102" i="6"/>
  <c r="AA56" i="6"/>
  <c r="AA102" i="6"/>
  <c r="AB56" i="6"/>
  <c r="AB58" i="6"/>
  <c r="AB63" i="6"/>
  <c r="AB100" i="6"/>
  <c r="Z42" i="6"/>
  <c r="Z46" i="6"/>
  <c r="Z47" i="6"/>
  <c r="Z48" i="6"/>
  <c r="Z49" i="6"/>
  <c r="Z51" i="6"/>
  <c r="Z43" i="6"/>
  <c r="AA43" i="6"/>
  <c r="AB43" i="6"/>
  <c r="AB101" i="6"/>
  <c r="Z101" i="6"/>
  <c r="AA51" i="6"/>
  <c r="AA101" i="6"/>
  <c r="AB51" i="6"/>
  <c r="AB108" i="6"/>
  <c r="AB115" i="6"/>
  <c r="Y49" i="6"/>
  <c r="Y51" i="6"/>
  <c r="Y101" i="6"/>
  <c r="Y55" i="6"/>
  <c r="Y56" i="6"/>
  <c r="Y102" i="6"/>
  <c r="Y38" i="6"/>
  <c r="Y40" i="6"/>
  <c r="Y103" i="6"/>
  <c r="Y58" i="6"/>
  <c r="Y104" i="6"/>
  <c r="Y107" i="6"/>
  <c r="AB116" i="6"/>
  <c r="AB117" i="6"/>
  <c r="Y89" i="6"/>
  <c r="Y92" i="6"/>
  <c r="Y96" i="6"/>
  <c r="Y99" i="6"/>
  <c r="AB118" i="6"/>
  <c r="AB119" i="6"/>
  <c r="AJ119" i="6"/>
  <c r="AA92" i="6"/>
  <c r="AA96" i="6"/>
  <c r="AA99" i="6"/>
  <c r="AA70" i="6"/>
  <c r="AA76" i="6"/>
  <c r="AA77" i="6"/>
  <c r="AA13" i="6"/>
  <c r="AA16" i="6"/>
  <c r="AA17" i="6"/>
  <c r="AA19" i="6"/>
  <c r="AA28" i="6"/>
  <c r="AA81" i="6"/>
  <c r="AA83" i="6"/>
  <c r="AA49" i="6"/>
  <c r="AA58" i="6"/>
  <c r="AA63" i="6"/>
  <c r="AA100" i="6"/>
  <c r="AA108" i="6"/>
  <c r="AA115" i="6"/>
  <c r="AA116" i="6"/>
  <c r="AA117" i="6"/>
  <c r="AA118" i="6"/>
  <c r="AA119" i="6"/>
  <c r="AI119" i="6"/>
  <c r="Z92" i="6"/>
  <c r="Z96" i="6"/>
  <c r="Z99" i="6"/>
  <c r="Z70" i="6"/>
  <c r="Z76" i="6"/>
  <c r="Z77" i="6"/>
  <c r="Z13" i="6"/>
  <c r="Z16" i="6"/>
  <c r="Z17" i="6"/>
  <c r="Z19" i="6"/>
  <c r="Z28" i="6"/>
  <c r="Z81" i="6"/>
  <c r="Z83" i="6"/>
  <c r="Z58" i="6"/>
  <c r="Z63" i="6"/>
  <c r="Z100" i="6"/>
  <c r="Z104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AH119" i="6"/>
  <c r="Y68" i="6"/>
  <c r="Y70" i="6"/>
  <c r="Y72" i="6"/>
  <c r="Y75" i="6"/>
  <c r="Y76" i="6"/>
  <c r="Y77" i="6"/>
  <c r="Y11" i="6"/>
  <c r="Y13" i="6"/>
  <c r="Y16" i="6"/>
  <c r="Y17" i="6"/>
  <c r="Y19" i="6"/>
  <c r="Y28" i="6"/>
  <c r="Y81" i="6"/>
  <c r="Y83" i="6"/>
  <c r="Y63" i="6"/>
  <c r="Y100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AG119" i="6"/>
  <c r="AJ118" i="6"/>
  <c r="AI118" i="6"/>
  <c r="AH118" i="6"/>
  <c r="AG118" i="6"/>
  <c r="AJ117" i="6"/>
  <c r="AI117" i="6"/>
  <c r="AH117" i="6"/>
  <c r="AG117" i="6"/>
  <c r="AJ116" i="6"/>
  <c r="AI116" i="6"/>
  <c r="AH116" i="6"/>
  <c r="AG116" i="6"/>
  <c r="AJ115" i="6"/>
  <c r="AI115" i="6"/>
  <c r="AH115" i="6"/>
  <c r="AG115" i="6"/>
  <c r="AB109" i="6"/>
  <c r="AB110" i="6"/>
  <c r="AB111" i="6"/>
  <c r="AB112" i="6"/>
  <c r="AB113" i="6"/>
  <c r="AB114" i="6"/>
  <c r="AJ114" i="6"/>
  <c r="AA109" i="6"/>
  <c r="AA110" i="6"/>
  <c r="AA111" i="6"/>
  <c r="AA112" i="6"/>
  <c r="AA113" i="6"/>
  <c r="AA114" i="6"/>
  <c r="AI114" i="6"/>
  <c r="AH114" i="6"/>
  <c r="AG114" i="6"/>
  <c r="AB102" i="6"/>
  <c r="AB103" i="6"/>
  <c r="AB104" i="6"/>
  <c r="AB107" i="6"/>
  <c r="AJ107" i="6"/>
  <c r="AA104" i="6"/>
  <c r="AA107" i="6"/>
  <c r="AI107" i="6"/>
  <c r="AH107" i="6"/>
  <c r="AG107" i="6"/>
  <c r="AJ100" i="6"/>
  <c r="AI100" i="6"/>
  <c r="AH100" i="6"/>
  <c r="AG100" i="6"/>
  <c r="AJ84" i="6"/>
  <c r="AI84" i="6"/>
  <c r="AH84" i="6"/>
  <c r="AG84" i="6"/>
  <c r="AJ64" i="6"/>
  <c r="AI64" i="6"/>
  <c r="AH64" i="6"/>
  <c r="AG64" i="6"/>
  <c r="AJ6" i="6"/>
  <c r="AI6" i="6"/>
  <c r="AH6" i="6"/>
  <c r="AG6" i="6"/>
  <c r="AB132" i="6"/>
  <c r="AA132" i="6"/>
  <c r="Z132" i="6"/>
  <c r="Y132" i="6"/>
  <c r="AB125" i="6"/>
  <c r="AA125" i="6"/>
  <c r="Z125" i="6"/>
  <c r="Y125" i="6"/>
  <c r="AD114" i="6"/>
  <c r="AC114" i="6"/>
  <c r="AD107" i="6"/>
  <c r="AC107" i="6"/>
  <c r="AB94" i="6"/>
  <c r="AC94" i="6"/>
  <c r="AD94" i="6"/>
  <c r="AC86" i="6"/>
  <c r="AD86" i="6"/>
  <c r="Z79" i="6"/>
  <c r="Y79" i="6"/>
  <c r="AA74" i="6"/>
  <c r="AB74" i="6"/>
  <c r="AA66" i="6"/>
  <c r="AB66" i="6"/>
  <c r="AD58" i="6"/>
  <c r="AC58" i="6"/>
  <c r="AD55" i="6"/>
  <c r="AD56" i="6"/>
  <c r="AC55" i="6"/>
  <c r="AC56" i="6"/>
  <c r="AD49" i="6"/>
  <c r="AC49" i="6"/>
  <c r="Y45" i="6"/>
  <c r="Z45" i="6"/>
  <c r="Z44" i="6"/>
  <c r="C41" i="6"/>
  <c r="AD37" i="6"/>
  <c r="AC37" i="6"/>
  <c r="Z36" i="6"/>
  <c r="C37" i="6"/>
  <c r="AD35" i="6"/>
  <c r="AC35" i="6"/>
  <c r="AC38" i="6"/>
  <c r="AB35" i="6"/>
  <c r="AA35" i="6"/>
  <c r="Z34" i="6"/>
  <c r="Z33" i="6"/>
  <c r="G33" i="6"/>
  <c r="C32" i="6"/>
  <c r="AC27" i="6"/>
  <c r="AD27" i="6"/>
  <c r="AC26" i="6"/>
  <c r="AD26" i="6"/>
  <c r="AC25" i="6"/>
  <c r="AD25" i="6"/>
  <c r="C23" i="6"/>
  <c r="C17" i="6"/>
  <c r="AC15" i="6"/>
  <c r="I15" i="6"/>
  <c r="AC12" i="6"/>
  <c r="AD12" i="6"/>
  <c r="AD13" i="6"/>
  <c r="AC11" i="6"/>
  <c r="C24" i="6"/>
  <c r="AA10" i="6"/>
  <c r="AB10" i="6"/>
  <c r="G10" i="6"/>
  <c r="AA9" i="6"/>
  <c r="AB9" i="6"/>
  <c r="AA8" i="6"/>
  <c r="AB8" i="6"/>
  <c r="AB132" i="5"/>
  <c r="AA132" i="5"/>
  <c r="Z132" i="5"/>
  <c r="Y132" i="5"/>
  <c r="AB113" i="5"/>
  <c r="AA113" i="5"/>
  <c r="Z113" i="5"/>
  <c r="AB112" i="5"/>
  <c r="AA112" i="5"/>
  <c r="Z112" i="5"/>
  <c r="Y113" i="5"/>
  <c r="Y112" i="5"/>
  <c r="AB125" i="5"/>
  <c r="AA125" i="5"/>
  <c r="Z125" i="5"/>
  <c r="Y125" i="5"/>
  <c r="AA66" i="5"/>
  <c r="AB66" i="5"/>
  <c r="AA10" i="5"/>
  <c r="AB10" i="5"/>
  <c r="AA9" i="5"/>
  <c r="AB9" i="5"/>
  <c r="AA8" i="5"/>
  <c r="AB8" i="5"/>
  <c r="AA74" i="5"/>
  <c r="AB74" i="5"/>
  <c r="AB49" i="5"/>
  <c r="AA49" i="5"/>
  <c r="Y49" i="5"/>
  <c r="Z44" i="5"/>
  <c r="AB43" i="5"/>
  <c r="Z36" i="5"/>
  <c r="Z34" i="5"/>
  <c r="Z33" i="5"/>
  <c r="AD114" i="5"/>
  <c r="AC114" i="5"/>
  <c r="AD107" i="5"/>
  <c r="AC107" i="5"/>
  <c r="AA94" i="5"/>
  <c r="AB94" i="5"/>
  <c r="AC94" i="5"/>
  <c r="AD94" i="5"/>
  <c r="AA86" i="5"/>
  <c r="AB86" i="5"/>
  <c r="AC86" i="5"/>
  <c r="AD86" i="5"/>
  <c r="Y79" i="5"/>
  <c r="Z79" i="5"/>
  <c r="AD58" i="5"/>
  <c r="AC58" i="5"/>
  <c r="AB104" i="5"/>
  <c r="AA104" i="5"/>
  <c r="AD55" i="5"/>
  <c r="AC55" i="5"/>
  <c r="AD49" i="5"/>
  <c r="AC49" i="5"/>
  <c r="AD35" i="5"/>
  <c r="AC35" i="5"/>
  <c r="AB35" i="5"/>
  <c r="AA35" i="5"/>
  <c r="AD37" i="5"/>
  <c r="AC37" i="5"/>
  <c r="AC11" i="5"/>
  <c r="AC25" i="5"/>
  <c r="AD25" i="5"/>
  <c r="AC24" i="5"/>
  <c r="AD24" i="5"/>
  <c r="G33" i="5"/>
  <c r="Z104" i="5"/>
  <c r="Y58" i="5"/>
  <c r="Y111" i="5"/>
  <c r="AD45" i="8"/>
  <c r="AD69" i="8"/>
  <c r="AC45" i="8"/>
  <c r="AC69" i="8"/>
  <c r="AC85" i="8"/>
  <c r="C40" i="8"/>
  <c r="C45" i="8"/>
  <c r="Z56" i="8"/>
  <c r="AC13" i="8"/>
  <c r="AD15" i="8"/>
  <c r="AD16" i="8"/>
  <c r="AD18" i="8"/>
  <c r="AC16" i="8"/>
  <c r="Y47" i="8"/>
  <c r="Y115" i="8"/>
  <c r="Z115" i="8"/>
  <c r="AC62" i="6"/>
  <c r="AC40" i="6"/>
  <c r="AD38" i="6"/>
  <c r="AD40" i="6"/>
  <c r="AD63" i="6"/>
  <c r="Y123" i="6"/>
  <c r="Z50" i="6"/>
  <c r="Y50" i="6"/>
  <c r="Y124" i="6"/>
  <c r="Y131" i="6"/>
  <c r="Z124" i="6"/>
  <c r="AA38" i="6"/>
  <c r="Z131" i="6"/>
  <c r="C42" i="6"/>
  <c r="C25" i="6"/>
  <c r="AC13" i="6"/>
  <c r="AB79" i="6"/>
  <c r="AC78" i="6"/>
  <c r="AD62" i="6"/>
  <c r="AC63" i="6"/>
  <c r="AD15" i="6"/>
  <c r="AD16" i="6"/>
  <c r="AD17" i="6"/>
  <c r="AD19" i="6"/>
  <c r="AC16" i="6"/>
  <c r="Z123" i="6"/>
  <c r="AA55" i="6"/>
  <c r="G34" i="6"/>
  <c r="AA79" i="6"/>
  <c r="AB111" i="5"/>
  <c r="AA111" i="5"/>
  <c r="AD38" i="5"/>
  <c r="AD40" i="5"/>
  <c r="Z111" i="5"/>
  <c r="AC38" i="5"/>
  <c r="AC40" i="5"/>
  <c r="AC12" i="5"/>
  <c r="AD12" i="5"/>
  <c r="AD13" i="5"/>
  <c r="AC15" i="5"/>
  <c r="AC78" i="5"/>
  <c r="AB79" i="5"/>
  <c r="AD62" i="5"/>
  <c r="AA79" i="5"/>
  <c r="AC56" i="5"/>
  <c r="AD56" i="5"/>
  <c r="Y104" i="5"/>
  <c r="AC47" i="8"/>
  <c r="AC70" i="8"/>
  <c r="AD47" i="8"/>
  <c r="AD70" i="8"/>
  <c r="AC27" i="8"/>
  <c r="AD85" i="8"/>
  <c r="AB63" i="8"/>
  <c r="D25" i="8"/>
  <c r="Z47" i="8"/>
  <c r="Y114" i="8"/>
  <c r="AC18" i="8"/>
  <c r="AA124" i="6"/>
  <c r="AB38" i="6"/>
  <c r="AA131" i="6"/>
  <c r="AA62" i="6"/>
  <c r="AA130" i="6"/>
  <c r="AC17" i="6"/>
  <c r="AC19" i="6"/>
  <c r="K4" i="6"/>
  <c r="M4" i="6"/>
  <c r="O4" i="6"/>
  <c r="Z69" i="6"/>
  <c r="K8" i="6"/>
  <c r="M8" i="6"/>
  <c r="O8" i="6"/>
  <c r="K9" i="6"/>
  <c r="M9" i="6"/>
  <c r="O9" i="6"/>
  <c r="AA123" i="6"/>
  <c r="AB55" i="6"/>
  <c r="AB123" i="6"/>
  <c r="Y122" i="6"/>
  <c r="Y128" i="6"/>
  <c r="Y137" i="6"/>
  <c r="Y129" i="6"/>
  <c r="Y62" i="6"/>
  <c r="Y130" i="6"/>
  <c r="Z122" i="6"/>
  <c r="Z128" i="6"/>
  <c r="Z137" i="6"/>
  <c r="Z129" i="6"/>
  <c r="AA50" i="6"/>
  <c r="H10" i="6"/>
  <c r="K6" i="6"/>
  <c r="M6" i="6"/>
  <c r="O6" i="6"/>
  <c r="AC79" i="6"/>
  <c r="AD78" i="6"/>
  <c r="AD79" i="6"/>
  <c r="Z62" i="6"/>
  <c r="Z130" i="6"/>
  <c r="K5" i="6"/>
  <c r="M5" i="6"/>
  <c r="O5" i="6"/>
  <c r="Y69" i="6"/>
  <c r="AC24" i="6"/>
  <c r="K7" i="6"/>
  <c r="M7" i="6"/>
  <c r="O7" i="6"/>
  <c r="AD63" i="5"/>
  <c r="AC62" i="5"/>
  <c r="AC63" i="5"/>
  <c r="AC13" i="5"/>
  <c r="AC16" i="5"/>
  <c r="AD15" i="5"/>
  <c r="AD16" i="5"/>
  <c r="AD17" i="5"/>
  <c r="AC26" i="5"/>
  <c r="AC79" i="5"/>
  <c r="AD78" i="5"/>
  <c r="AD79" i="5"/>
  <c r="H12" i="2"/>
  <c r="H19" i="2"/>
  <c r="Y55" i="5"/>
  <c r="Y123" i="5"/>
  <c r="C41" i="5"/>
  <c r="C37" i="5"/>
  <c r="C32" i="5"/>
  <c r="C17" i="5"/>
  <c r="G10" i="5"/>
  <c r="G34" i="5"/>
  <c r="Q9" i="5"/>
  <c r="I15" i="5"/>
  <c r="Y45" i="5"/>
  <c r="Z45" i="5"/>
  <c r="V20" i="2"/>
  <c r="S6" i="2"/>
  <c r="S8" i="2"/>
  <c r="S9" i="2"/>
  <c r="AA69" i="8"/>
  <c r="E25" i="8"/>
  <c r="AC35" i="8"/>
  <c r="AD27" i="8"/>
  <c r="AD35" i="8"/>
  <c r="Z114" i="8"/>
  <c r="Y135" i="6"/>
  <c r="AB124" i="6"/>
  <c r="AB131" i="6"/>
  <c r="AB62" i="6"/>
  <c r="AB130" i="6"/>
  <c r="Q5" i="6"/>
  <c r="S5" i="6"/>
  <c r="R5" i="6"/>
  <c r="P5" i="6"/>
  <c r="R4" i="6"/>
  <c r="P4" i="6"/>
  <c r="I10" i="6"/>
  <c r="K3" i="6"/>
  <c r="AA129" i="6"/>
  <c r="AA135" i="6"/>
  <c r="AA122" i="6"/>
  <c r="AA128" i="6"/>
  <c r="AA137" i="6"/>
  <c r="R9" i="6"/>
  <c r="P9" i="6"/>
  <c r="S8" i="6"/>
  <c r="Q8" i="6"/>
  <c r="P7" i="6"/>
  <c r="R7" i="6"/>
  <c r="Q7" i="6"/>
  <c r="S7" i="6"/>
  <c r="Z135" i="6"/>
  <c r="S9" i="6"/>
  <c r="Q9" i="6"/>
  <c r="R8" i="6"/>
  <c r="P8" i="6"/>
  <c r="AD24" i="6"/>
  <c r="AD28" i="6"/>
  <c r="AC28" i="6"/>
  <c r="R6" i="6"/>
  <c r="P6" i="6"/>
  <c r="S4" i="6"/>
  <c r="Q4" i="6"/>
  <c r="Q6" i="6"/>
  <c r="S6" i="6"/>
  <c r="AA69" i="6"/>
  <c r="Z123" i="5"/>
  <c r="AA55" i="5"/>
  <c r="AC17" i="5"/>
  <c r="AC19" i="5"/>
  <c r="AC28" i="5"/>
  <c r="AD26" i="5"/>
  <c r="AD28" i="5"/>
  <c r="AD19" i="5"/>
  <c r="Z108" i="5"/>
  <c r="Z50" i="5"/>
  <c r="Y50" i="5"/>
  <c r="Y51" i="5"/>
  <c r="Y56" i="5"/>
  <c r="Y102" i="5"/>
  <c r="Y38" i="5"/>
  <c r="P9" i="5"/>
  <c r="C42" i="5"/>
  <c r="C25" i="5"/>
  <c r="R26" i="2"/>
  <c r="I12" i="2"/>
  <c r="V29" i="2"/>
  <c r="V24" i="2"/>
  <c r="V25" i="2"/>
  <c r="V9" i="2"/>
  <c r="R21" i="2"/>
  <c r="R23" i="2"/>
  <c r="N26" i="2"/>
  <c r="N18" i="2"/>
  <c r="N25" i="2"/>
  <c r="N20" i="2"/>
  <c r="N22" i="2"/>
  <c r="N8" i="2"/>
  <c r="R6" i="2"/>
  <c r="R8" i="2"/>
  <c r="R9" i="2"/>
  <c r="S11" i="2"/>
  <c r="B9" i="2"/>
  <c r="B55" i="2"/>
  <c r="H29" i="1"/>
  <c r="H5" i="1"/>
  <c r="H6" i="1"/>
  <c r="K6" i="1"/>
  <c r="N9" i="1"/>
  <c r="O13" i="1"/>
  <c r="O14" i="1"/>
  <c r="O15" i="1"/>
  <c r="O16" i="1"/>
  <c r="O17" i="1"/>
  <c r="O18" i="1"/>
  <c r="O19" i="1"/>
  <c r="O12" i="1"/>
  <c r="I26" i="1"/>
  <c r="J26" i="1"/>
  <c r="K26" i="1"/>
  <c r="N20" i="1"/>
  <c r="AA47" i="8"/>
  <c r="AA114" i="8"/>
  <c r="F25" i="8"/>
  <c r="AB69" i="8"/>
  <c r="G25" i="8"/>
  <c r="AB50" i="6"/>
  <c r="M3" i="6"/>
  <c r="K10" i="6"/>
  <c r="C18" i="6"/>
  <c r="C19" i="6"/>
  <c r="C21" i="6"/>
  <c r="C22" i="6"/>
  <c r="C26" i="6"/>
  <c r="J10" i="6"/>
  <c r="AC68" i="6"/>
  <c r="AB69" i="6"/>
  <c r="AB122" i="6"/>
  <c r="AB128" i="6"/>
  <c r="AB137" i="6"/>
  <c r="AB129" i="6"/>
  <c r="AB135" i="6"/>
  <c r="Y131" i="5"/>
  <c r="Y124" i="5"/>
  <c r="Z129" i="5"/>
  <c r="Z122" i="5"/>
  <c r="AA50" i="5"/>
  <c r="Z131" i="5"/>
  <c r="Z124" i="5"/>
  <c r="AA38" i="5"/>
  <c r="Y101" i="5"/>
  <c r="Y108" i="5"/>
  <c r="AA123" i="5"/>
  <c r="AB55" i="5"/>
  <c r="AB123" i="5"/>
  <c r="Z69" i="5"/>
  <c r="Y122" i="5"/>
  <c r="Y128" i="5"/>
  <c r="Y137" i="5"/>
  <c r="Y129" i="5"/>
  <c r="AA108" i="5"/>
  <c r="AB101" i="5"/>
  <c r="AB102" i="5"/>
  <c r="Y62" i="5"/>
  <c r="Y130" i="5"/>
  <c r="Z62" i="5"/>
  <c r="Z130" i="5"/>
  <c r="Z110" i="5"/>
  <c r="Y40" i="5"/>
  <c r="Q4" i="5"/>
  <c r="Q3" i="5"/>
  <c r="Q6" i="5"/>
  <c r="Q5" i="5"/>
  <c r="Q8" i="5"/>
  <c r="Q7" i="5"/>
  <c r="V31" i="2"/>
  <c r="V32" i="2"/>
  <c r="R28" i="2"/>
  <c r="C24" i="5"/>
  <c r="C23" i="5"/>
  <c r="H10" i="5"/>
  <c r="I10" i="5"/>
  <c r="B10" i="2"/>
  <c r="B11" i="2"/>
  <c r="N9" i="2"/>
  <c r="N27" i="2"/>
  <c r="N28" i="2"/>
  <c r="I22" i="1"/>
  <c r="J22" i="1"/>
  <c r="K22" i="1"/>
  <c r="I25" i="1"/>
  <c r="J25" i="1"/>
  <c r="K25" i="1"/>
  <c r="I28" i="1"/>
  <c r="J28" i="1"/>
  <c r="K28" i="1"/>
  <c r="I24" i="1"/>
  <c r="J24" i="1"/>
  <c r="K24" i="1"/>
  <c r="I27" i="1"/>
  <c r="J27" i="1"/>
  <c r="K27" i="1"/>
  <c r="I23" i="1"/>
  <c r="J23" i="1"/>
  <c r="K23" i="1"/>
  <c r="O20" i="1"/>
  <c r="AB47" i="8"/>
  <c r="AB114" i="8"/>
  <c r="H25" i="8"/>
  <c r="I25" i="8"/>
  <c r="M10" i="6"/>
  <c r="O3" i="6"/>
  <c r="AD68" i="6"/>
  <c r="L10" i="6"/>
  <c r="Y135" i="5"/>
  <c r="AA122" i="5"/>
  <c r="AB50" i="5"/>
  <c r="AA129" i="5"/>
  <c r="AA69" i="5"/>
  <c r="Z135" i="5"/>
  <c r="Y63" i="5"/>
  <c r="Y109" i="5"/>
  <c r="Y110" i="5"/>
  <c r="AA124" i="5"/>
  <c r="AB38" i="5"/>
  <c r="AA131" i="5"/>
  <c r="AA62" i="5"/>
  <c r="AA130" i="5"/>
  <c r="Z128" i="5"/>
  <c r="Z137" i="5"/>
  <c r="Y69" i="5"/>
  <c r="Z109" i="5"/>
  <c r="AA110" i="5"/>
  <c r="AB108" i="5"/>
  <c r="Y103" i="5"/>
  <c r="K10" i="5"/>
  <c r="O10" i="5"/>
  <c r="M10" i="5"/>
  <c r="P5" i="5"/>
  <c r="P6" i="5"/>
  <c r="J10" i="5"/>
  <c r="P7" i="5"/>
  <c r="P8" i="5"/>
  <c r="P4" i="5"/>
  <c r="R29" i="2"/>
  <c r="C49" i="2"/>
  <c r="D49" i="2"/>
  <c r="C53" i="2"/>
  <c r="D53" i="2"/>
  <c r="C50" i="2"/>
  <c r="D50" i="2"/>
  <c r="C54" i="2"/>
  <c r="D54" i="2"/>
  <c r="C51" i="2"/>
  <c r="D51" i="2"/>
  <c r="C48" i="2"/>
  <c r="D48" i="2"/>
  <c r="C52" i="2"/>
  <c r="D52" i="2"/>
  <c r="I29" i="1"/>
  <c r="Q3" i="6"/>
  <c r="Q10" i="6"/>
  <c r="S3" i="6"/>
  <c r="S10" i="6"/>
  <c r="O10" i="6"/>
  <c r="R3" i="6"/>
  <c r="R10" i="6"/>
  <c r="P3" i="6"/>
  <c r="P10" i="6"/>
  <c r="AB69" i="5"/>
  <c r="AB131" i="5"/>
  <c r="AB124" i="5"/>
  <c r="AB62" i="5"/>
  <c r="AB130" i="5"/>
  <c r="AB122" i="5"/>
  <c r="AB128" i="5"/>
  <c r="AB137" i="5"/>
  <c r="AB129" i="5"/>
  <c r="AA135" i="5"/>
  <c r="AA128" i="5"/>
  <c r="AA137" i="5"/>
  <c r="Z114" i="5"/>
  <c r="Y114" i="5"/>
  <c r="AD90" i="5"/>
  <c r="AD91" i="5"/>
  <c r="AC90" i="5"/>
  <c r="AC68" i="5"/>
  <c r="Y90" i="5"/>
  <c r="Y80" i="5"/>
  <c r="Y82" i="5"/>
  <c r="Z90" i="5"/>
  <c r="C18" i="5"/>
  <c r="C19" i="5"/>
  <c r="C21" i="5"/>
  <c r="C22" i="5"/>
  <c r="C26" i="5"/>
  <c r="Q10" i="5"/>
  <c r="S10" i="5"/>
  <c r="L10" i="5"/>
  <c r="P3" i="5"/>
  <c r="F50" i="2"/>
  <c r="H50" i="2"/>
  <c r="J50" i="2"/>
  <c r="E50" i="2"/>
  <c r="G50" i="2"/>
  <c r="I50" i="2"/>
  <c r="F49" i="2"/>
  <c r="H49" i="2"/>
  <c r="J49" i="2"/>
  <c r="E49" i="2"/>
  <c r="G49" i="2"/>
  <c r="I49" i="2"/>
  <c r="F52" i="2"/>
  <c r="H52" i="2"/>
  <c r="J52" i="2"/>
  <c r="E52" i="2"/>
  <c r="G52" i="2"/>
  <c r="I52" i="2"/>
  <c r="F48" i="2"/>
  <c r="H48" i="2"/>
  <c r="E48" i="2"/>
  <c r="G48" i="2"/>
  <c r="F51" i="2"/>
  <c r="H51" i="2"/>
  <c r="J51" i="2"/>
  <c r="E51" i="2"/>
  <c r="G51" i="2"/>
  <c r="I51" i="2"/>
  <c r="F53" i="2"/>
  <c r="H53" i="2"/>
  <c r="J53" i="2"/>
  <c r="E53" i="2"/>
  <c r="G53" i="2"/>
  <c r="I53" i="2"/>
  <c r="F54" i="2"/>
  <c r="H54" i="2"/>
  <c r="J54" i="2"/>
  <c r="E54" i="2"/>
  <c r="G54" i="2"/>
  <c r="I54" i="2"/>
  <c r="D55" i="2"/>
  <c r="C55" i="2"/>
  <c r="Z58" i="8"/>
  <c r="Y58" i="8"/>
  <c r="Y57" i="8"/>
  <c r="Z57" i="8"/>
  <c r="AD96" i="8"/>
  <c r="AD98" i="8"/>
  <c r="AC96" i="8"/>
  <c r="AA90" i="5"/>
  <c r="Z80" i="5"/>
  <c r="Z82" i="5"/>
  <c r="R13" i="6"/>
  <c r="I25" i="6"/>
  <c r="Z90" i="6"/>
  <c r="Y90" i="6"/>
  <c r="AC90" i="6"/>
  <c r="AD90" i="6"/>
  <c r="AD91" i="6"/>
  <c r="S13" i="6"/>
  <c r="I24" i="6"/>
  <c r="AD89" i="6"/>
  <c r="AD92" i="6"/>
  <c r="AC89" i="6"/>
  <c r="AB135" i="5"/>
  <c r="AC69" i="5"/>
  <c r="AC82" i="5"/>
  <c r="AD68" i="5"/>
  <c r="AA95" i="5"/>
  <c r="Z91" i="5"/>
  <c r="Y91" i="5"/>
  <c r="Z95" i="5"/>
  <c r="Y95" i="5"/>
  <c r="AA91" i="5"/>
  <c r="AD95" i="5"/>
  <c r="AD98" i="5"/>
  <c r="AC91" i="5"/>
  <c r="I24" i="5"/>
  <c r="P10" i="5"/>
  <c r="R10" i="5"/>
  <c r="K54" i="2"/>
  <c r="M54" i="2"/>
  <c r="K52" i="2"/>
  <c r="M52" i="2"/>
  <c r="L54" i="2"/>
  <c r="N54" i="2"/>
  <c r="L52" i="2"/>
  <c r="N52" i="2"/>
  <c r="K53" i="2"/>
  <c r="M53" i="2"/>
  <c r="K49" i="2"/>
  <c r="M49" i="2"/>
  <c r="K51" i="2"/>
  <c r="M51" i="2"/>
  <c r="K50" i="2"/>
  <c r="M50" i="2"/>
  <c r="L51" i="2"/>
  <c r="N51" i="2"/>
  <c r="L50" i="2"/>
  <c r="N50" i="2"/>
  <c r="L53" i="2"/>
  <c r="N53" i="2"/>
  <c r="L49" i="2"/>
  <c r="N49" i="2"/>
  <c r="G55" i="2"/>
  <c r="I48" i="2"/>
  <c r="J48" i="2"/>
  <c r="N48" i="2"/>
  <c r="H55" i="2"/>
  <c r="E55" i="2"/>
  <c r="F55" i="2"/>
  <c r="V11" i="2"/>
  <c r="V13" i="2"/>
  <c r="V14" i="2"/>
  <c r="AB120" i="8"/>
  <c r="AA120" i="8"/>
  <c r="Z120" i="8"/>
  <c r="Y120" i="8"/>
  <c r="Y69" i="8"/>
  <c r="Z112" i="8"/>
  <c r="Z70" i="8"/>
  <c r="Z113" i="8"/>
  <c r="Z69" i="8"/>
  <c r="Y112" i="8"/>
  <c r="Y70" i="8"/>
  <c r="Y113" i="8"/>
  <c r="AC77" i="8"/>
  <c r="AC90" i="8"/>
  <c r="AD77" i="8"/>
  <c r="AD90" i="8"/>
  <c r="Z101" i="8"/>
  <c r="Y101" i="8"/>
  <c r="Y98" i="8"/>
  <c r="AA101" i="8"/>
  <c r="Z98" i="8"/>
  <c r="AD101" i="8"/>
  <c r="AD103" i="8"/>
  <c r="AC98" i="8"/>
  <c r="AB90" i="5"/>
  <c r="AA80" i="5"/>
  <c r="AA82" i="5"/>
  <c r="AB95" i="5"/>
  <c r="Z95" i="6"/>
  <c r="Y95" i="6"/>
  <c r="Y91" i="6"/>
  <c r="Y98" i="6"/>
  <c r="Y80" i="6"/>
  <c r="Y82" i="6"/>
  <c r="AC69" i="6"/>
  <c r="AC82" i="6"/>
  <c r="AD69" i="6"/>
  <c r="AD82" i="6"/>
  <c r="AA95" i="6"/>
  <c r="Z91" i="6"/>
  <c r="AA90" i="6"/>
  <c r="Z80" i="6"/>
  <c r="Z82" i="6"/>
  <c r="AD96" i="6"/>
  <c r="AC92" i="6"/>
  <c r="AC91" i="6"/>
  <c r="AD95" i="6"/>
  <c r="AD98" i="6"/>
  <c r="AD99" i="6"/>
  <c r="AC70" i="6"/>
  <c r="AC83" i="6"/>
  <c r="AD70" i="6"/>
  <c r="AD83" i="6"/>
  <c r="Z98" i="5"/>
  <c r="AC89" i="5"/>
  <c r="AD89" i="5"/>
  <c r="AD92" i="5"/>
  <c r="AC70" i="5"/>
  <c r="AC83" i="5"/>
  <c r="AA98" i="5"/>
  <c r="AD69" i="5"/>
  <c r="AD82" i="5"/>
  <c r="AD70" i="5"/>
  <c r="AD83" i="5"/>
  <c r="Y98" i="5"/>
  <c r="Z107" i="5"/>
  <c r="Y107" i="5"/>
  <c r="I25" i="5"/>
  <c r="N55" i="2"/>
  <c r="S12" i="2"/>
  <c r="M48" i="2"/>
  <c r="M55" i="2"/>
  <c r="S13" i="2"/>
  <c r="I55" i="2"/>
  <c r="K48" i="2"/>
  <c r="K55" i="2"/>
  <c r="N29" i="2"/>
  <c r="L48" i="2"/>
  <c r="J55" i="2"/>
  <c r="N11" i="2"/>
  <c r="N13" i="2"/>
  <c r="Z103" i="8"/>
  <c r="AD104" i="8"/>
  <c r="AD119" i="8"/>
  <c r="AD121" i="8"/>
  <c r="AD123" i="8"/>
  <c r="Y118" i="8"/>
  <c r="Z118" i="8"/>
  <c r="AA112" i="8"/>
  <c r="AA70" i="8"/>
  <c r="AA113" i="8"/>
  <c r="Y103" i="8"/>
  <c r="AB101" i="8"/>
  <c r="AA98" i="8"/>
  <c r="AA103" i="8"/>
  <c r="AB80" i="5"/>
  <c r="AB82" i="5"/>
  <c r="AC95" i="5"/>
  <c r="AC98" i="5"/>
  <c r="AB91" i="5"/>
  <c r="AB98" i="5"/>
  <c r="AB136" i="5"/>
  <c r="AB138" i="5"/>
  <c r="AD100" i="6"/>
  <c r="AD115" i="6"/>
  <c r="AD117" i="6"/>
  <c r="AD119" i="6"/>
  <c r="Z98" i="6"/>
  <c r="Z136" i="6"/>
  <c r="Z138" i="6"/>
  <c r="Z139" i="6"/>
  <c r="Z140" i="6"/>
  <c r="Z121" i="6"/>
  <c r="Y136" i="6"/>
  <c r="Y138" i="6"/>
  <c r="Y139" i="6"/>
  <c r="Y121" i="6"/>
  <c r="AB95" i="6"/>
  <c r="AA91" i="6"/>
  <c r="AA98" i="6"/>
  <c r="AA80" i="6"/>
  <c r="AA82" i="6"/>
  <c r="AB90" i="6"/>
  <c r="Y136" i="5"/>
  <c r="Y138" i="5"/>
  <c r="Y139" i="5"/>
  <c r="AA136" i="5"/>
  <c r="AA138" i="5"/>
  <c r="AA121" i="5"/>
  <c r="AA139" i="5"/>
  <c r="Y121" i="5"/>
  <c r="Z136" i="5"/>
  <c r="Z138" i="5"/>
  <c r="Z121" i="5"/>
  <c r="Z139" i="5"/>
  <c r="AA116" i="5"/>
  <c r="AB116" i="5"/>
  <c r="AC92" i="5"/>
  <c r="AD96" i="5"/>
  <c r="AD99" i="5"/>
  <c r="AD100" i="5"/>
  <c r="AD115" i="5"/>
  <c r="AD117" i="5"/>
  <c r="AD119" i="5"/>
  <c r="Z92" i="5"/>
  <c r="AA96" i="5"/>
  <c r="AA92" i="5"/>
  <c r="AA99" i="5"/>
  <c r="AB96" i="5"/>
  <c r="Z96" i="5"/>
  <c r="Y96" i="5"/>
  <c r="Y92" i="5"/>
  <c r="Z116" i="5"/>
  <c r="Y116" i="5"/>
  <c r="N10" i="2"/>
  <c r="N12" i="2"/>
  <c r="H4" i="2"/>
  <c r="L55" i="2"/>
  <c r="H3" i="2"/>
  <c r="AA118" i="8"/>
  <c r="AB112" i="8"/>
  <c r="AB70" i="8"/>
  <c r="AB113" i="8"/>
  <c r="Z104" i="8"/>
  <c r="Z119" i="8"/>
  <c r="Z121" i="8"/>
  <c r="AC101" i="8"/>
  <c r="AC103" i="8"/>
  <c r="AC104" i="8"/>
  <c r="AC119" i="8"/>
  <c r="AC121" i="8"/>
  <c r="AC123" i="8"/>
  <c r="AB98" i="8"/>
  <c r="AB103" i="8"/>
  <c r="Z122" i="8"/>
  <c r="Y122" i="8"/>
  <c r="Y104" i="8"/>
  <c r="Y119" i="8"/>
  <c r="Y121" i="8"/>
  <c r="AB122" i="8"/>
  <c r="AA122" i="8"/>
  <c r="AB139" i="5"/>
  <c r="AB121" i="5"/>
  <c r="AB91" i="6"/>
  <c r="AB98" i="6"/>
  <c r="AB80" i="6"/>
  <c r="AB82" i="6"/>
  <c r="AC95" i="6"/>
  <c r="AC98" i="6"/>
  <c r="AA121" i="6"/>
  <c r="AA136" i="6"/>
  <c r="AA138" i="6"/>
  <c r="AA139" i="6"/>
  <c r="AC96" i="6"/>
  <c r="AC99" i="6"/>
  <c r="AC100" i="6"/>
  <c r="AC115" i="6"/>
  <c r="AC117" i="6"/>
  <c r="AC119" i="6"/>
  <c r="Y140" i="6"/>
  <c r="AB140" i="5"/>
  <c r="AA140" i="5"/>
  <c r="Z140" i="5"/>
  <c r="Y140" i="5"/>
  <c r="Z99" i="5"/>
  <c r="Y99" i="5"/>
  <c r="Y100" i="5"/>
  <c r="H5" i="2"/>
  <c r="AB118" i="8"/>
  <c r="Z123" i="8"/>
  <c r="AB104" i="8"/>
  <c r="AB119" i="8"/>
  <c r="AB121" i="8"/>
  <c r="AB123" i="8"/>
  <c r="AA104" i="8"/>
  <c r="AA119" i="8"/>
  <c r="AA121" i="8"/>
  <c r="AA123" i="8"/>
  <c r="Y123" i="8"/>
  <c r="AC96" i="5"/>
  <c r="AC99" i="5"/>
  <c r="AC100" i="5"/>
  <c r="AC115" i="5"/>
  <c r="AC117" i="5"/>
  <c r="AC119" i="5"/>
  <c r="AB92" i="5"/>
  <c r="AB99" i="5"/>
  <c r="AA140" i="6"/>
  <c r="AB136" i="6"/>
  <c r="AB138" i="6"/>
  <c r="AB139" i="6"/>
  <c r="AB121" i="6"/>
  <c r="Z100" i="5"/>
  <c r="Z115" i="5"/>
  <c r="Z117" i="5"/>
  <c r="Y118" i="5"/>
  <c r="Z118" i="5"/>
  <c r="Y115" i="5"/>
  <c r="Y117" i="5"/>
  <c r="AB118" i="5"/>
  <c r="AA118" i="5"/>
  <c r="Y119" i="5"/>
  <c r="AB140" i="6"/>
  <c r="Z119" i="5"/>
  <c r="AB110" i="5"/>
  <c r="AA109" i="5"/>
  <c r="AA114" i="5"/>
  <c r="AA100" i="5"/>
  <c r="AA115" i="5"/>
  <c r="AA117" i="5"/>
  <c r="AA119" i="5"/>
  <c r="AA107" i="5"/>
  <c r="AB103" i="5"/>
  <c r="AB109" i="5"/>
  <c r="AB114" i="5"/>
  <c r="AB100" i="5"/>
  <c r="AB115" i="5"/>
  <c r="AB117" i="5"/>
  <c r="AB119" i="5"/>
  <c r="AB107" i="5"/>
</calcChain>
</file>

<file path=xl/sharedStrings.xml><?xml version="1.0" encoding="utf-8"?>
<sst xmlns="http://schemas.openxmlformats.org/spreadsheetml/2006/main" count="1918" uniqueCount="621">
  <si>
    <t>Cities</t>
  </si>
  <si>
    <t>Restaurants</t>
  </si>
  <si>
    <t>25-30%</t>
  </si>
  <si>
    <t>Annual growth rate</t>
  </si>
  <si>
    <t>Peak time orders</t>
  </si>
  <si>
    <t>Avg Monthly orders</t>
  </si>
  <si>
    <t>Avg Revenue Per order</t>
  </si>
  <si>
    <t>Avg time to prepare order</t>
  </si>
  <si>
    <t>20m</t>
  </si>
  <si>
    <t>Avg distance</t>
  </si>
  <si>
    <t>3km</t>
  </si>
  <si>
    <t>Drone Specifications</t>
  </si>
  <si>
    <t>Max Flying Altitude</t>
  </si>
  <si>
    <t>Avg speed</t>
  </si>
  <si>
    <t>40 kmph</t>
  </si>
  <si>
    <t xml:space="preserve">Max flight time </t>
  </si>
  <si>
    <t>30km</t>
  </si>
  <si>
    <t>flying range</t>
  </si>
  <si>
    <t>7km</t>
  </si>
  <si>
    <t>Battery life</t>
  </si>
  <si>
    <t>3 months</t>
  </si>
  <si>
    <t>monthly cost</t>
  </si>
  <si>
    <t>6.5k</t>
  </si>
  <si>
    <t>battery cost</t>
  </si>
  <si>
    <t>13k</t>
  </si>
  <si>
    <t>Price of drone</t>
  </si>
  <si>
    <t>130k</t>
  </si>
  <si>
    <t>Order distribution by km</t>
  </si>
  <si>
    <t>Taclo business details</t>
  </si>
  <si>
    <t>4km</t>
  </si>
  <si>
    <t>5km</t>
  </si>
  <si>
    <t>6km</t>
  </si>
  <si>
    <t>Weekly Order distribution</t>
  </si>
  <si>
    <t>Monday</t>
  </si>
  <si>
    <t>Tuesday</t>
  </si>
  <si>
    <t>Wednesday</t>
  </si>
  <si>
    <t>Thursday</t>
  </si>
  <si>
    <t>Friday</t>
  </si>
  <si>
    <t>Saturday</t>
  </si>
  <si>
    <t>Sunday</t>
  </si>
  <si>
    <t>Avg charging time</t>
  </si>
  <si>
    <t>90m</t>
  </si>
  <si>
    <t>UIN</t>
  </si>
  <si>
    <t>UAOP for 5years</t>
  </si>
  <si>
    <t>UAOP renewal</t>
  </si>
  <si>
    <t>Drone Delivery drawbacks</t>
  </si>
  <si>
    <t>300m</t>
  </si>
  <si>
    <t>Can deliver only one package</t>
  </si>
  <si>
    <t>Avg delivery time</t>
  </si>
  <si>
    <t>10mins</t>
  </si>
  <si>
    <t>very long time perion for ROI</t>
  </si>
  <si>
    <t>Restricted radius</t>
  </si>
  <si>
    <t>Charging time</t>
  </si>
  <si>
    <t>Expensive price</t>
  </si>
  <si>
    <t>Drone life is usually of 2-3 years</t>
  </si>
  <si>
    <t>Cost of Drone Pilots</t>
  </si>
  <si>
    <t>Drone Plan Suggestions</t>
  </si>
  <si>
    <t xml:space="preserve">Proposed city </t>
  </si>
  <si>
    <t>Bangalore</t>
  </si>
  <si>
    <t>Radius of operation</t>
  </si>
  <si>
    <t>No. of drone stations</t>
  </si>
  <si>
    <t>Business focus</t>
  </si>
  <si>
    <t>Cannot fly in adverse weather conditions</t>
  </si>
  <si>
    <t>Swappable battery system</t>
  </si>
  <si>
    <t>City Wise distribution of orders</t>
  </si>
  <si>
    <t>Hyderabad</t>
  </si>
  <si>
    <t>Delhi</t>
  </si>
  <si>
    <t>Chennai</t>
  </si>
  <si>
    <t>Mumbai</t>
  </si>
  <si>
    <t>Kolkata</t>
  </si>
  <si>
    <t>Pune</t>
  </si>
  <si>
    <t>Other Cities</t>
  </si>
  <si>
    <t>Total</t>
  </si>
  <si>
    <t>Avg Drone Pilot Salary</t>
  </si>
  <si>
    <t>Premium Chargeble service</t>
  </si>
  <si>
    <t>Delivery Executive earnings</t>
  </si>
  <si>
    <t>Fixed Salary</t>
  </si>
  <si>
    <t>Avg orders per month</t>
  </si>
  <si>
    <t>Avg earnings per order</t>
  </si>
  <si>
    <t>Total commisions</t>
  </si>
  <si>
    <t>Total Earnings</t>
  </si>
  <si>
    <t>Weekly  distribution of orders Bangalore</t>
  </si>
  <si>
    <t>5km max</t>
  </si>
  <si>
    <t>COST OF DRONE OPERATION</t>
  </si>
  <si>
    <r>
      <rPr>
        <b/>
        <i/>
        <sz val="20"/>
        <color theme="1"/>
        <rFont val="Calibri"/>
        <family val="2"/>
        <scheme val="minor"/>
      </rPr>
      <t>TACLO</t>
    </r>
    <r>
      <rPr>
        <sz val="20"/>
        <color theme="1"/>
        <rFont val="Calibri"/>
        <family val="2"/>
        <scheme val="minor"/>
      </rPr>
      <t xml:space="preserve"> DRONE COST, INCOME ANALYSIS &amp; INVESTMENT PLAN</t>
    </r>
  </si>
  <si>
    <t>Estimated Sales target</t>
  </si>
  <si>
    <t>Peak Hour volumes</t>
  </si>
  <si>
    <t>BTM</t>
  </si>
  <si>
    <t>12pm-3pm</t>
  </si>
  <si>
    <t>Evening</t>
  </si>
  <si>
    <t>Afternoon</t>
  </si>
  <si>
    <t>7pm-10pm</t>
  </si>
  <si>
    <t>Time</t>
  </si>
  <si>
    <t>Surge price charges</t>
  </si>
  <si>
    <t>Est deliveries per run</t>
  </si>
  <si>
    <t>Est time for load,run &amp; battery swap (Minutes)</t>
  </si>
  <si>
    <t>Est hourly deliveries</t>
  </si>
  <si>
    <t>Est Daily deliveries</t>
  </si>
  <si>
    <t>Avg Drone life(m)</t>
  </si>
  <si>
    <t>Battery life (m)</t>
  </si>
  <si>
    <t>Batteries reqd in lifetime</t>
  </si>
  <si>
    <t>Monthly battery cost</t>
  </si>
  <si>
    <t>Monthly Licence Cost(Rs)</t>
  </si>
  <si>
    <t>UIN Licence (5 yrs) (Rs)</t>
  </si>
  <si>
    <t>Monthly Drone Maintenance(Rs)</t>
  </si>
  <si>
    <t>Battery cost (Rs)</t>
  </si>
  <si>
    <t>Drone cost (Rs)</t>
  </si>
  <si>
    <t>Monthly purchase Drone cost</t>
  </si>
  <si>
    <t>Initial per Drone Cost</t>
  </si>
  <si>
    <t>Total Monthly per Drone cost</t>
  </si>
  <si>
    <t>Commision per order (Rs)</t>
  </si>
  <si>
    <t>Commission per peak(Rs)</t>
  </si>
  <si>
    <t>Commission per month (Rs)</t>
  </si>
  <si>
    <t>COST OF Delivery MANPOWER</t>
  </si>
  <si>
    <t>COST OF HUB &amp; Station MANPOWER</t>
  </si>
  <si>
    <t>Additional manpower (leave factor)</t>
  </si>
  <si>
    <t>Total Operations manpower per location</t>
  </si>
  <si>
    <t>Salary per Operations executive</t>
  </si>
  <si>
    <t>Total Operations manpower Cost</t>
  </si>
  <si>
    <t>Civil Works</t>
  </si>
  <si>
    <t>Electricity works</t>
  </si>
  <si>
    <t>No of chargers</t>
  </si>
  <si>
    <t>Price of chargers</t>
  </si>
  <si>
    <t>Total price of chargers</t>
  </si>
  <si>
    <t>SETUP COST OF STATION INFRASTRUCTURE</t>
  </si>
  <si>
    <t>MONTHLY COST OF STATION INFRASTRUCTURE</t>
  </si>
  <si>
    <t>Power consumption Pm (KW)</t>
  </si>
  <si>
    <t>Price per KW</t>
  </si>
  <si>
    <t>Est supply from solar (Kw)</t>
  </si>
  <si>
    <t>Power chargable</t>
  </si>
  <si>
    <t>Payment for power supply</t>
  </si>
  <si>
    <t>Maintainence</t>
  </si>
  <si>
    <t>E-bike subscription</t>
  </si>
  <si>
    <t>E-bike reqd</t>
  </si>
  <si>
    <t>Total E-bike cost</t>
  </si>
  <si>
    <t xml:space="preserve">Cost of Drone setup </t>
  </si>
  <si>
    <t>Peak Hours of Operations</t>
  </si>
  <si>
    <t>Non peak</t>
  </si>
  <si>
    <t>Pickup Executive</t>
  </si>
  <si>
    <t>Last mile delivery executive</t>
  </si>
  <si>
    <t>COST OF ORDER DELIVERY</t>
  </si>
  <si>
    <t>Total cost Per order</t>
  </si>
  <si>
    <t>Avg Bengaluru orders per month</t>
  </si>
  <si>
    <t>Avg Bengaluru orders per day</t>
  </si>
  <si>
    <t>Avg Bengaluru orders per week</t>
  </si>
  <si>
    <t>30 Days</t>
  </si>
  <si>
    <t>Total target customers</t>
  </si>
  <si>
    <t>Total Tempo orders (Monthly)</t>
  </si>
  <si>
    <t>Total cost per month</t>
  </si>
  <si>
    <t>Total Drone Monthly cost</t>
  </si>
  <si>
    <t>Operations Executive cost</t>
  </si>
  <si>
    <t>Station cost</t>
  </si>
  <si>
    <t>Avg weekly peak orders</t>
  </si>
  <si>
    <t>Avg Monthly peak orders</t>
  </si>
  <si>
    <t>HUB operations Manpower</t>
  </si>
  <si>
    <t>Electrical technician reqd</t>
  </si>
  <si>
    <t>Electrical technician salary</t>
  </si>
  <si>
    <t>Total cost for Electrical technician</t>
  </si>
  <si>
    <t>Peak</t>
  </si>
  <si>
    <t>Non Peak</t>
  </si>
  <si>
    <t>Solar setup (5 kb)</t>
  </si>
  <si>
    <t>Weekdays</t>
  </si>
  <si>
    <t>Day wise %</t>
  </si>
  <si>
    <t>Orders</t>
  </si>
  <si>
    <t>Peak Hour orders</t>
  </si>
  <si>
    <t>Minimum Order Value</t>
  </si>
  <si>
    <t>Orders per run</t>
  </si>
  <si>
    <t>Orders per Hr</t>
  </si>
  <si>
    <t>Total orders</t>
  </si>
  <si>
    <t>EV VAN Cost</t>
  </si>
  <si>
    <t>EV VAN LIFE (months)</t>
  </si>
  <si>
    <t>EV VANS REQD</t>
  </si>
  <si>
    <t>EV VAN cost in months</t>
  </si>
  <si>
    <t>Total Monthly Cost</t>
  </si>
  <si>
    <t>Total peak Hours</t>
  </si>
  <si>
    <t>Total Operations Cost</t>
  </si>
  <si>
    <t>Total Tempo Revenue</t>
  </si>
  <si>
    <t>Profit</t>
  </si>
  <si>
    <t>No of Hubs Needed</t>
  </si>
  <si>
    <t xml:space="preserve">No of Drones Required </t>
  </si>
  <si>
    <t xml:space="preserve">Radius of circle </t>
  </si>
  <si>
    <t>Max delivery time to cater (radius as reference)</t>
  </si>
  <si>
    <t>Total Cost of running Operations</t>
  </si>
  <si>
    <t>Cost Distribution YoY</t>
  </si>
  <si>
    <t>Financial Goodness for the company</t>
  </si>
  <si>
    <t xml:space="preserve">Point of Discussion </t>
  </si>
  <si>
    <t>S.No.</t>
  </si>
  <si>
    <t>Working Points for CB Analysis Model</t>
  </si>
  <si>
    <t>Assign value to costs and benefits</t>
  </si>
  <si>
    <t>Asses Project's economic Value</t>
  </si>
  <si>
    <t>4a</t>
  </si>
  <si>
    <t>4b</t>
  </si>
  <si>
    <t>4c</t>
  </si>
  <si>
    <t>Return on Investment</t>
  </si>
  <si>
    <t>Break Even Point</t>
  </si>
  <si>
    <t>Net Present value</t>
  </si>
  <si>
    <t>Identify COST &amp; BENEFITS</t>
  </si>
  <si>
    <t>Developing</t>
  </si>
  <si>
    <t>PARTICULARS</t>
  </si>
  <si>
    <t>PARTICULARS IN SEGMENTS</t>
  </si>
  <si>
    <t>A</t>
  </si>
  <si>
    <t>B</t>
  </si>
  <si>
    <t>D</t>
  </si>
  <si>
    <t>Cost Heads</t>
  </si>
  <si>
    <t>Benefits Heads</t>
  </si>
  <si>
    <t>Hardware</t>
  </si>
  <si>
    <t>Software</t>
  </si>
  <si>
    <t>Office space</t>
  </si>
  <si>
    <t>Training</t>
  </si>
  <si>
    <t>Consultant fee</t>
  </si>
  <si>
    <t>Salary - project team</t>
  </si>
  <si>
    <t>Salary - operating staff</t>
  </si>
  <si>
    <t>Software Licenisng Fees</t>
  </si>
  <si>
    <t>Equipment Upgrades</t>
  </si>
  <si>
    <t>Communication charges</t>
  </si>
  <si>
    <t>Operational (Ongoing Costs)</t>
  </si>
  <si>
    <t>Equipment/ Devices</t>
  </si>
  <si>
    <t>Tangible (visible/ Physical)</t>
  </si>
  <si>
    <t>Direct Sales (Increased)</t>
  </si>
  <si>
    <t>Cost Saving (of all aspects)</t>
  </si>
  <si>
    <t>Should be in line with tangible items (not hard numbers)</t>
  </si>
  <si>
    <t>Like good returns due to increased sales</t>
  </si>
  <si>
    <t>Intangible (Not Visible/ Intuitive)</t>
  </si>
  <si>
    <t>Assign currency to identified costs and benefits</t>
  </si>
  <si>
    <t>Refer all cost info sources, Industry reports/ past projects, for close approx.</t>
  </si>
  <si>
    <t>In case predicting a value to CB becomes difficult then estimate a range of values to CB &amp; then assign an estimate/ probability to each value</t>
  </si>
  <si>
    <t>Total Benefits</t>
  </si>
  <si>
    <t>Total Costs</t>
  </si>
  <si>
    <t>Cumm. Net cash flow YoY</t>
  </si>
  <si>
    <t>Determine cash flow (YoY)_3 to 5 yrs</t>
  </si>
  <si>
    <t>Net Benefits 
(Benefits - costs)</t>
  </si>
  <si>
    <t>(Total Benefits - Total Costs)/ Total Costs *100</t>
  </si>
  <si>
    <t>Return of value in %</t>
  </si>
  <si>
    <t>High ROI susggest project's benefits far outweighs the project's cost</t>
  </si>
  <si>
    <t>No. of Years of negative cash flow  + That year's negative cash flow  -  That Year's cumulative cash flow / That year's net cash flow</t>
  </si>
  <si>
    <t>i.e. no. of years it takes a firm to recover its original investment</t>
  </si>
  <si>
    <t xml:space="preserve">Total benefits ( of all yrs) - total costs (of all yrs) </t>
  </si>
  <si>
    <t>if Value greater than zero; project is economically viable</t>
  </si>
  <si>
    <t>Framework / CB TEMPLATE</t>
  </si>
  <si>
    <t>Cost &amp; Benefits Heads &amp; Sub heads</t>
  </si>
  <si>
    <t>Unit/ Value</t>
  </si>
  <si>
    <t>Year 1</t>
  </si>
  <si>
    <t>Year 2</t>
  </si>
  <si>
    <t>Year 3</t>
  </si>
  <si>
    <t xml:space="preserve">Year 4 </t>
  </si>
  <si>
    <t>Year 5</t>
  </si>
  <si>
    <t>Compile, Interpret &amp; Decide</t>
  </si>
  <si>
    <t>STAGE 1</t>
  </si>
  <si>
    <t>STAGE 2</t>
  </si>
  <si>
    <t>STAGE 3</t>
  </si>
  <si>
    <t>STAGE 4</t>
  </si>
  <si>
    <t>ROI</t>
  </si>
  <si>
    <t>NPV</t>
  </si>
  <si>
    <t>BEP</t>
  </si>
  <si>
    <t>Y</t>
  </si>
  <si>
    <t>TBC _ rev from each rest std.</t>
  </si>
  <si>
    <t>STATUS</t>
  </si>
  <si>
    <t>WIP</t>
  </si>
  <si>
    <t>X</t>
  </si>
  <si>
    <t>For PPT _ Advantages Limitations</t>
  </si>
  <si>
    <t>Developing Costs</t>
  </si>
  <si>
    <t>Developing/ Fixed Cost</t>
  </si>
  <si>
    <t>A1</t>
  </si>
  <si>
    <t>A3</t>
  </si>
  <si>
    <t>A4</t>
  </si>
  <si>
    <t>UoM</t>
  </si>
  <si>
    <t>Nos.</t>
  </si>
  <si>
    <t>A5</t>
  </si>
  <si>
    <t>A6</t>
  </si>
  <si>
    <t>A7</t>
  </si>
  <si>
    <t>HUB Operations Manpower</t>
  </si>
  <si>
    <t>Station Manpower (for 4 Stations)</t>
  </si>
  <si>
    <t>Additional manpower (Leave as a factor)</t>
  </si>
  <si>
    <t>Rs.</t>
  </si>
  <si>
    <t>I</t>
  </si>
  <si>
    <t>1A</t>
  </si>
  <si>
    <t>1A.a</t>
  </si>
  <si>
    <t>1A.b</t>
  </si>
  <si>
    <t>1A.c</t>
  </si>
  <si>
    <t>1A.d</t>
  </si>
  <si>
    <t>1A.e</t>
  </si>
  <si>
    <t>1A.f</t>
  </si>
  <si>
    <t>1A.g</t>
  </si>
  <si>
    <t>1A.h</t>
  </si>
  <si>
    <t>1A.i</t>
  </si>
  <si>
    <t>1B</t>
  </si>
  <si>
    <t>1B.a</t>
  </si>
  <si>
    <t>1B.b</t>
  </si>
  <si>
    <t>1B.c</t>
  </si>
  <si>
    <t>1B.d</t>
  </si>
  <si>
    <t>1B.e</t>
  </si>
  <si>
    <t>1B.f</t>
  </si>
  <si>
    <t>1B.g</t>
  </si>
  <si>
    <t>1B.h</t>
  </si>
  <si>
    <t>1C</t>
  </si>
  <si>
    <t>Hub &amp; Drone Station Manpower</t>
  </si>
  <si>
    <t>1C.a</t>
  </si>
  <si>
    <t>1C.c</t>
  </si>
  <si>
    <t>1C.d</t>
  </si>
  <si>
    <t>1C.e</t>
  </si>
  <si>
    <t>1C.f</t>
  </si>
  <si>
    <t>1C.g</t>
  </si>
  <si>
    <t>1C.b</t>
  </si>
  <si>
    <t xml:space="preserve">Drone cost </t>
  </si>
  <si>
    <t>Mon</t>
  </si>
  <si>
    <t>Avg Drone life</t>
  </si>
  <si>
    <t xml:space="preserve">Battery life </t>
  </si>
  <si>
    <t xml:space="preserve">Battery cost </t>
  </si>
  <si>
    <t>Monthly Drone Maintenance</t>
  </si>
  <si>
    <t xml:space="preserve">UIN Licence (5 yrs) </t>
  </si>
  <si>
    <t>Operating Cost</t>
  </si>
  <si>
    <t xml:space="preserve">Drone Cost </t>
  </si>
  <si>
    <t>2B</t>
  </si>
  <si>
    <t>Cost  Delivery Manpower</t>
  </si>
  <si>
    <t>Tue</t>
  </si>
  <si>
    <t>Wed</t>
  </si>
  <si>
    <t>Thurs</t>
  </si>
  <si>
    <t>Fri</t>
  </si>
  <si>
    <t>Sat</t>
  </si>
  <si>
    <t>Sun</t>
  </si>
  <si>
    <t>A'noon</t>
  </si>
  <si>
    <t>Even'g</t>
  </si>
  <si>
    <t>Week 
Days</t>
  </si>
  <si>
    <t>12 - 3 pm</t>
  </si>
  <si>
    <t>7 - 10 Pm</t>
  </si>
  <si>
    <t>Peak Opr Hrs</t>
  </si>
  <si>
    <t>2C</t>
  </si>
  <si>
    <t>Monthly Del. Vehicle Cost</t>
  </si>
  <si>
    <t>1D</t>
  </si>
  <si>
    <t>Delivery Vehicles</t>
  </si>
  <si>
    <t>1D.a</t>
  </si>
  <si>
    <t>1D.b</t>
  </si>
  <si>
    <t>EV Van Cost</t>
  </si>
  <si>
    <t>EV Vans Required</t>
  </si>
  <si>
    <t>Power Supply Cost</t>
  </si>
  <si>
    <t>2C.b</t>
  </si>
  <si>
    <t>2C.c</t>
  </si>
  <si>
    <t>Maintenance</t>
  </si>
  <si>
    <t>2C.e</t>
  </si>
  <si>
    <t>E bike Monthly Subscription Cost per unit per day</t>
  </si>
  <si>
    <t>2C.f</t>
  </si>
  <si>
    <t>Total Monthly Subscription Cost for 6 E bikes</t>
  </si>
  <si>
    <t>2D</t>
  </si>
  <si>
    <t>%</t>
  </si>
  <si>
    <t>II</t>
  </si>
  <si>
    <t>III</t>
  </si>
  <si>
    <t>EBIT</t>
  </si>
  <si>
    <t>Interest</t>
  </si>
  <si>
    <t>EBT</t>
  </si>
  <si>
    <t>Tax</t>
  </si>
  <si>
    <t>Net Profit</t>
  </si>
  <si>
    <t>Revenue From Restaurent</t>
  </si>
  <si>
    <t>IV</t>
  </si>
  <si>
    <t>V</t>
  </si>
  <si>
    <t>VI</t>
  </si>
  <si>
    <t>VII</t>
  </si>
  <si>
    <t>VIII</t>
  </si>
  <si>
    <t>IX</t>
  </si>
  <si>
    <t>A2</t>
  </si>
  <si>
    <t>Salary Gowth as per industry std's</t>
  </si>
  <si>
    <t>TBC</t>
  </si>
  <si>
    <t>TO DO TASKS</t>
  </si>
  <si>
    <t>AOV</t>
  </si>
  <si>
    <t>GMV</t>
  </si>
  <si>
    <t>TO AD</t>
  </si>
  <si>
    <t>TO ADD</t>
  </si>
  <si>
    <t>Order Management System</t>
  </si>
  <si>
    <t>To Add cost</t>
  </si>
  <si>
    <t>To do</t>
  </si>
  <si>
    <t xml:space="preserve">For radius , cal. Working </t>
  </si>
  <si>
    <t>Assumed</t>
  </si>
  <si>
    <t>To make cal. As per 9 Hubs in template</t>
  </si>
  <si>
    <t>Same for revenue as per 9 hubs</t>
  </si>
  <si>
    <t>Check Software cost for drone automated system</t>
  </si>
  <si>
    <t>Revenues from Order (Tempo)</t>
  </si>
  <si>
    <t>Grand Total Revenues</t>
  </si>
  <si>
    <t>TBC Abdul</t>
  </si>
  <si>
    <t xml:space="preserve">70 is after del. Paid or before, From rest. Or customer + rest. Or what is being receoved from rest. To consider as std.? </t>
  </si>
  <si>
    <t>Financial Goodnees</t>
  </si>
  <si>
    <t>For Taclo</t>
  </si>
  <si>
    <t>For delivery boy</t>
  </si>
  <si>
    <t xml:space="preserve">For restaurents </t>
  </si>
  <si>
    <t>22a</t>
  </si>
  <si>
    <t>22b</t>
  </si>
  <si>
    <t>22c</t>
  </si>
  <si>
    <t>Per hr (Peak/6hr) BTM</t>
  </si>
  <si>
    <t>Per hr (Peak/6hr) ALL</t>
  </si>
  <si>
    <t>All Strategic Locations</t>
  </si>
  <si>
    <t>Target orders BTM</t>
  </si>
  <si>
    <t>Drones reqd (Per Hr) BTM</t>
  </si>
  <si>
    <t>Drones reqd (Per Hr) ALL</t>
  </si>
  <si>
    <t>Target orders ALL</t>
  </si>
  <si>
    <t>Drones reqd per HUB</t>
  </si>
  <si>
    <t>Total Monthly Cost for All Locations</t>
  </si>
  <si>
    <t>Total Location Hubs</t>
  </si>
  <si>
    <t>Station Manpower (3 Station)</t>
  </si>
  <si>
    <t xml:space="preserve">Total setup cost For all Hubs </t>
  </si>
  <si>
    <t>Total Monthly Drone cost BTM</t>
  </si>
  <si>
    <t>Total Monthly Drone cost ALL HUBS</t>
  </si>
  <si>
    <t>Total setup cost BTM HUB</t>
  </si>
  <si>
    <t>Total Cost BTM HUB</t>
  </si>
  <si>
    <t>Total Cost ALL HUBS</t>
  </si>
  <si>
    <t>No. of location Hubs</t>
  </si>
  <si>
    <t>Delivery person reqd (per hr) ALL Hubs</t>
  </si>
  <si>
    <t>Delivery person reqd (per hr) BTM Hub</t>
  </si>
  <si>
    <t>Commission per day(Rs)</t>
  </si>
  <si>
    <t>Total Delivery Manpower cost BTM Hub</t>
  </si>
  <si>
    <t>Total Delivery Manpower cost All Hubs</t>
  </si>
  <si>
    <t>Avg Speed</t>
  </si>
  <si>
    <t>Avg Time</t>
  </si>
  <si>
    <t>Avg Distance (Km)</t>
  </si>
  <si>
    <t>Delivery time estimation</t>
  </si>
  <si>
    <t>Incomplete</t>
  </si>
  <si>
    <t>1A.j</t>
  </si>
  <si>
    <t>1A.k</t>
  </si>
  <si>
    <t>1B.j</t>
  </si>
  <si>
    <t>Total No. of Hub Locations</t>
  </si>
  <si>
    <t>All strategic Location</t>
  </si>
  <si>
    <t>Per hr (Peak/6hr) for All Locations</t>
  </si>
  <si>
    <t>Per hr (Peak/6hr) BTM (1 Location)</t>
  </si>
  <si>
    <t>Target Orders BTM (1 Location)</t>
  </si>
  <si>
    <t>Target Orders All Location</t>
  </si>
  <si>
    <t>Drone Reqd Per Hrs All Loc.</t>
  </si>
  <si>
    <t>Drone Reqd Per Hrs BTM (1 loc)</t>
  </si>
  <si>
    <t>Del Person Reqd All Location</t>
  </si>
  <si>
    <t>Del Person Reqd BTM (1 loc)</t>
  </si>
  <si>
    <t>2B.a</t>
  </si>
  <si>
    <t>2B.b</t>
  </si>
  <si>
    <t>Total Developing Cost BTM (1 Loc.)</t>
  </si>
  <si>
    <t>Total Developing Cost All Location</t>
  </si>
  <si>
    <t>Total Operating Cost BTM ( 1 Loc)</t>
  </si>
  <si>
    <t>Total Operating Cost All Location</t>
  </si>
  <si>
    <t>Conversion Growth Rate</t>
  </si>
  <si>
    <t>Est orders All Hubs</t>
  </si>
  <si>
    <t>Est orders BTM Hub</t>
  </si>
  <si>
    <t>Est revenue BTM Hub</t>
  </si>
  <si>
    <t>Est revenue All Hub</t>
  </si>
  <si>
    <t>Est Monthly orders All Hubs</t>
  </si>
  <si>
    <t>Est Monthly orders BTM Hub</t>
  </si>
  <si>
    <t xml:space="preserve">Project Operation Manager </t>
  </si>
  <si>
    <t>1AA</t>
  </si>
  <si>
    <t>1AB</t>
  </si>
  <si>
    <t>1AC</t>
  </si>
  <si>
    <t>1AD</t>
  </si>
  <si>
    <t xml:space="preserve">Assumptions </t>
  </si>
  <si>
    <t xml:space="preserve">YoY </t>
  </si>
  <si>
    <t xml:space="preserve">Conversion </t>
  </si>
  <si>
    <t>Avg Order Value</t>
  </si>
  <si>
    <t>Avg Growth Rate</t>
  </si>
  <si>
    <t xml:space="preserve">Station Manpower </t>
  </si>
  <si>
    <t xml:space="preserve">Earning From Customer </t>
  </si>
  <si>
    <t>Earning From Restaurent</t>
  </si>
  <si>
    <t>Delivery Manpower</t>
  </si>
  <si>
    <t>Project Team</t>
  </si>
  <si>
    <t>Drone Life (Yrs)</t>
  </si>
  <si>
    <t>E Bike Subscription Growth</t>
  </si>
  <si>
    <t>Revenue per order</t>
  </si>
  <si>
    <t>Est Revenue BTM Hub</t>
  </si>
  <si>
    <t>Est Revenue All Hubs</t>
  </si>
  <si>
    <t>B1</t>
  </si>
  <si>
    <t>B2</t>
  </si>
  <si>
    <t>B3</t>
  </si>
  <si>
    <t>D1</t>
  </si>
  <si>
    <t>D2</t>
  </si>
  <si>
    <t>Total Revenue BTM Hub</t>
  </si>
  <si>
    <t>Total Revenue All Hubs</t>
  </si>
  <si>
    <t>EBITDA All Hubs</t>
  </si>
  <si>
    <t>Amortization _Drone</t>
  </si>
  <si>
    <t>Amortization _AV Van</t>
  </si>
  <si>
    <t>Total Cost of EV Vans BTM Location</t>
  </si>
  <si>
    <t>Total Cost of EV Vans All Hubs Location</t>
  </si>
  <si>
    <t xml:space="preserve">Total Amortization </t>
  </si>
  <si>
    <t>Depriciation_Drone</t>
  </si>
  <si>
    <t>Depreciation _AV Van</t>
  </si>
  <si>
    <t>EV Van Life (Yrs) _AM</t>
  </si>
  <si>
    <t>EV Van Life (Yrs) _DP</t>
  </si>
  <si>
    <t>Electrical &amp; Civil &amp; Solar Infra Life (Yrs) _DP</t>
  </si>
  <si>
    <t>Electrical &amp; Civil &amp; Solar Infra Life (Yrs) _AM</t>
  </si>
  <si>
    <t>1E</t>
  </si>
  <si>
    <t>IT Set Up (Yrs)  _DP</t>
  </si>
  <si>
    <t>IT Set Up (Yrs)_AM</t>
  </si>
  <si>
    <t>Total Depreciation</t>
  </si>
  <si>
    <t>Week</t>
  </si>
  <si>
    <t>Month</t>
  </si>
  <si>
    <t>Salary Project Operation Manager (per annum)</t>
  </si>
  <si>
    <t>Total Station Manpower Salary per annum BTM HUM Location</t>
  </si>
  <si>
    <t>Total Station Manpower Salary per annum All Hub Locations</t>
  </si>
  <si>
    <t>Total Project Manpower Cost (per annum)</t>
  </si>
  <si>
    <t>Reserve</t>
  </si>
  <si>
    <t>Project IT Engineer</t>
  </si>
  <si>
    <t xml:space="preserve">Project Operations Executives </t>
  </si>
  <si>
    <t>1AE</t>
  </si>
  <si>
    <t>Project IT Assistant</t>
  </si>
  <si>
    <t>Salary Project Operation Executive (per annum)</t>
  </si>
  <si>
    <t>Project IT Assistant (per annum)</t>
  </si>
  <si>
    <t>1AF</t>
  </si>
  <si>
    <t>1AG</t>
  </si>
  <si>
    <t>1F</t>
  </si>
  <si>
    <t>Autonomous Drone Operation Software Develeopment Cost</t>
  </si>
  <si>
    <t>Salary per Operations executive per month</t>
  </si>
  <si>
    <t>Total Operations manpower Cost per month</t>
  </si>
  <si>
    <t>Electrical technician salary per month</t>
  </si>
  <si>
    <t xml:space="preserve">Total cost for Electrical technician per month </t>
  </si>
  <si>
    <t xml:space="preserve">Initial cost per drone </t>
  </si>
  <si>
    <t>Total setup cost BTM Hub Location</t>
  </si>
  <si>
    <t>Total Set up Cost of Drone Station Infra All Hub Locations</t>
  </si>
  <si>
    <t>Marketing Cost per Annum All Locations</t>
  </si>
  <si>
    <t>Marketing Cost per Annum BTM HUB Locations - 17% of ALL Loc.</t>
  </si>
  <si>
    <t>1G</t>
  </si>
  <si>
    <t>Office IT Set Up Per Annum</t>
  </si>
  <si>
    <t>IT Set Up BTM Hub per annum</t>
  </si>
  <si>
    <t>IT Set Up All Hubs per annum</t>
  </si>
  <si>
    <t>Amortization _HUB IT Set Up</t>
  </si>
  <si>
    <t>Amortization _Office IT Set Up</t>
  </si>
  <si>
    <t>Depreciation _HUB IT Set Up</t>
  </si>
  <si>
    <t>Depreciation _Office IT Set Up</t>
  </si>
  <si>
    <t>Office IT set UP_DP</t>
  </si>
  <si>
    <t>1H</t>
  </si>
  <si>
    <t xml:space="preserve">Office Furniture Cost </t>
  </si>
  <si>
    <t>Office Furniture _DP</t>
  </si>
  <si>
    <t>Amortization _Office Furniture</t>
  </si>
  <si>
    <t>Depreciation _Office Furniture</t>
  </si>
  <si>
    <t>Drones reqd BTM Hub Location</t>
  </si>
  <si>
    <t>Dev Cost - 1st Year AM\</t>
  </si>
  <si>
    <t>Marketing Cost Gth</t>
  </si>
  <si>
    <t>AOV Gth Rate</t>
  </si>
  <si>
    <t>per order rev gth rate</t>
  </si>
  <si>
    <t xml:space="preserve">Total Initial per Drone Cost </t>
  </si>
  <si>
    <t xml:space="preserve">Total Initial Drone Cost BTM Hub </t>
  </si>
  <si>
    <t xml:space="preserve">Total Initial Drone Cost All Hub </t>
  </si>
  <si>
    <t>Yrs</t>
  </si>
  <si>
    <t>Amortization _ HUB Station Set Up</t>
  </si>
  <si>
    <t>Total Cost as per Order del. (both Peak &amp; Non Peak Hrs.)</t>
  </si>
  <si>
    <t>Gth Del Vehicle Opr</t>
  </si>
  <si>
    <t>Monthly Order Gth</t>
  </si>
  <si>
    <t>Manpower gth</t>
  </si>
  <si>
    <t>2B.c</t>
  </si>
  <si>
    <t>Delivery Manpower Aligned BTM Hub</t>
  </si>
  <si>
    <t>2B.d</t>
  </si>
  <si>
    <t>Delivery Manpower Aligned All Hub</t>
  </si>
  <si>
    <r>
      <t xml:space="preserve">STAGE 1 - </t>
    </r>
    <r>
      <rPr>
        <b/>
        <sz val="10"/>
        <color rgb="FFC00000"/>
        <rFont val="Calibri"/>
        <family val="2"/>
        <scheme val="minor"/>
      </rPr>
      <t>Identified Cost &amp; Benefits</t>
    </r>
  </si>
  <si>
    <r>
      <t xml:space="preserve">STAGE 2 - </t>
    </r>
    <r>
      <rPr>
        <b/>
        <sz val="10"/>
        <color rgb="FFC00000"/>
        <rFont val="Calibri"/>
        <family val="2"/>
        <scheme val="minor"/>
      </rPr>
      <t>Assign Values to C&amp;B</t>
    </r>
  </si>
  <si>
    <r>
      <t>STAGE 3  :</t>
    </r>
    <r>
      <rPr>
        <b/>
        <sz val="10"/>
        <color rgb="FFC00000"/>
        <rFont val="Calibri"/>
        <family val="2"/>
        <scheme val="minor"/>
      </rPr>
      <t xml:space="preserve"> Cash Flow Year on Year</t>
    </r>
  </si>
  <si>
    <r>
      <t xml:space="preserve">STAGE 4 : </t>
    </r>
    <r>
      <rPr>
        <b/>
        <sz val="10"/>
        <color rgb="FFC00000"/>
        <rFont val="Calibri"/>
        <family val="2"/>
        <scheme val="minor"/>
      </rPr>
      <t>Assesed Project Economical Value</t>
    </r>
  </si>
  <si>
    <t>Taclo Drone Delivery Cost Benefit Analysis</t>
  </si>
  <si>
    <t>Assigned Values</t>
  </si>
  <si>
    <t>Total Monthly Cost for Del Vehicle BTM</t>
  </si>
  <si>
    <t>Revenues/ Benefits</t>
  </si>
  <si>
    <t>IV.a</t>
  </si>
  <si>
    <t>IV.b</t>
  </si>
  <si>
    <t>IV.c</t>
  </si>
  <si>
    <t>IV.d</t>
  </si>
  <si>
    <t>IV.e</t>
  </si>
  <si>
    <t>V.a</t>
  </si>
  <si>
    <t>V.b</t>
  </si>
  <si>
    <t>V.c</t>
  </si>
  <si>
    <t>V.d</t>
  </si>
  <si>
    <t>V.e</t>
  </si>
  <si>
    <t>Depreciation _HUB Station Set Up</t>
  </si>
  <si>
    <t>EBITDA BTM HUB</t>
  </si>
  <si>
    <t>Project IT Engineer (per annum)</t>
  </si>
  <si>
    <t>Solar setup (10 kb)</t>
  </si>
  <si>
    <t>SETUP COST OF DRONE STATION INFRA</t>
  </si>
  <si>
    <t>Est revenue All Hub Per annum</t>
  </si>
  <si>
    <t>2E</t>
  </si>
  <si>
    <t xml:space="preserve">Packaging </t>
  </si>
  <si>
    <t>Premium Packaging Cost per Order per annum_BTM</t>
  </si>
  <si>
    <t>Premium Packaging Cost per Order per annum_All Hubs</t>
  </si>
  <si>
    <t>Hub rent per sqft</t>
  </si>
  <si>
    <t>Hub space required per hub</t>
  </si>
  <si>
    <t>Total rent per hub per annum</t>
  </si>
  <si>
    <t>Total rent all hub per annum</t>
  </si>
  <si>
    <t>rent growth %</t>
  </si>
  <si>
    <t>Sample P&amp;L sheet online to refer</t>
  </si>
  <si>
    <t>Ammortization and Dep. Cal.</t>
  </si>
  <si>
    <t xml:space="preserve">Taxes </t>
  </si>
  <si>
    <t>Rider Vs Drone Analysis _ Cost ? For per delivery cost
Req.of del.boys for exisitng Vs drone model</t>
  </si>
  <si>
    <t>16th Nov</t>
  </si>
  <si>
    <t>Separate row for rent cal.</t>
  </si>
  <si>
    <t>Remove marketing cost</t>
  </si>
  <si>
    <t>Assumption logic for AOV growth rate over 25% 
Conversion rate of potential orders -?</t>
  </si>
  <si>
    <t xml:space="preserve">Insurance </t>
  </si>
  <si>
    <t xml:space="preserve">To Do Working </t>
  </si>
  <si>
    <t>17th Nov</t>
  </si>
  <si>
    <t xml:space="preserve">Timeline Estd. </t>
  </si>
  <si>
    <t xml:space="preserve">Tentative </t>
  </si>
  <si>
    <t>How drone model is helping generate extra orders &amp; In turn maximize profit</t>
  </si>
  <si>
    <t>Rent Cost per Annum All Locations</t>
  </si>
  <si>
    <t>RENT DETAILS</t>
  </si>
  <si>
    <t>AI ML ENGG</t>
  </si>
  <si>
    <t>DATA ENGG</t>
  </si>
  <si>
    <t>DATA SCIENTISTS</t>
  </si>
  <si>
    <t>DATA ANALYSTS</t>
  </si>
  <si>
    <t>DONE</t>
  </si>
  <si>
    <t>Hourly Peak Orders</t>
  </si>
  <si>
    <t xml:space="preserve">Delivery Executive reqd </t>
  </si>
  <si>
    <t>Avg Order delivery per hour</t>
  </si>
  <si>
    <t>AVG Hourly</t>
  </si>
  <si>
    <t>Traditional Delivery Model Salary Calculation</t>
  </si>
  <si>
    <t xml:space="preserve">Fixed </t>
  </si>
  <si>
    <t>Commission /Order</t>
  </si>
  <si>
    <t>Avg Monthly Orders</t>
  </si>
  <si>
    <t>Rent growth %</t>
  </si>
  <si>
    <t>Delivery Reserve %</t>
  </si>
  <si>
    <t>1A.J</t>
  </si>
  <si>
    <t>Total setup cost 1 Hub Location</t>
  </si>
  <si>
    <t>Total Cost of EV Vans 1 HUB Location</t>
  </si>
  <si>
    <t>IT Set Up 1 Hub per annum</t>
  </si>
  <si>
    <t xml:space="preserve">Total Developing Cost 1 HUB </t>
  </si>
  <si>
    <t>Total monthly Orders</t>
  </si>
  <si>
    <t>Package Charges per order</t>
  </si>
  <si>
    <t>Drones reqd 1 Hub Location</t>
  </si>
  <si>
    <t xml:space="preserve">Total Initial Drone Cost 1 Hub </t>
  </si>
  <si>
    <t>Delivery Manpower reqd 1 Hub</t>
  </si>
  <si>
    <t>Total Monthly Cost for Del Vehicle 1 Hub</t>
  </si>
  <si>
    <t>RENT Cost per Annum BTM HUB Locations - 1</t>
  </si>
  <si>
    <t>DRONE COST PER ANNUM</t>
  </si>
  <si>
    <t>Avg YEARLY Salary Bill</t>
  </si>
  <si>
    <t xml:space="preserve">TOTAL  DELIVERY OPR COST </t>
  </si>
  <si>
    <t xml:space="preserve">Operations Maintenance Cost </t>
  </si>
  <si>
    <t>Avg Annual Salary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</si>
</sst>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 * #,##0_ ;_ * \-#,##0_ ;_ * &quot;-&quot;??_ ;_ @_ "/>
    <numFmt numFmtId="166" formatCode="_(* #,##0.0_);_(* \(#,##0.0\);_(* &quot;-&quot;??_);_(@_)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2" borderId="1" xfId="0" applyFill="1" applyBorder="1"/>
    <xf numFmtId="0" fontId="2" fillId="0" borderId="1" xfId="0" applyFont="1" applyBorder="1"/>
    <xf numFmtId="9" fontId="2" fillId="0" borderId="1" xfId="0" applyNumberFormat="1" applyFont="1" applyBorder="1"/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9" fontId="2" fillId="3" borderId="0" xfId="0" applyNumberFormat="1" applyFont="1" applyFill="1"/>
    <xf numFmtId="1" fontId="0" fillId="0" borderId="1" xfId="0" applyNumberFormat="1" applyBorder="1"/>
    <xf numFmtId="1" fontId="0" fillId="0" borderId="2" xfId="0" applyNumberFormat="1" applyFill="1" applyBorder="1"/>
    <xf numFmtId="9" fontId="0" fillId="2" borderId="1" xfId="0" applyNumberFormat="1" applyFill="1" applyBorder="1"/>
    <xf numFmtId="2" fontId="0" fillId="0" borderId="1" xfId="0" applyNumberFormat="1" applyBorder="1"/>
    <xf numFmtId="1" fontId="0" fillId="0" borderId="1" xfId="0" applyNumberFormat="1" applyFill="1" applyBorder="1"/>
    <xf numFmtId="0" fontId="0" fillId="0" borderId="0" xfId="0" applyAlignment="1"/>
    <xf numFmtId="0" fontId="0" fillId="4" borderId="1" xfId="0" applyFill="1" applyBorder="1"/>
    <xf numFmtId="0" fontId="0" fillId="4" borderId="1" xfId="0" applyFill="1" applyBorder="1" applyAlignment="1"/>
    <xf numFmtId="9" fontId="0" fillId="4" borderId="1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wrapText="1"/>
    </xf>
    <xf numFmtId="0" fontId="2" fillId="3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/>
    <xf numFmtId="9" fontId="2" fillId="2" borderId="1" xfId="0" applyNumberFormat="1" applyFont="1" applyFill="1" applyBorder="1"/>
    <xf numFmtId="0" fontId="0" fillId="0" borderId="1" xfId="0" applyBorder="1" applyAlignment="1">
      <alignment horizontal="right"/>
    </xf>
    <xf numFmtId="0" fontId="0" fillId="4" borderId="0" xfId="0" applyFill="1" applyBorder="1"/>
    <xf numFmtId="1" fontId="2" fillId="3" borderId="0" xfId="0" applyNumberFormat="1" applyFont="1" applyFill="1"/>
    <xf numFmtId="0" fontId="2" fillId="2" borderId="0" xfId="0" applyFont="1" applyFill="1"/>
    <xf numFmtId="9" fontId="2" fillId="0" borderId="0" xfId="0" applyNumberFormat="1" applyFont="1" applyFill="1"/>
    <xf numFmtId="2" fontId="0" fillId="0" borderId="1" xfId="0" applyNumberFormat="1" applyBorder="1" applyAlignment="1">
      <alignment horizontal="right"/>
    </xf>
    <xf numFmtId="9" fontId="2" fillId="3" borderId="0" xfId="2" applyFont="1" applyFill="1"/>
    <xf numFmtId="2" fontId="2" fillId="2" borderId="1" xfId="0" applyNumberFormat="1" applyFont="1" applyFill="1" applyBorder="1"/>
    <xf numFmtId="164" fontId="0" fillId="0" borderId="1" xfId="1" applyNumberFormat="1" applyFont="1" applyBorder="1" applyAlignment="1">
      <alignment horizontal="center"/>
    </xf>
    <xf numFmtId="0" fontId="2" fillId="4" borderId="1" xfId="0" applyFont="1" applyFill="1" applyBorder="1" applyAlignment="1"/>
    <xf numFmtId="43" fontId="0" fillId="5" borderId="1" xfId="0" applyNumberFormat="1" applyFill="1" applyBorder="1" applyAlignment="1"/>
    <xf numFmtId="43" fontId="0" fillId="5" borderId="1" xfId="0" applyNumberFormat="1" applyFill="1" applyBorder="1"/>
    <xf numFmtId="0" fontId="0" fillId="6" borderId="1" xfId="0" applyFill="1" applyBorder="1"/>
    <xf numFmtId="43" fontId="0" fillId="6" borderId="1" xfId="0" applyNumberForma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8" fillId="0" borderId="24" xfId="0" applyFont="1" applyBorder="1" applyAlignment="1">
      <alignment vertical="center" wrapText="1"/>
    </xf>
    <xf numFmtId="0" fontId="8" fillId="0" borderId="26" xfId="0" applyFont="1" applyBorder="1" applyAlignment="1">
      <alignment vertical="center" wrapText="1"/>
    </xf>
    <xf numFmtId="0" fontId="0" fillId="0" borderId="27" xfId="0" applyBorder="1" applyAlignment="1">
      <alignment horizontal="center" vertical="center"/>
    </xf>
    <xf numFmtId="0" fontId="8" fillId="0" borderId="28" xfId="0" applyFont="1" applyBorder="1" applyAlignment="1">
      <alignment vertical="center"/>
    </xf>
    <xf numFmtId="0" fontId="8" fillId="0" borderId="28" xfId="0" applyFont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8" fillId="0" borderId="30" xfId="0" applyFont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8" fillId="0" borderId="24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31" xfId="0" applyBorder="1" applyAlignment="1">
      <alignment horizontal="left" vertical="center" wrapText="1"/>
    </xf>
    <xf numFmtId="0" fontId="8" fillId="0" borderId="17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17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0" borderId="44" xfId="0" applyBorder="1"/>
    <xf numFmtId="0" fontId="0" fillId="0" borderId="45" xfId="0" applyBorder="1"/>
    <xf numFmtId="0" fontId="2" fillId="0" borderId="45" xfId="0" applyFont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left" vertical="center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0" fillId="0" borderId="0" xfId="0" applyFill="1" applyBorder="1"/>
    <xf numFmtId="0" fontId="0" fillId="9" borderId="0" xfId="0" applyFill="1" applyAlignment="1">
      <alignment horizontal="left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2" fillId="0" borderId="1" xfId="0" applyNumberFormat="1" applyFont="1" applyBorder="1"/>
    <xf numFmtId="0" fontId="0" fillId="4" borderId="1" xfId="0" applyFill="1" applyBorder="1" applyAlignment="1">
      <alignment wrapText="1"/>
    </xf>
    <xf numFmtId="0" fontId="0" fillId="7" borderId="1" xfId="0" applyFill="1" applyBorder="1"/>
    <xf numFmtId="1" fontId="2" fillId="0" borderId="0" xfId="1" applyNumberFormat="1" applyFont="1" applyFill="1" applyBorder="1" applyAlignment="1">
      <alignment vertical="center"/>
    </xf>
    <xf numFmtId="1" fontId="2" fillId="0" borderId="0" xfId="0" applyNumberFormat="1" applyFont="1"/>
    <xf numFmtId="0" fontId="9" fillId="0" borderId="0" xfId="0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43" fontId="8" fillId="0" borderId="0" xfId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9" fontId="9" fillId="0" borderId="0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9" fontId="9" fillId="0" borderId="0" xfId="2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9" fontId="8" fillId="0" borderId="0" xfId="0" applyNumberFormat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vertical="center"/>
    </xf>
    <xf numFmtId="164" fontId="9" fillId="0" borderId="0" xfId="1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9" fontId="8" fillId="0" borderId="0" xfId="2" applyFont="1" applyFill="1" applyBorder="1" applyAlignment="1">
      <alignment horizontal="center" vertical="center" wrapText="1"/>
    </xf>
    <xf numFmtId="9" fontId="8" fillId="0" borderId="0" xfId="0" applyNumberFormat="1" applyFont="1" applyFill="1" applyBorder="1" applyAlignment="1">
      <alignment vertical="center"/>
    </xf>
    <xf numFmtId="9" fontId="12" fillId="0" borderId="0" xfId="2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/>
    </xf>
    <xf numFmtId="43" fontId="9" fillId="0" borderId="0" xfId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43" fontId="8" fillId="0" borderId="0" xfId="1" applyFont="1" applyFill="1" applyBorder="1" applyAlignment="1">
      <alignment vertical="center"/>
    </xf>
    <xf numFmtId="43" fontId="8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  <xf numFmtId="164" fontId="9" fillId="0" borderId="0" xfId="0" applyNumberFormat="1" applyFont="1" applyFill="1" applyBorder="1" applyAlignment="1">
      <alignment horizontal="center" vertical="center" wrapText="1"/>
    </xf>
    <xf numFmtId="9" fontId="9" fillId="0" borderId="0" xfId="0" applyNumberFormat="1" applyFont="1" applyFill="1" applyBorder="1" applyAlignment="1">
      <alignment vertical="center"/>
    </xf>
    <xf numFmtId="0" fontId="9" fillId="10" borderId="12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/>
    </xf>
    <xf numFmtId="0" fontId="9" fillId="10" borderId="15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left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left" vertical="center"/>
    </xf>
    <xf numFmtId="2" fontId="9" fillId="9" borderId="0" xfId="0" applyNumberFormat="1" applyFont="1" applyFill="1" applyBorder="1" applyAlignment="1">
      <alignment horizontal="center" vertical="center"/>
    </xf>
    <xf numFmtId="164" fontId="9" fillId="9" borderId="0" xfId="1" applyNumberFormat="1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horizontal="center" vertical="center"/>
    </xf>
    <xf numFmtId="164" fontId="9" fillId="12" borderId="0" xfId="1" applyNumberFormat="1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left" vertical="center"/>
    </xf>
    <xf numFmtId="0" fontId="12" fillId="13" borderId="12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left" vertical="center"/>
    </xf>
    <xf numFmtId="0" fontId="8" fillId="12" borderId="9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left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left" vertical="center"/>
    </xf>
    <xf numFmtId="2" fontId="9" fillId="9" borderId="7" xfId="0" applyNumberFormat="1" applyFont="1" applyFill="1" applyBorder="1" applyAlignment="1">
      <alignment horizontal="center" vertical="center"/>
    </xf>
    <xf numFmtId="164" fontId="9" fillId="9" borderId="7" xfId="1" applyNumberFormat="1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0" fontId="9" fillId="13" borderId="6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vertical="center"/>
    </xf>
    <xf numFmtId="0" fontId="9" fillId="13" borderId="7" xfId="0" applyFont="1" applyFill="1" applyBorder="1" applyAlignment="1">
      <alignment horizontal="center" vertical="center"/>
    </xf>
    <xf numFmtId="3" fontId="9" fillId="13" borderId="7" xfId="0" applyNumberFormat="1" applyFont="1" applyFill="1" applyBorder="1" applyAlignment="1">
      <alignment vertical="center"/>
    </xf>
    <xf numFmtId="3" fontId="9" fillId="0" borderId="7" xfId="0" applyNumberFormat="1" applyFont="1" applyFill="1" applyBorder="1" applyAlignment="1">
      <alignment vertical="center"/>
    </xf>
    <xf numFmtId="3" fontId="9" fillId="13" borderId="8" xfId="0" applyNumberFormat="1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9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vertical="center"/>
    </xf>
    <xf numFmtId="0" fontId="9" fillId="12" borderId="4" xfId="0" applyFont="1" applyFill="1" applyBorder="1" applyAlignment="1">
      <alignment horizontal="center" vertical="center"/>
    </xf>
    <xf numFmtId="164" fontId="9" fillId="12" borderId="4" xfId="1" applyNumberFormat="1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left" vertical="center"/>
    </xf>
    <xf numFmtId="0" fontId="9" fillId="5" borderId="5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vertical="center"/>
    </xf>
    <xf numFmtId="0" fontId="9" fillId="5" borderId="21" xfId="0" applyFont="1" applyFill="1" applyBorder="1" applyAlignment="1">
      <alignment horizontal="center" vertical="center"/>
    </xf>
    <xf numFmtId="164" fontId="9" fillId="5" borderId="21" xfId="1" applyNumberFormat="1" applyFont="1" applyFill="1" applyBorder="1" applyAlignment="1">
      <alignment vertical="center"/>
    </xf>
    <xf numFmtId="0" fontId="9" fillId="5" borderId="11" xfId="0" applyFont="1" applyFill="1" applyBorder="1" applyAlignment="1">
      <alignment vertical="center"/>
    </xf>
    <xf numFmtId="0" fontId="9" fillId="14" borderId="50" xfId="0" applyFont="1" applyFill="1" applyBorder="1" applyAlignment="1">
      <alignment horizontal="center" vertical="center"/>
    </xf>
    <xf numFmtId="0" fontId="9" fillId="14" borderId="21" xfId="0" applyFont="1" applyFill="1" applyBorder="1" applyAlignment="1">
      <alignment vertical="center"/>
    </xf>
    <xf numFmtId="0" fontId="9" fillId="14" borderId="21" xfId="0" applyFont="1" applyFill="1" applyBorder="1" applyAlignment="1">
      <alignment horizontal="center" vertical="center"/>
    </xf>
    <xf numFmtId="0" fontId="9" fillId="14" borderId="11" xfId="0" applyFont="1" applyFill="1" applyBorder="1" applyAlignment="1">
      <alignment vertical="center"/>
    </xf>
    <xf numFmtId="0" fontId="12" fillId="14" borderId="0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left" vertical="center"/>
    </xf>
    <xf numFmtId="2" fontId="12" fillId="8" borderId="0" xfId="0" applyNumberFormat="1" applyFont="1" applyFill="1" applyBorder="1" applyAlignment="1">
      <alignment horizontal="center" vertical="center"/>
    </xf>
    <xf numFmtId="164" fontId="12" fillId="8" borderId="0" xfId="1" applyNumberFormat="1" applyFont="1" applyFill="1" applyBorder="1" applyAlignment="1">
      <alignment vertical="center"/>
    </xf>
    <xf numFmtId="0" fontId="11" fillId="8" borderId="24" xfId="0" applyFont="1" applyFill="1" applyBorder="1" applyAlignment="1">
      <alignment vertical="center"/>
    </xf>
    <xf numFmtId="0" fontId="12" fillId="16" borderId="16" xfId="0" applyFont="1" applyFill="1" applyBorder="1" applyAlignment="1">
      <alignment horizontal="center" vertical="center"/>
    </xf>
    <xf numFmtId="0" fontId="12" fillId="16" borderId="17" xfId="0" applyFont="1" applyFill="1" applyBorder="1" applyAlignment="1">
      <alignment horizontal="left" vertical="center"/>
    </xf>
    <xf numFmtId="2" fontId="12" fillId="16" borderId="17" xfId="0" applyNumberFormat="1" applyFont="1" applyFill="1" applyBorder="1" applyAlignment="1">
      <alignment horizontal="center" vertical="center"/>
    </xf>
    <xf numFmtId="164" fontId="12" fillId="16" borderId="17" xfId="1" applyNumberFormat="1" applyFont="1" applyFill="1" applyBorder="1" applyAlignment="1">
      <alignment vertical="center"/>
    </xf>
    <xf numFmtId="0" fontId="12" fillId="16" borderId="32" xfId="0" applyFont="1" applyFill="1" applyBorder="1" applyAlignment="1">
      <alignment vertical="center"/>
    </xf>
    <xf numFmtId="0" fontId="9" fillId="15" borderId="3" xfId="0" applyFont="1" applyFill="1" applyBorder="1" applyAlignment="1">
      <alignment horizontal="center" vertical="center"/>
    </xf>
    <xf numFmtId="0" fontId="9" fillId="15" borderId="4" xfId="0" applyFont="1" applyFill="1" applyBorder="1" applyAlignment="1">
      <alignment horizontal="left" vertical="center"/>
    </xf>
    <xf numFmtId="0" fontId="8" fillId="15" borderId="4" xfId="0" applyFont="1" applyFill="1" applyBorder="1" applyAlignment="1">
      <alignment horizontal="center" vertical="center"/>
    </xf>
    <xf numFmtId="164" fontId="8" fillId="15" borderId="4" xfId="1" applyNumberFormat="1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vertical="center"/>
    </xf>
    <xf numFmtId="0" fontId="12" fillId="14" borderId="4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left" vertical="center"/>
    </xf>
    <xf numFmtId="164" fontId="8" fillId="0" borderId="9" xfId="1" applyNumberFormat="1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center"/>
    </xf>
    <xf numFmtId="0" fontId="9" fillId="9" borderId="4" xfId="0" applyFont="1" applyFill="1" applyBorder="1" applyAlignment="1">
      <alignment horizontal="center" vertical="center"/>
    </xf>
    <xf numFmtId="164" fontId="9" fillId="9" borderId="4" xfId="1" applyNumberFormat="1" applyFont="1" applyFill="1" applyBorder="1" applyAlignment="1">
      <alignment horizontal="center" vertical="center"/>
    </xf>
    <xf numFmtId="164" fontId="9" fillId="9" borderId="4" xfId="0" applyNumberFormat="1" applyFont="1" applyFill="1" applyBorder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2" borderId="9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left" vertical="center"/>
    </xf>
    <xf numFmtId="2" fontId="12" fillId="8" borderId="13" xfId="0" applyNumberFormat="1" applyFont="1" applyFill="1" applyBorder="1" applyAlignment="1">
      <alignment horizontal="center" vertical="center"/>
    </xf>
    <xf numFmtId="164" fontId="12" fillId="8" borderId="13" xfId="1" applyNumberFormat="1" applyFont="1" applyFill="1" applyBorder="1" applyAlignment="1">
      <alignment vertical="center"/>
    </xf>
    <xf numFmtId="0" fontId="11" fillId="8" borderId="15" xfId="0" applyFont="1" applyFill="1" applyBorder="1" applyAlignment="1">
      <alignment vertical="center"/>
    </xf>
    <xf numFmtId="164" fontId="9" fillId="5" borderId="4" xfId="1" applyNumberFormat="1" applyFont="1" applyFill="1" applyBorder="1" applyAlignment="1">
      <alignment vertical="center"/>
    </xf>
    <xf numFmtId="0" fontId="12" fillId="14" borderId="9" xfId="0" applyFont="1" applyFill="1" applyBorder="1" applyAlignment="1">
      <alignment horizontal="center" vertical="center"/>
    </xf>
    <xf numFmtId="0" fontId="11" fillId="14" borderId="10" xfId="0" applyFont="1" applyFill="1" applyBorder="1" applyAlignment="1">
      <alignment vertical="center"/>
    </xf>
    <xf numFmtId="165" fontId="12" fillId="0" borderId="0" xfId="1" applyNumberFormat="1" applyFont="1" applyFill="1" applyBorder="1" applyAlignment="1">
      <alignment vertical="center"/>
    </xf>
    <xf numFmtId="0" fontId="12" fillId="14" borderId="5" xfId="0" applyFont="1" applyFill="1" applyBorder="1" applyAlignment="1">
      <alignment vertical="center"/>
    </xf>
    <xf numFmtId="0" fontId="9" fillId="15" borderId="12" xfId="0" applyFont="1" applyFill="1" applyBorder="1" applyAlignment="1">
      <alignment horizontal="center" vertical="center"/>
    </xf>
    <xf numFmtId="0" fontId="9" fillId="15" borderId="13" xfId="0" applyFont="1" applyFill="1" applyBorder="1" applyAlignment="1">
      <alignment horizontal="left" vertical="center"/>
    </xf>
    <xf numFmtId="0" fontId="8" fillId="15" borderId="13" xfId="0" applyFont="1" applyFill="1" applyBorder="1" applyAlignment="1">
      <alignment horizontal="center" vertical="center"/>
    </xf>
    <xf numFmtId="0" fontId="8" fillId="15" borderId="13" xfId="0" applyFont="1" applyFill="1" applyBorder="1" applyAlignment="1">
      <alignment vertical="center"/>
    </xf>
    <xf numFmtId="0" fontId="8" fillId="15" borderId="15" xfId="0" applyFont="1" applyFill="1" applyBorder="1" applyAlignment="1">
      <alignment vertical="center"/>
    </xf>
    <xf numFmtId="0" fontId="9" fillId="15" borderId="4" xfId="0" applyFont="1" applyFill="1" applyBorder="1" applyAlignment="1">
      <alignment vertical="center"/>
    </xf>
    <xf numFmtId="0" fontId="8" fillId="15" borderId="4" xfId="0" applyFont="1" applyFill="1" applyBorder="1" applyAlignment="1">
      <alignment vertical="center"/>
    </xf>
    <xf numFmtId="164" fontId="8" fillId="15" borderId="13" xfId="0" applyNumberFormat="1" applyFont="1" applyFill="1" applyBorder="1" applyAlignment="1">
      <alignment vertical="center"/>
    </xf>
    <xf numFmtId="0" fontId="12" fillId="7" borderId="33" xfId="0" applyFont="1" applyFill="1" applyBorder="1" applyAlignment="1">
      <alignment horizontal="center" vertical="center"/>
    </xf>
    <xf numFmtId="0" fontId="12" fillId="7" borderId="34" xfId="0" applyFont="1" applyFill="1" applyBorder="1" applyAlignment="1">
      <alignment horizontal="left" vertical="center"/>
    </xf>
    <xf numFmtId="0" fontId="12" fillId="7" borderId="34" xfId="0" applyFont="1" applyFill="1" applyBorder="1" applyAlignment="1">
      <alignment horizontal="center" vertical="center"/>
    </xf>
    <xf numFmtId="164" fontId="12" fillId="7" borderId="34" xfId="0" applyNumberFormat="1" applyFont="1" applyFill="1" applyBorder="1" applyAlignment="1">
      <alignment vertical="center"/>
    </xf>
    <xf numFmtId="0" fontId="12" fillId="7" borderId="35" xfId="0" applyFont="1" applyFill="1" applyBorder="1" applyAlignment="1">
      <alignment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left" vertical="center"/>
    </xf>
    <xf numFmtId="0" fontId="12" fillId="7" borderId="13" xfId="0" applyFont="1" applyFill="1" applyBorder="1" applyAlignment="1">
      <alignment horizontal="center" vertical="center"/>
    </xf>
    <xf numFmtId="164" fontId="12" fillId="7" borderId="13" xfId="0" applyNumberFormat="1" applyFont="1" applyFill="1" applyBorder="1" applyAlignment="1">
      <alignment vertical="center"/>
    </xf>
    <xf numFmtId="0" fontId="12" fillId="7" borderId="15" xfId="0" applyFont="1" applyFill="1" applyBorder="1" applyAlignment="1">
      <alignment vertical="center"/>
    </xf>
    <xf numFmtId="164" fontId="8" fillId="15" borderId="4" xfId="1" applyNumberFormat="1" applyFont="1" applyFill="1" applyBorder="1" applyAlignment="1">
      <alignment vertical="center"/>
    </xf>
    <xf numFmtId="164" fontId="12" fillId="7" borderId="34" xfId="1" applyNumberFormat="1" applyFont="1" applyFill="1" applyBorder="1" applyAlignment="1">
      <alignment vertical="center"/>
    </xf>
    <xf numFmtId="0" fontId="12" fillId="7" borderId="34" xfId="0" applyFont="1" applyFill="1" applyBorder="1" applyAlignment="1">
      <alignment vertical="center"/>
    </xf>
    <xf numFmtId="0" fontId="12" fillId="13" borderId="13" xfId="0" applyFont="1" applyFill="1" applyBorder="1" applyAlignment="1">
      <alignment horizontal="center" vertical="center"/>
    </xf>
    <xf numFmtId="164" fontId="12" fillId="13" borderId="13" xfId="0" applyNumberFormat="1" applyFont="1" applyFill="1" applyBorder="1" applyAlignment="1">
      <alignment vertical="center"/>
    </xf>
    <xf numFmtId="0" fontId="12" fillId="13" borderId="15" xfId="0" applyFont="1" applyFill="1" applyBorder="1" applyAlignment="1">
      <alignment vertical="center"/>
    </xf>
    <xf numFmtId="0" fontId="12" fillId="13" borderId="33" xfId="0" applyFont="1" applyFill="1" applyBorder="1" applyAlignment="1">
      <alignment horizontal="center" vertical="center"/>
    </xf>
    <xf numFmtId="0" fontId="12" fillId="13" borderId="34" xfId="0" applyFont="1" applyFill="1" applyBorder="1" applyAlignment="1">
      <alignment horizontal="left" vertical="center"/>
    </xf>
    <xf numFmtId="0" fontId="12" fillId="13" borderId="34" xfId="0" applyFont="1" applyFill="1" applyBorder="1" applyAlignment="1">
      <alignment horizontal="center" vertical="center"/>
    </xf>
    <xf numFmtId="164" fontId="12" fillId="13" borderId="34" xfId="0" applyNumberFormat="1" applyFont="1" applyFill="1" applyBorder="1" applyAlignment="1">
      <alignment vertical="center"/>
    </xf>
    <xf numFmtId="0" fontId="12" fillId="13" borderId="35" xfId="0" applyFont="1" applyFill="1" applyBorder="1" applyAlignment="1">
      <alignment vertical="center"/>
    </xf>
    <xf numFmtId="0" fontId="12" fillId="13" borderId="34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43" fontId="8" fillId="0" borderId="0" xfId="0" applyNumberFormat="1" applyFont="1" applyFill="1" applyBorder="1" applyAlignment="1">
      <alignment vertical="center"/>
    </xf>
    <xf numFmtId="164" fontId="2" fillId="0" borderId="1" xfId="1" applyNumberFormat="1" applyFont="1" applyBorder="1"/>
    <xf numFmtId="0" fontId="9" fillId="17" borderId="50" xfId="0" applyFont="1" applyFill="1" applyBorder="1" applyAlignment="1">
      <alignment horizontal="center" vertical="center" wrapText="1"/>
    </xf>
    <xf numFmtId="0" fontId="9" fillId="17" borderId="21" xfId="0" applyFont="1" applyFill="1" applyBorder="1" applyAlignment="1">
      <alignment horizontal="left" vertical="center" wrapText="1"/>
    </xf>
    <xf numFmtId="0" fontId="9" fillId="17" borderId="21" xfId="0" applyFont="1" applyFill="1" applyBorder="1" applyAlignment="1">
      <alignment horizontal="center" vertical="center" wrapText="1"/>
    </xf>
    <xf numFmtId="0" fontId="9" fillId="17" borderId="11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vertical="center"/>
    </xf>
    <xf numFmtId="0" fontId="12" fillId="18" borderId="4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vertical="center"/>
    </xf>
    <xf numFmtId="0" fontId="9" fillId="19" borderId="50" xfId="0" applyFont="1" applyFill="1" applyBorder="1" applyAlignment="1">
      <alignment horizontal="center" vertical="center"/>
    </xf>
    <xf numFmtId="0" fontId="9" fillId="19" borderId="21" xfId="0" applyFont="1" applyFill="1" applyBorder="1" applyAlignment="1">
      <alignment vertical="center"/>
    </xf>
    <xf numFmtId="0" fontId="9" fillId="19" borderId="2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vertical="center"/>
    </xf>
    <xf numFmtId="0" fontId="9" fillId="19" borderId="3" xfId="0" applyFont="1" applyFill="1" applyBorder="1" applyAlignment="1">
      <alignment horizontal="center" vertical="center"/>
    </xf>
    <xf numFmtId="0" fontId="9" fillId="19" borderId="4" xfId="0" applyFont="1" applyFill="1" applyBorder="1" applyAlignment="1">
      <alignment vertical="center"/>
    </xf>
    <xf numFmtId="0" fontId="9" fillId="19" borderId="4" xfId="0" applyFont="1" applyFill="1" applyBorder="1" applyAlignment="1">
      <alignment horizontal="center" vertical="center"/>
    </xf>
    <xf numFmtId="0" fontId="9" fillId="19" borderId="5" xfId="0" applyFont="1" applyFill="1" applyBorder="1" applyAlignment="1">
      <alignment vertical="center"/>
    </xf>
    <xf numFmtId="0" fontId="8" fillId="19" borderId="9" xfId="0" applyFont="1" applyFill="1" applyBorder="1" applyAlignment="1">
      <alignment horizontal="center" vertical="center"/>
    </xf>
    <xf numFmtId="0" fontId="8" fillId="19" borderId="0" xfId="0" applyFont="1" applyFill="1" applyBorder="1" applyAlignment="1">
      <alignment horizontal="left" vertical="center"/>
    </xf>
    <xf numFmtId="0" fontId="8" fillId="19" borderId="0" xfId="0" applyFont="1" applyFill="1" applyBorder="1" applyAlignment="1">
      <alignment horizontal="center" vertical="center"/>
    </xf>
    <xf numFmtId="164" fontId="8" fillId="19" borderId="0" xfId="1" applyNumberFormat="1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vertical="center"/>
    </xf>
    <xf numFmtId="0" fontId="8" fillId="19" borderId="0" xfId="0" applyFont="1" applyFill="1" applyBorder="1" applyAlignment="1">
      <alignment vertical="center"/>
    </xf>
    <xf numFmtId="0" fontId="9" fillId="19" borderId="0" xfId="0" applyFont="1" applyFill="1" applyBorder="1" applyAlignment="1">
      <alignment vertical="center"/>
    </xf>
    <xf numFmtId="0" fontId="9" fillId="19" borderId="0" xfId="0" applyFont="1" applyFill="1" applyBorder="1" applyAlignment="1">
      <alignment horizontal="center" vertical="center"/>
    </xf>
    <xf numFmtId="164" fontId="9" fillId="19" borderId="0" xfId="1" applyNumberFormat="1" applyFont="1" applyFill="1" applyBorder="1" applyAlignment="1">
      <alignment horizontal="center" vertical="center"/>
    </xf>
    <xf numFmtId="164" fontId="8" fillId="19" borderId="0" xfId="0" applyNumberFormat="1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left" vertical="center"/>
    </xf>
    <xf numFmtId="0" fontId="9" fillId="19" borderId="6" xfId="0" applyFont="1" applyFill="1" applyBorder="1" applyAlignment="1">
      <alignment horizontal="center" vertical="center"/>
    </xf>
    <xf numFmtId="0" fontId="9" fillId="19" borderId="7" xfId="0" applyFont="1" applyFill="1" applyBorder="1" applyAlignment="1">
      <alignment horizontal="left" vertical="center"/>
    </xf>
    <xf numFmtId="2" fontId="9" fillId="19" borderId="7" xfId="0" applyNumberFormat="1" applyFont="1" applyFill="1" applyBorder="1" applyAlignment="1">
      <alignment horizontal="center" vertical="center"/>
    </xf>
    <xf numFmtId="164" fontId="9" fillId="19" borderId="7" xfId="1" applyNumberFormat="1" applyFont="1" applyFill="1" applyBorder="1" applyAlignment="1">
      <alignment horizontal="center" vertical="center"/>
    </xf>
    <xf numFmtId="0" fontId="9" fillId="19" borderId="8" xfId="0" applyFont="1" applyFill="1" applyBorder="1" applyAlignment="1">
      <alignment horizontal="left" vertical="center"/>
    </xf>
    <xf numFmtId="0" fontId="8" fillId="19" borderId="3" xfId="0" applyFont="1" applyFill="1" applyBorder="1" applyAlignment="1">
      <alignment horizontal="center" vertical="center"/>
    </xf>
    <xf numFmtId="0" fontId="8" fillId="19" borderId="4" xfId="0" applyFont="1" applyFill="1" applyBorder="1" applyAlignment="1">
      <alignment vertical="center"/>
    </xf>
    <xf numFmtId="0" fontId="8" fillId="19" borderId="4" xfId="0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vertical="center"/>
    </xf>
    <xf numFmtId="164" fontId="8" fillId="19" borderId="0" xfId="1" applyNumberFormat="1" applyFont="1" applyFill="1" applyBorder="1" applyAlignment="1">
      <alignment vertical="center"/>
    </xf>
    <xf numFmtId="3" fontId="8" fillId="19" borderId="0" xfId="0" applyNumberFormat="1" applyFont="1" applyFill="1" applyBorder="1" applyAlignment="1">
      <alignment vertical="center"/>
    </xf>
    <xf numFmtId="0" fontId="9" fillId="19" borderId="7" xfId="0" applyFont="1" applyFill="1" applyBorder="1" applyAlignment="1">
      <alignment vertical="center"/>
    </xf>
    <xf numFmtId="0" fontId="9" fillId="19" borderId="7" xfId="0" applyFont="1" applyFill="1" applyBorder="1" applyAlignment="1">
      <alignment horizontal="center" vertical="center"/>
    </xf>
    <xf numFmtId="3" fontId="9" fillId="19" borderId="7" xfId="0" applyNumberFormat="1" applyFont="1" applyFill="1" applyBorder="1" applyAlignment="1">
      <alignment vertical="center"/>
    </xf>
    <xf numFmtId="3" fontId="9" fillId="19" borderId="8" xfId="0" applyNumberFormat="1" applyFont="1" applyFill="1" applyBorder="1" applyAlignment="1">
      <alignment vertical="center"/>
    </xf>
    <xf numFmtId="2" fontId="8" fillId="19" borderId="0" xfId="0" applyNumberFormat="1" applyFont="1" applyFill="1" applyBorder="1" applyAlignment="1">
      <alignment horizontal="center" vertical="center"/>
    </xf>
    <xf numFmtId="43" fontId="8" fillId="19" borderId="0" xfId="1" applyFont="1" applyFill="1" applyBorder="1" applyAlignment="1">
      <alignment horizontal="left" vertical="center"/>
    </xf>
    <xf numFmtId="43" fontId="8" fillId="19" borderId="0" xfId="1" applyFont="1" applyFill="1" applyBorder="1" applyAlignment="1">
      <alignment vertical="center"/>
    </xf>
    <xf numFmtId="43" fontId="8" fillId="19" borderId="0" xfId="1" applyFont="1" applyFill="1" applyBorder="1" applyAlignment="1">
      <alignment horizontal="center" vertical="center"/>
    </xf>
    <xf numFmtId="1" fontId="8" fillId="19" borderId="0" xfId="0" applyNumberFormat="1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vertical="center"/>
    </xf>
    <xf numFmtId="0" fontId="9" fillId="19" borderId="9" xfId="0" applyFont="1" applyFill="1" applyBorder="1" applyAlignment="1">
      <alignment horizontal="center" vertical="center"/>
    </xf>
    <xf numFmtId="0" fontId="9" fillId="19" borderId="0" xfId="0" applyFont="1" applyFill="1" applyBorder="1" applyAlignment="1">
      <alignment horizontal="left" vertical="center"/>
    </xf>
    <xf numFmtId="2" fontId="9" fillId="19" borderId="0" xfId="0" applyNumberFormat="1" applyFont="1" applyFill="1" applyBorder="1" applyAlignment="1">
      <alignment horizontal="center" vertical="center"/>
    </xf>
    <xf numFmtId="164" fontId="9" fillId="19" borderId="0" xfId="1" applyNumberFormat="1" applyFont="1" applyFill="1" applyBorder="1" applyAlignment="1">
      <alignment vertical="center"/>
    </xf>
    <xf numFmtId="164" fontId="9" fillId="19" borderId="4" xfId="1" applyNumberFormat="1" applyFont="1" applyFill="1" applyBorder="1" applyAlignment="1">
      <alignment horizontal="center" vertical="center"/>
    </xf>
    <xf numFmtId="0" fontId="9" fillId="19" borderId="5" xfId="0" applyFont="1" applyFill="1" applyBorder="1" applyAlignment="1">
      <alignment horizontal="left" vertical="center"/>
    </xf>
    <xf numFmtId="164" fontId="9" fillId="19" borderId="21" xfId="1" applyNumberFormat="1" applyFont="1" applyFill="1" applyBorder="1" applyAlignment="1">
      <alignment vertical="center"/>
    </xf>
    <xf numFmtId="164" fontId="9" fillId="19" borderId="4" xfId="1" applyNumberFormat="1" applyFont="1" applyFill="1" applyBorder="1" applyAlignment="1">
      <alignment vertical="center"/>
    </xf>
    <xf numFmtId="0" fontId="12" fillId="19" borderId="12" xfId="0" applyFont="1" applyFill="1" applyBorder="1" applyAlignment="1">
      <alignment horizontal="center" vertical="center"/>
    </xf>
    <xf numFmtId="0" fontId="12" fillId="19" borderId="13" xfId="0" applyFont="1" applyFill="1" applyBorder="1" applyAlignment="1">
      <alignment horizontal="left" vertical="center"/>
    </xf>
    <xf numFmtId="2" fontId="12" fillId="19" borderId="13" xfId="0" applyNumberFormat="1" applyFont="1" applyFill="1" applyBorder="1" applyAlignment="1">
      <alignment horizontal="center" vertical="center"/>
    </xf>
    <xf numFmtId="164" fontId="12" fillId="19" borderId="13" xfId="1" applyNumberFormat="1" applyFont="1" applyFill="1" applyBorder="1" applyAlignment="1">
      <alignment vertical="center"/>
    </xf>
    <xf numFmtId="0" fontId="11" fillId="19" borderId="15" xfId="0" applyFont="1" applyFill="1" applyBorder="1" applyAlignment="1">
      <alignment vertical="center"/>
    </xf>
    <xf numFmtId="0" fontId="12" fillId="19" borderId="16" xfId="0" applyFont="1" applyFill="1" applyBorder="1" applyAlignment="1">
      <alignment horizontal="center" vertical="center"/>
    </xf>
    <xf numFmtId="0" fontId="12" fillId="19" borderId="17" xfId="0" applyFont="1" applyFill="1" applyBorder="1" applyAlignment="1">
      <alignment horizontal="left" vertical="center"/>
    </xf>
    <xf numFmtId="2" fontId="12" fillId="19" borderId="17" xfId="0" applyNumberFormat="1" applyFont="1" applyFill="1" applyBorder="1" applyAlignment="1">
      <alignment horizontal="center" vertical="center"/>
    </xf>
    <xf numFmtId="164" fontId="12" fillId="19" borderId="17" xfId="1" applyNumberFormat="1" applyFont="1" applyFill="1" applyBorder="1" applyAlignment="1">
      <alignment vertical="center"/>
    </xf>
    <xf numFmtId="0" fontId="12" fillId="19" borderId="32" xfId="0" applyFont="1" applyFill="1" applyBorder="1" applyAlignment="1">
      <alignment vertical="center"/>
    </xf>
    <xf numFmtId="0" fontId="12" fillId="19" borderId="9" xfId="0" applyFont="1" applyFill="1" applyBorder="1" applyAlignment="1">
      <alignment horizontal="center" vertical="center"/>
    </xf>
    <xf numFmtId="0" fontId="12" fillId="19" borderId="0" xfId="0" applyFont="1" applyFill="1" applyBorder="1" applyAlignment="1">
      <alignment vertical="center"/>
    </xf>
    <xf numFmtId="0" fontId="12" fillId="19" borderId="0" xfId="0" applyFont="1" applyFill="1" applyBorder="1" applyAlignment="1">
      <alignment horizontal="center" vertical="center"/>
    </xf>
    <xf numFmtId="0" fontId="11" fillId="19" borderId="10" xfId="0" applyFont="1" applyFill="1" applyBorder="1" applyAlignment="1">
      <alignment vertical="center"/>
    </xf>
    <xf numFmtId="0" fontId="12" fillId="20" borderId="33" xfId="0" applyFont="1" applyFill="1" applyBorder="1" applyAlignment="1">
      <alignment horizontal="center" vertical="center"/>
    </xf>
    <xf numFmtId="0" fontId="12" fillId="20" borderId="34" xfId="0" applyFont="1" applyFill="1" applyBorder="1" applyAlignment="1">
      <alignment horizontal="left" vertical="center"/>
    </xf>
    <xf numFmtId="0" fontId="12" fillId="20" borderId="34" xfId="0" applyFont="1" applyFill="1" applyBorder="1" applyAlignment="1">
      <alignment horizontal="center" vertical="center"/>
    </xf>
    <xf numFmtId="164" fontId="12" fillId="20" borderId="34" xfId="0" applyNumberFormat="1" applyFont="1" applyFill="1" applyBorder="1" applyAlignment="1">
      <alignment vertical="center"/>
    </xf>
    <xf numFmtId="164" fontId="12" fillId="20" borderId="34" xfId="1" applyNumberFormat="1" applyFont="1" applyFill="1" applyBorder="1" applyAlignment="1">
      <alignment vertical="center"/>
    </xf>
    <xf numFmtId="0" fontId="12" fillId="20" borderId="35" xfId="0" applyFont="1" applyFill="1" applyBorder="1" applyAlignment="1">
      <alignment vertical="center"/>
    </xf>
    <xf numFmtId="0" fontId="9" fillId="20" borderId="3" xfId="0" applyFont="1" applyFill="1" applyBorder="1" applyAlignment="1">
      <alignment horizontal="center" vertical="center"/>
    </xf>
    <xf numFmtId="0" fontId="9" fillId="20" borderId="4" xfId="0" applyFont="1" applyFill="1" applyBorder="1" applyAlignment="1">
      <alignment horizontal="left" vertical="center"/>
    </xf>
    <xf numFmtId="0" fontId="8" fillId="20" borderId="4" xfId="0" applyFont="1" applyFill="1" applyBorder="1" applyAlignment="1">
      <alignment horizontal="center" vertical="center"/>
    </xf>
    <xf numFmtId="164" fontId="8" fillId="20" borderId="4" xfId="1" applyNumberFormat="1" applyFont="1" applyFill="1" applyBorder="1" applyAlignment="1">
      <alignment vertical="center"/>
    </xf>
    <xf numFmtId="0" fontId="8" fillId="20" borderId="4" xfId="0" applyFont="1" applyFill="1" applyBorder="1" applyAlignment="1">
      <alignment vertical="center"/>
    </xf>
    <xf numFmtId="0" fontId="8" fillId="20" borderId="5" xfId="0" applyFont="1" applyFill="1" applyBorder="1" applyAlignment="1">
      <alignment vertical="center"/>
    </xf>
    <xf numFmtId="0" fontId="9" fillId="20" borderId="9" xfId="0" applyFont="1" applyFill="1" applyBorder="1" applyAlignment="1">
      <alignment horizontal="center" vertical="center"/>
    </xf>
    <xf numFmtId="0" fontId="9" fillId="20" borderId="0" xfId="0" applyFont="1" applyFill="1" applyBorder="1" applyAlignment="1">
      <alignment horizontal="left" vertical="center"/>
    </xf>
    <xf numFmtId="0" fontId="8" fillId="20" borderId="0" xfId="0" applyFont="1" applyFill="1" applyBorder="1" applyAlignment="1">
      <alignment horizontal="center" vertical="center"/>
    </xf>
    <xf numFmtId="164" fontId="8" fillId="20" borderId="0" xfId="0" applyNumberFormat="1" applyFont="1" applyFill="1" applyBorder="1" applyAlignment="1">
      <alignment vertical="center"/>
    </xf>
    <xf numFmtId="0" fontId="8" fillId="20" borderId="0" xfId="0" applyFont="1" applyFill="1" applyBorder="1" applyAlignment="1">
      <alignment vertical="center"/>
    </xf>
    <xf numFmtId="0" fontId="8" fillId="20" borderId="10" xfId="0" applyFont="1" applyFill="1" applyBorder="1" applyAlignment="1">
      <alignment vertical="center"/>
    </xf>
    <xf numFmtId="0" fontId="12" fillId="20" borderId="34" xfId="0" applyFont="1" applyFill="1" applyBorder="1" applyAlignment="1">
      <alignment vertical="center"/>
    </xf>
    <xf numFmtId="0" fontId="12" fillId="9" borderId="12" xfId="0" applyFont="1" applyFill="1" applyBorder="1" applyAlignment="1">
      <alignment horizontal="center" vertical="center"/>
    </xf>
    <xf numFmtId="0" fontId="12" fillId="9" borderId="13" xfId="0" applyFont="1" applyFill="1" applyBorder="1" applyAlignment="1">
      <alignment horizontal="left" vertical="center"/>
    </xf>
    <xf numFmtId="0" fontId="12" fillId="9" borderId="13" xfId="0" applyFont="1" applyFill="1" applyBorder="1" applyAlignment="1">
      <alignment horizontal="center" vertical="center"/>
    </xf>
    <xf numFmtId="164" fontId="12" fillId="9" borderId="13" xfId="0" applyNumberFormat="1" applyFont="1" applyFill="1" applyBorder="1" applyAlignment="1">
      <alignment vertical="center"/>
    </xf>
    <xf numFmtId="0" fontId="12" fillId="9" borderId="15" xfId="0" applyFont="1" applyFill="1" applyBorder="1" applyAlignment="1">
      <alignment vertical="center"/>
    </xf>
    <xf numFmtId="0" fontId="12" fillId="9" borderId="33" xfId="0" applyFont="1" applyFill="1" applyBorder="1" applyAlignment="1">
      <alignment horizontal="center" vertical="center"/>
    </xf>
    <xf numFmtId="0" fontId="12" fillId="9" borderId="34" xfId="0" applyFont="1" applyFill="1" applyBorder="1" applyAlignment="1">
      <alignment horizontal="left" vertical="center"/>
    </xf>
    <xf numFmtId="0" fontId="12" fillId="9" borderId="34" xfId="0" applyFont="1" applyFill="1" applyBorder="1" applyAlignment="1">
      <alignment horizontal="center" vertical="center"/>
    </xf>
    <xf numFmtId="164" fontId="12" fillId="9" borderId="34" xfId="0" applyNumberFormat="1" applyFont="1" applyFill="1" applyBorder="1" applyAlignment="1">
      <alignment vertical="center"/>
    </xf>
    <xf numFmtId="164" fontId="12" fillId="9" borderId="34" xfId="1" applyNumberFormat="1" applyFont="1" applyFill="1" applyBorder="1" applyAlignment="1">
      <alignment vertical="center"/>
    </xf>
    <xf numFmtId="0" fontId="12" fillId="9" borderId="34" xfId="0" applyFont="1" applyFill="1" applyBorder="1" applyAlignment="1">
      <alignment vertical="center"/>
    </xf>
    <xf numFmtId="0" fontId="12" fillId="9" borderId="35" xfId="0" applyFont="1" applyFill="1" applyBorder="1" applyAlignment="1">
      <alignment vertical="center"/>
    </xf>
    <xf numFmtId="1" fontId="9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vertical="center"/>
    </xf>
    <xf numFmtId="164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9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9" fontId="9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9" fontId="8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164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9" fontId="9" fillId="4" borderId="1" xfId="0" applyNumberFormat="1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 wrapText="1"/>
    </xf>
    <xf numFmtId="9" fontId="9" fillId="21" borderId="1" xfId="0" applyNumberFormat="1" applyFont="1" applyFill="1" applyBorder="1" applyAlignment="1">
      <alignment horizontal="center" vertical="center" wrapText="1"/>
    </xf>
    <xf numFmtId="1" fontId="9" fillId="21" borderId="1" xfId="0" applyNumberFormat="1" applyFont="1" applyFill="1" applyBorder="1" applyAlignment="1">
      <alignment horizontal="center" vertical="center" wrapText="1"/>
    </xf>
    <xf numFmtId="9" fontId="9" fillId="21" borderId="1" xfId="2" applyFont="1" applyFill="1" applyBorder="1" applyAlignment="1">
      <alignment horizontal="center" vertical="center" wrapText="1"/>
    </xf>
    <xf numFmtId="0" fontId="9" fillId="21" borderId="1" xfId="0" applyFont="1" applyFill="1" applyBorder="1" applyAlignment="1">
      <alignment horizontal="center" vertical="center" wrapText="1"/>
    </xf>
    <xf numFmtId="167" fontId="8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right" vertical="center"/>
    </xf>
    <xf numFmtId="9" fontId="8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 wrapText="1"/>
    </xf>
    <xf numFmtId="9" fontId="8" fillId="0" borderId="1" xfId="0" applyNumberFormat="1" applyFont="1" applyFill="1" applyBorder="1" applyAlignment="1">
      <alignment horizontal="left" wrapText="1"/>
    </xf>
    <xf numFmtId="43" fontId="9" fillId="13" borderId="7" xfId="1" applyFont="1" applyFill="1" applyBorder="1" applyAlignment="1">
      <alignment vertical="center"/>
    </xf>
    <xf numFmtId="167" fontId="9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 wrapText="1"/>
    </xf>
    <xf numFmtId="2" fontId="8" fillId="0" borderId="1" xfId="0" applyNumberFormat="1" applyFont="1" applyFill="1" applyBorder="1" applyAlignment="1">
      <alignment horizontal="left" wrapText="1"/>
    </xf>
    <xf numFmtId="0" fontId="9" fillId="12" borderId="0" xfId="0" applyFont="1" applyFill="1" applyAlignment="1">
      <alignment vertical="center"/>
    </xf>
    <xf numFmtId="0" fontId="9" fillId="9" borderId="0" xfId="0" applyFont="1" applyFill="1" applyBorder="1" applyAlignment="1">
      <alignment horizontal="center" vertical="center"/>
    </xf>
    <xf numFmtId="164" fontId="9" fillId="9" borderId="0" xfId="0" applyNumberFormat="1" applyFont="1" applyFill="1" applyBorder="1" applyAlignment="1">
      <alignment vertical="center"/>
    </xf>
    <xf numFmtId="0" fontId="9" fillId="9" borderId="10" xfId="0" applyFont="1" applyFill="1" applyBorder="1" applyAlignment="1">
      <alignment vertical="center"/>
    </xf>
    <xf numFmtId="0" fontId="9" fillId="12" borderId="0" xfId="0" applyFont="1" applyFill="1" applyAlignment="1">
      <alignment horizontal="left" vertical="center"/>
    </xf>
    <xf numFmtId="0" fontId="9" fillId="12" borderId="0" xfId="0" applyFont="1" applyFill="1" applyAlignment="1">
      <alignment horizontal="center" vertical="center"/>
    </xf>
    <xf numFmtId="1" fontId="12" fillId="8" borderId="13" xfId="0" applyNumberFormat="1" applyFont="1" applyFill="1" applyBorder="1" applyAlignment="1">
      <alignment horizontal="center" vertical="center"/>
    </xf>
    <xf numFmtId="164" fontId="9" fillId="7" borderId="0" xfId="1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164" fontId="9" fillId="7" borderId="1" xfId="0" applyNumberFormat="1" applyFont="1" applyFill="1" applyBorder="1" applyAlignment="1">
      <alignment horizontal="center" vertical="center" wrapText="1"/>
    </xf>
    <xf numFmtId="0" fontId="14" fillId="0" borderId="51" xfId="0" applyFont="1" applyBorder="1" applyAlignment="1">
      <alignment horizontal="left" vertical="center" wrapText="1" readingOrder="1"/>
    </xf>
    <xf numFmtId="9" fontId="14" fillId="0" borderId="51" xfId="0" applyNumberFormat="1" applyFont="1" applyBorder="1" applyAlignment="1">
      <alignment horizontal="center" vertical="center" wrapText="1" readingOrder="1"/>
    </xf>
    <xf numFmtId="164" fontId="8" fillId="0" borderId="0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4" fillId="4" borderId="0" xfId="0" applyFont="1" applyFill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7" fillId="7" borderId="33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6" fillId="7" borderId="33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6" fillId="7" borderId="35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 wrapText="1"/>
    </xf>
    <xf numFmtId="0" fontId="13" fillId="11" borderId="33" xfId="0" applyFont="1" applyFill="1" applyBorder="1" applyAlignment="1">
      <alignment horizontal="center" vertical="center"/>
    </xf>
    <xf numFmtId="0" fontId="13" fillId="11" borderId="34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10" borderId="39" xfId="0" applyFont="1" applyFill="1" applyBorder="1" applyAlignment="1">
      <alignment horizontal="center" vertical="center" wrapText="1"/>
    </xf>
    <xf numFmtId="0" fontId="9" fillId="10" borderId="39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CCFF"/>
      <color rgb="FFFFCC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3354-A09C-47C3-9846-A5048517C9E0}">
  <dimension ref="A1:O29"/>
  <sheetViews>
    <sheetView workbookViewId="0">
      <selection activeCell="B12" sqref="B12"/>
    </sheetView>
  </sheetViews>
  <sheetFormatPr defaultRowHeight="14.5" x14ac:dyDescent="0.35"/>
  <cols>
    <col min="1" max="1" width="34.81640625" bestFit="1" customWidth="1"/>
    <col min="4" max="4" width="20" bestFit="1" customWidth="1"/>
    <col min="5" max="5" width="25.81640625" bestFit="1" customWidth="1"/>
    <col min="7" max="7" width="18.90625" bestFit="1" customWidth="1"/>
    <col min="10" max="10" width="22" bestFit="1" customWidth="1"/>
    <col min="12" max="12" width="10.90625" bestFit="1" customWidth="1"/>
    <col min="13" max="13" width="22.08984375" bestFit="1" customWidth="1"/>
  </cols>
  <sheetData>
    <row r="1" spans="1:15" x14ac:dyDescent="0.35">
      <c r="A1" s="477" t="s">
        <v>28</v>
      </c>
      <c r="B1" s="477"/>
      <c r="D1" s="477" t="s">
        <v>11</v>
      </c>
      <c r="E1" s="477"/>
      <c r="G1" s="477" t="s">
        <v>75</v>
      </c>
      <c r="H1" s="477"/>
      <c r="J1" s="477" t="s">
        <v>27</v>
      </c>
      <c r="K1" s="477"/>
      <c r="M1" s="477" t="s">
        <v>32</v>
      </c>
      <c r="N1" s="477"/>
    </row>
    <row r="2" spans="1:15" x14ac:dyDescent="0.35">
      <c r="A2" s="2" t="s">
        <v>0</v>
      </c>
      <c r="B2" s="4">
        <v>500</v>
      </c>
      <c r="D2" s="2" t="s">
        <v>12</v>
      </c>
      <c r="E2" s="4" t="s">
        <v>46</v>
      </c>
      <c r="G2" s="2" t="s">
        <v>76</v>
      </c>
      <c r="H2" s="2">
        <v>4000</v>
      </c>
      <c r="J2" s="2" t="s">
        <v>10</v>
      </c>
      <c r="K2" s="3">
        <v>0.4</v>
      </c>
      <c r="M2" s="2" t="s">
        <v>33</v>
      </c>
      <c r="N2" s="3">
        <v>0.12</v>
      </c>
    </row>
    <row r="3" spans="1:15" x14ac:dyDescent="0.35">
      <c r="A3" s="2" t="s">
        <v>1</v>
      </c>
      <c r="B3" s="4">
        <v>200000</v>
      </c>
      <c r="D3" s="2" t="s">
        <v>13</v>
      </c>
      <c r="E3" s="4" t="s">
        <v>14</v>
      </c>
      <c r="G3" s="2" t="s">
        <v>77</v>
      </c>
      <c r="H3" s="2">
        <v>425</v>
      </c>
      <c r="J3" s="2" t="s">
        <v>29</v>
      </c>
      <c r="K3" s="3">
        <v>0.35</v>
      </c>
      <c r="M3" s="2" t="s">
        <v>34</v>
      </c>
      <c r="N3" s="3">
        <v>0.12</v>
      </c>
    </row>
    <row r="4" spans="1:15" x14ac:dyDescent="0.35">
      <c r="A4" s="2" t="s">
        <v>3</v>
      </c>
      <c r="B4" s="4" t="s">
        <v>2</v>
      </c>
      <c r="D4" s="2" t="s">
        <v>15</v>
      </c>
      <c r="E4" s="4" t="s">
        <v>16</v>
      </c>
      <c r="G4" s="2" t="s">
        <v>78</v>
      </c>
      <c r="H4" s="2">
        <v>55</v>
      </c>
      <c r="J4" s="2" t="s">
        <v>30</v>
      </c>
      <c r="K4" s="3">
        <v>0.2</v>
      </c>
      <c r="M4" s="2" t="s">
        <v>35</v>
      </c>
      <c r="N4" s="3">
        <v>0.13</v>
      </c>
    </row>
    <row r="5" spans="1:15" x14ac:dyDescent="0.35">
      <c r="A5" s="2" t="s">
        <v>4</v>
      </c>
      <c r="B5" s="5">
        <v>0.7</v>
      </c>
      <c r="D5" s="2" t="s">
        <v>17</v>
      </c>
      <c r="E5" s="4" t="s">
        <v>18</v>
      </c>
      <c r="G5" s="2" t="s">
        <v>79</v>
      </c>
      <c r="H5" s="2">
        <f>H3*H4</f>
        <v>23375</v>
      </c>
      <c r="J5" s="2" t="s">
        <v>31</v>
      </c>
      <c r="K5" s="3">
        <v>0.05</v>
      </c>
      <c r="M5" s="2" t="s">
        <v>36</v>
      </c>
      <c r="N5" s="3">
        <v>0.13</v>
      </c>
    </row>
    <row r="6" spans="1:15" x14ac:dyDescent="0.35">
      <c r="A6" s="2" t="s">
        <v>5</v>
      </c>
      <c r="B6" s="4">
        <v>8000000</v>
      </c>
      <c r="D6" s="2" t="s">
        <v>19</v>
      </c>
      <c r="E6" s="4" t="s">
        <v>20</v>
      </c>
      <c r="G6" s="9" t="s">
        <v>80</v>
      </c>
      <c r="H6" s="9">
        <f>H2+H5</f>
        <v>27375</v>
      </c>
      <c r="J6" s="11" t="s">
        <v>72</v>
      </c>
      <c r="K6" s="10">
        <f>SUM(K2:K5)</f>
        <v>1</v>
      </c>
      <c r="M6" s="2" t="s">
        <v>37</v>
      </c>
      <c r="N6" s="3">
        <v>0.14000000000000001</v>
      </c>
    </row>
    <row r="7" spans="1:15" x14ac:dyDescent="0.35">
      <c r="A7" s="2" t="s">
        <v>6</v>
      </c>
      <c r="B7" s="4">
        <v>70</v>
      </c>
      <c r="D7" s="2" t="s">
        <v>21</v>
      </c>
      <c r="E7" s="4" t="s">
        <v>22</v>
      </c>
      <c r="M7" s="2" t="s">
        <v>38</v>
      </c>
      <c r="N7" s="3">
        <v>0.17</v>
      </c>
    </row>
    <row r="8" spans="1:15" x14ac:dyDescent="0.35">
      <c r="A8" s="2" t="s">
        <v>7</v>
      </c>
      <c r="B8" s="4" t="s">
        <v>8</v>
      </c>
      <c r="D8" s="2" t="s">
        <v>23</v>
      </c>
      <c r="E8" s="4" t="s">
        <v>24</v>
      </c>
      <c r="M8" s="2" t="s">
        <v>39</v>
      </c>
      <c r="N8" s="3">
        <v>0.19</v>
      </c>
    </row>
    <row r="9" spans="1:15" x14ac:dyDescent="0.35">
      <c r="A9" s="2" t="s">
        <v>9</v>
      </c>
      <c r="B9" s="4" t="s">
        <v>10</v>
      </c>
      <c r="D9" s="2" t="s">
        <v>25</v>
      </c>
      <c r="E9" s="4" t="s">
        <v>26</v>
      </c>
      <c r="M9" s="11" t="s">
        <v>72</v>
      </c>
      <c r="N9" s="10">
        <f>SUM(N2:N8)</f>
        <v>1</v>
      </c>
    </row>
    <row r="10" spans="1:15" x14ac:dyDescent="0.35">
      <c r="D10" s="2" t="s">
        <v>40</v>
      </c>
      <c r="E10" s="4" t="s">
        <v>41</v>
      </c>
    </row>
    <row r="11" spans="1:15" x14ac:dyDescent="0.35">
      <c r="D11" s="2" t="s">
        <v>42</v>
      </c>
      <c r="E11" s="4">
        <v>1000</v>
      </c>
      <c r="M11" s="477" t="s">
        <v>64</v>
      </c>
      <c r="N11" s="477"/>
      <c r="O11" s="477"/>
    </row>
    <row r="12" spans="1:15" x14ac:dyDescent="0.35">
      <c r="D12" s="2" t="s">
        <v>43</v>
      </c>
      <c r="E12" s="4">
        <v>25000</v>
      </c>
      <c r="M12" s="2" t="s">
        <v>58</v>
      </c>
      <c r="N12" s="3">
        <v>0.24</v>
      </c>
      <c r="O12" s="2">
        <f>$B$6*N12</f>
        <v>1920000</v>
      </c>
    </row>
    <row r="13" spans="1:15" x14ac:dyDescent="0.35">
      <c r="D13" s="2" t="s">
        <v>44</v>
      </c>
      <c r="E13" s="4">
        <v>1000</v>
      </c>
      <c r="M13" s="2" t="s">
        <v>65</v>
      </c>
      <c r="N13" s="3">
        <v>0.16</v>
      </c>
      <c r="O13" s="2">
        <f t="shared" ref="O13:O19" si="0">$B$6*N13</f>
        <v>1280000</v>
      </c>
    </row>
    <row r="14" spans="1:15" x14ac:dyDescent="0.35">
      <c r="D14" s="7" t="s">
        <v>48</v>
      </c>
      <c r="E14" s="4" t="s">
        <v>49</v>
      </c>
      <c r="M14" s="2" t="s">
        <v>66</v>
      </c>
      <c r="N14" s="3">
        <v>0.12</v>
      </c>
      <c r="O14" s="2">
        <f t="shared" si="0"/>
        <v>960000</v>
      </c>
    </row>
    <row r="15" spans="1:15" x14ac:dyDescent="0.35">
      <c r="D15" s="7" t="s">
        <v>73</v>
      </c>
      <c r="E15" s="12">
        <v>30000</v>
      </c>
      <c r="M15" s="2" t="s">
        <v>67</v>
      </c>
      <c r="N15" s="3">
        <v>0.11</v>
      </c>
      <c r="O15" s="2">
        <f t="shared" si="0"/>
        <v>880000</v>
      </c>
    </row>
    <row r="16" spans="1:15" x14ac:dyDescent="0.35">
      <c r="M16" s="2" t="s">
        <v>68</v>
      </c>
      <c r="N16" s="3">
        <v>0.09</v>
      </c>
      <c r="O16" s="2">
        <f t="shared" si="0"/>
        <v>720000</v>
      </c>
    </row>
    <row r="17" spans="1:15" x14ac:dyDescent="0.35">
      <c r="M17" s="2" t="s">
        <v>69</v>
      </c>
      <c r="N17" s="3">
        <v>0.08</v>
      </c>
      <c r="O17" s="2">
        <f t="shared" si="0"/>
        <v>640000</v>
      </c>
    </row>
    <row r="18" spans="1:15" x14ac:dyDescent="0.35">
      <c r="M18" s="2" t="s">
        <v>70</v>
      </c>
      <c r="N18" s="3">
        <v>0.08</v>
      </c>
      <c r="O18" s="2">
        <f t="shared" si="0"/>
        <v>640000</v>
      </c>
    </row>
    <row r="19" spans="1:15" x14ac:dyDescent="0.35">
      <c r="M19" s="2" t="s">
        <v>71</v>
      </c>
      <c r="N19" s="3">
        <v>0.12</v>
      </c>
      <c r="O19" s="2">
        <f t="shared" si="0"/>
        <v>960000</v>
      </c>
    </row>
    <row r="20" spans="1:15" x14ac:dyDescent="0.35">
      <c r="J20" s="13">
        <v>0.7</v>
      </c>
      <c r="K20" s="13">
        <v>0.06</v>
      </c>
      <c r="M20" s="9" t="s">
        <v>72</v>
      </c>
      <c r="N20" s="10">
        <f>SUM(N12:N19)</f>
        <v>0.99999999999999989</v>
      </c>
      <c r="O20" s="9">
        <f>SUM(O12:O19)</f>
        <v>8000000</v>
      </c>
    </row>
    <row r="21" spans="1:15" x14ac:dyDescent="0.35">
      <c r="A21" s="8" t="s">
        <v>45</v>
      </c>
      <c r="D21" s="477" t="s">
        <v>56</v>
      </c>
      <c r="E21" s="477"/>
      <c r="G21" s="477" t="s">
        <v>81</v>
      </c>
      <c r="H21" s="477"/>
      <c r="I21" s="477"/>
      <c r="J21" s="16" t="s">
        <v>86</v>
      </c>
      <c r="K21" s="8" t="s">
        <v>87</v>
      </c>
    </row>
    <row r="22" spans="1:15" x14ac:dyDescent="0.35">
      <c r="A22" s="2" t="s">
        <v>47</v>
      </c>
      <c r="D22" s="2" t="s">
        <v>57</v>
      </c>
      <c r="E22" s="4" t="s">
        <v>58</v>
      </c>
      <c r="G22" s="2" t="s">
        <v>33</v>
      </c>
      <c r="H22" s="3">
        <v>0.12</v>
      </c>
      <c r="I22" s="2">
        <f>$O$12*H22</f>
        <v>230400</v>
      </c>
      <c r="J22" s="2">
        <f>I22*$J$20</f>
        <v>161280</v>
      </c>
      <c r="K22" s="14">
        <f>J22*$K$20</f>
        <v>9676.7999999999993</v>
      </c>
    </row>
    <row r="23" spans="1:15" x14ac:dyDescent="0.35">
      <c r="A23" s="2" t="s">
        <v>53</v>
      </c>
      <c r="D23" s="2" t="s">
        <v>59</v>
      </c>
      <c r="E23" s="4" t="s">
        <v>82</v>
      </c>
      <c r="G23" s="2" t="s">
        <v>34</v>
      </c>
      <c r="H23" s="3">
        <v>0.12</v>
      </c>
      <c r="I23" s="2">
        <f t="shared" ref="I23:I28" si="1">$O$12*H23</f>
        <v>230400</v>
      </c>
      <c r="J23" s="2">
        <f t="shared" ref="J23:J28" si="2">I23*$J$20</f>
        <v>161280</v>
      </c>
      <c r="K23" s="14">
        <f t="shared" ref="K23:K28" si="3">J23*$K$20</f>
        <v>9676.7999999999993</v>
      </c>
    </row>
    <row r="24" spans="1:15" x14ac:dyDescent="0.35">
      <c r="A24" s="2" t="s">
        <v>50</v>
      </c>
      <c r="D24" s="2" t="s">
        <v>60</v>
      </c>
      <c r="E24" s="4">
        <v>10</v>
      </c>
      <c r="G24" s="2" t="s">
        <v>35</v>
      </c>
      <c r="H24" s="3">
        <v>0.13</v>
      </c>
      <c r="I24" s="2">
        <f t="shared" si="1"/>
        <v>249600</v>
      </c>
      <c r="J24" s="2">
        <f t="shared" si="2"/>
        <v>174720</v>
      </c>
      <c r="K24" s="14">
        <f t="shared" si="3"/>
        <v>10483.199999999999</v>
      </c>
    </row>
    <row r="25" spans="1:15" x14ac:dyDescent="0.35">
      <c r="A25" s="2" t="s">
        <v>51</v>
      </c>
      <c r="D25" s="2" t="s">
        <v>61</v>
      </c>
      <c r="E25" s="4" t="s">
        <v>74</v>
      </c>
      <c r="G25" s="2" t="s">
        <v>36</v>
      </c>
      <c r="H25" s="3">
        <v>0.13</v>
      </c>
      <c r="I25" s="2">
        <f t="shared" si="1"/>
        <v>249600</v>
      </c>
      <c r="J25" s="2">
        <f t="shared" si="2"/>
        <v>174720</v>
      </c>
      <c r="K25" s="14">
        <f t="shared" si="3"/>
        <v>10483.199999999999</v>
      </c>
    </row>
    <row r="26" spans="1:15" x14ac:dyDescent="0.35">
      <c r="A26" s="2" t="s">
        <v>52</v>
      </c>
      <c r="D26" s="2" t="s">
        <v>63</v>
      </c>
      <c r="E26" s="2"/>
      <c r="G26" s="2" t="s">
        <v>37</v>
      </c>
      <c r="H26" s="3">
        <v>0.14000000000000001</v>
      </c>
      <c r="I26" s="2">
        <f t="shared" si="1"/>
        <v>268800</v>
      </c>
      <c r="J26" s="2">
        <f t="shared" si="2"/>
        <v>188160</v>
      </c>
      <c r="K26" s="14">
        <f t="shared" si="3"/>
        <v>11289.6</v>
      </c>
    </row>
    <row r="27" spans="1:15" x14ac:dyDescent="0.35">
      <c r="A27" s="2" t="s">
        <v>54</v>
      </c>
      <c r="G27" s="2" t="s">
        <v>38</v>
      </c>
      <c r="H27" s="3">
        <v>0.17</v>
      </c>
      <c r="I27" s="2">
        <f t="shared" si="1"/>
        <v>326400</v>
      </c>
      <c r="J27" s="2">
        <f t="shared" si="2"/>
        <v>228480</v>
      </c>
      <c r="K27" s="14">
        <f t="shared" si="3"/>
        <v>13708.8</v>
      </c>
    </row>
    <row r="28" spans="1:15" x14ac:dyDescent="0.35">
      <c r="A28" s="2" t="s">
        <v>55</v>
      </c>
      <c r="G28" s="2" t="s">
        <v>39</v>
      </c>
      <c r="H28" s="3">
        <v>0.19</v>
      </c>
      <c r="I28" s="2">
        <f t="shared" si="1"/>
        <v>364800</v>
      </c>
      <c r="J28" s="2">
        <f t="shared" si="2"/>
        <v>255359.99999999997</v>
      </c>
      <c r="K28" s="14">
        <f t="shared" si="3"/>
        <v>15321.599999999999</v>
      </c>
    </row>
    <row r="29" spans="1:15" x14ac:dyDescent="0.35">
      <c r="A29" s="7" t="s">
        <v>62</v>
      </c>
      <c r="G29" s="9" t="s">
        <v>72</v>
      </c>
      <c r="H29" s="10">
        <f>SUM(H22:H28)</f>
        <v>1</v>
      </c>
      <c r="I29" s="9">
        <f>SUM(I22:I28)</f>
        <v>1920000</v>
      </c>
      <c r="J29" s="6"/>
      <c r="K29" s="15"/>
    </row>
  </sheetData>
  <mergeCells count="8">
    <mergeCell ref="D21:E21"/>
    <mergeCell ref="M11:O11"/>
    <mergeCell ref="G21:I21"/>
    <mergeCell ref="A1:B1"/>
    <mergeCell ref="D1:E1"/>
    <mergeCell ref="G1:H1"/>
    <mergeCell ref="J1:K1"/>
    <mergeCell ref="M1:N1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51A3-8EDF-4F42-B078-46D3D0437739}">
  <dimension ref="A1:AE55"/>
  <sheetViews>
    <sheetView topLeftCell="K1" zoomScale="80" zoomScaleNormal="80" workbookViewId="0">
      <selection activeCell="B12" sqref="B12"/>
    </sheetView>
  </sheetViews>
  <sheetFormatPr defaultRowHeight="14.5" x14ac:dyDescent="0.35"/>
  <cols>
    <col min="1" max="1" width="27.453125" bestFit="1" customWidth="1"/>
    <col min="2" max="2" width="13.08984375" bestFit="1" customWidth="1"/>
    <col min="3" max="3" width="24.81640625" bestFit="1" customWidth="1"/>
    <col min="4" max="4" width="15.36328125" bestFit="1" customWidth="1"/>
    <col min="5" max="5" width="19.08984375" bestFit="1" customWidth="1"/>
    <col min="6" max="6" width="9.36328125" bestFit="1" customWidth="1"/>
    <col min="7" max="7" width="22.08984375" bestFit="1" customWidth="1"/>
    <col min="8" max="8" width="19.08984375" bestFit="1" customWidth="1"/>
    <col min="9" max="9" width="17.6328125" bestFit="1" customWidth="1"/>
    <col min="10" max="10" width="17.6328125" customWidth="1"/>
    <col min="11" max="11" width="21" bestFit="1" customWidth="1"/>
    <col min="12" max="12" width="22" bestFit="1" customWidth="1"/>
    <col min="13" max="13" width="31.453125" bestFit="1" customWidth="1"/>
    <col min="14" max="14" width="20" customWidth="1"/>
    <col min="15" max="15" width="12.1796875" customWidth="1"/>
    <col min="17" max="17" width="39.36328125" bestFit="1" customWidth="1"/>
    <col min="18" max="18" width="10.453125" bestFit="1" customWidth="1"/>
    <col min="19" max="19" width="11.453125" bestFit="1" customWidth="1"/>
    <col min="21" max="21" width="34.453125" bestFit="1" customWidth="1"/>
    <col min="22" max="22" width="11.54296875" bestFit="1" customWidth="1"/>
    <col min="24" max="24" width="29.54296875" customWidth="1"/>
    <col min="25" max="25" width="13.6328125" customWidth="1"/>
    <col min="28" max="28" width="23.54296875" bestFit="1" customWidth="1"/>
    <col min="29" max="29" width="14.6328125" customWidth="1"/>
  </cols>
  <sheetData>
    <row r="1" spans="1:31" ht="24" customHeight="1" x14ac:dyDescent="0.35">
      <c r="A1" s="478" t="s">
        <v>84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8"/>
      <c r="X1" s="478"/>
      <c r="Y1" s="478"/>
      <c r="Z1" s="478"/>
      <c r="AA1" s="478"/>
      <c r="AB1" s="478"/>
      <c r="AC1" s="478"/>
      <c r="AD1" s="478"/>
      <c r="AE1" s="478"/>
    </row>
    <row r="3" spans="1:31" x14ac:dyDescent="0.35">
      <c r="A3" s="479" t="s">
        <v>28</v>
      </c>
      <c r="B3" s="479"/>
      <c r="G3" s="39" t="s">
        <v>176</v>
      </c>
      <c r="H3" s="41">
        <f>N12</f>
        <v>14288400</v>
      </c>
      <c r="M3" s="479" t="s">
        <v>85</v>
      </c>
      <c r="N3" s="479"/>
      <c r="Q3" s="21" t="s">
        <v>113</v>
      </c>
      <c r="R3" s="21" t="s">
        <v>158</v>
      </c>
      <c r="S3" s="21" t="s">
        <v>159</v>
      </c>
      <c r="U3" s="479" t="s">
        <v>124</v>
      </c>
      <c r="V3" s="479"/>
    </row>
    <row r="4" spans="1:31" x14ac:dyDescent="0.35">
      <c r="A4" s="2" t="s">
        <v>0</v>
      </c>
      <c r="B4" s="4">
        <v>500</v>
      </c>
      <c r="G4" s="39" t="s">
        <v>175</v>
      </c>
      <c r="H4" s="40">
        <f>B42</f>
        <v>0</v>
      </c>
      <c r="M4" s="2" t="s">
        <v>165</v>
      </c>
      <c r="N4" s="2">
        <v>450</v>
      </c>
      <c r="Q4" s="2" t="s">
        <v>166</v>
      </c>
      <c r="R4" s="2">
        <v>3</v>
      </c>
      <c r="S4" s="2">
        <v>2</v>
      </c>
      <c r="U4" s="2" t="s">
        <v>160</v>
      </c>
      <c r="V4" s="17">
        <v>450000</v>
      </c>
    </row>
    <row r="5" spans="1:31" x14ac:dyDescent="0.35">
      <c r="A5" s="2" t="s">
        <v>1</v>
      </c>
      <c r="B5" s="4">
        <v>200000</v>
      </c>
      <c r="G5" s="42" t="s">
        <v>177</v>
      </c>
      <c r="H5" s="43">
        <f>H3-H4</f>
        <v>14288400</v>
      </c>
      <c r="M5" s="2" t="s">
        <v>93</v>
      </c>
      <c r="N5" s="3">
        <v>0.15</v>
      </c>
      <c r="Q5" s="2" t="s">
        <v>167</v>
      </c>
      <c r="R5" s="2">
        <v>12</v>
      </c>
      <c r="S5" s="2">
        <v>2</v>
      </c>
      <c r="U5" s="2" t="s">
        <v>120</v>
      </c>
      <c r="V5" s="17">
        <v>500000</v>
      </c>
    </row>
    <row r="6" spans="1:31" x14ac:dyDescent="0.35">
      <c r="A6" s="2" t="s">
        <v>3</v>
      </c>
      <c r="B6" s="4" t="s">
        <v>2</v>
      </c>
      <c r="M6" s="2" t="s">
        <v>94</v>
      </c>
      <c r="N6" s="2">
        <v>3</v>
      </c>
      <c r="Q6" s="2" t="s">
        <v>168</v>
      </c>
      <c r="R6" s="2">
        <f>R5*H12</f>
        <v>72</v>
      </c>
      <c r="S6" s="2">
        <f>S5*I10</f>
        <v>6</v>
      </c>
      <c r="U6" s="2" t="s">
        <v>119</v>
      </c>
      <c r="V6" s="17">
        <v>250000</v>
      </c>
    </row>
    <row r="7" spans="1:31" ht="29" x14ac:dyDescent="0.35">
      <c r="A7" s="2" t="s">
        <v>4</v>
      </c>
      <c r="B7" s="5">
        <v>0.7</v>
      </c>
      <c r="M7" s="25" t="s">
        <v>95</v>
      </c>
      <c r="N7" s="2">
        <v>15</v>
      </c>
      <c r="Q7" s="2" t="s">
        <v>110</v>
      </c>
      <c r="R7" s="2">
        <v>5</v>
      </c>
      <c r="S7" s="2">
        <v>55</v>
      </c>
      <c r="U7" s="2" t="s">
        <v>121</v>
      </c>
      <c r="V7" s="2">
        <v>3</v>
      </c>
    </row>
    <row r="8" spans="1:31" x14ac:dyDescent="0.35">
      <c r="A8" s="2" t="s">
        <v>5</v>
      </c>
      <c r="B8" s="38">
        <v>8000000</v>
      </c>
      <c r="M8" s="2" t="s">
        <v>96</v>
      </c>
      <c r="N8" s="2">
        <f>N6*4</f>
        <v>12</v>
      </c>
      <c r="Q8" s="2" t="s">
        <v>405</v>
      </c>
      <c r="R8" s="2">
        <f>R6*R7</f>
        <v>360</v>
      </c>
      <c r="S8" s="2">
        <f>S6*S7</f>
        <v>330</v>
      </c>
      <c r="U8" s="2" t="s">
        <v>122</v>
      </c>
      <c r="V8" s="35">
        <v>247000</v>
      </c>
    </row>
    <row r="9" spans="1:31" x14ac:dyDescent="0.35">
      <c r="A9" s="2" t="s">
        <v>142</v>
      </c>
      <c r="B9" s="38">
        <f>$B$8*$C$9</f>
        <v>1920000</v>
      </c>
      <c r="C9" s="13">
        <v>0.24</v>
      </c>
      <c r="F9" s="20" t="s">
        <v>92</v>
      </c>
      <c r="G9" s="21" t="s">
        <v>136</v>
      </c>
      <c r="H9" s="20" t="s">
        <v>174</v>
      </c>
      <c r="I9" s="20" t="s">
        <v>137</v>
      </c>
      <c r="J9" s="31"/>
      <c r="M9" s="2" t="s">
        <v>97</v>
      </c>
      <c r="N9" s="2">
        <f>N8*H12</f>
        <v>72</v>
      </c>
      <c r="Q9" s="9" t="s">
        <v>112</v>
      </c>
      <c r="R9" s="311">
        <f>R8*30</f>
        <v>10800</v>
      </c>
      <c r="S9" s="311">
        <f>S8*30</f>
        <v>9900</v>
      </c>
      <c r="U9" s="2" t="s">
        <v>123</v>
      </c>
      <c r="V9" s="17">
        <f>V7*V8</f>
        <v>741000</v>
      </c>
    </row>
    <row r="10" spans="1:31" x14ac:dyDescent="0.35">
      <c r="A10" s="2" t="s">
        <v>143</v>
      </c>
      <c r="B10" s="4">
        <f>B9/30</f>
        <v>64000</v>
      </c>
      <c r="C10" s="13" t="s">
        <v>145</v>
      </c>
      <c r="F10" s="2" t="s">
        <v>90</v>
      </c>
      <c r="G10" s="2" t="s">
        <v>88</v>
      </c>
      <c r="H10" s="2">
        <v>3</v>
      </c>
      <c r="I10" s="2">
        <v>3</v>
      </c>
      <c r="J10" s="23"/>
      <c r="M10" s="2" t="s">
        <v>433</v>
      </c>
      <c r="N10" s="2">
        <f>I55*6/7*30</f>
        <v>211680</v>
      </c>
      <c r="Q10" s="9" t="s">
        <v>76</v>
      </c>
      <c r="R10" s="311">
        <v>4000</v>
      </c>
      <c r="S10" s="311"/>
      <c r="U10" s="7" t="s">
        <v>392</v>
      </c>
      <c r="V10" s="18">
        <v>3</v>
      </c>
    </row>
    <row r="11" spans="1:31" x14ac:dyDescent="0.35">
      <c r="A11" s="2" t="s">
        <v>144</v>
      </c>
      <c r="B11" s="4">
        <f>B10*7</f>
        <v>448000</v>
      </c>
      <c r="C11" s="34"/>
      <c r="F11" s="2" t="s">
        <v>89</v>
      </c>
      <c r="G11" s="2" t="s">
        <v>91</v>
      </c>
      <c r="H11" s="2">
        <v>3</v>
      </c>
      <c r="I11" s="2">
        <v>3</v>
      </c>
      <c r="J11" s="23"/>
      <c r="M11" s="2" t="s">
        <v>434</v>
      </c>
      <c r="N11" s="2">
        <f>J55*6/7*30</f>
        <v>28224</v>
      </c>
      <c r="Q11" s="9" t="s">
        <v>80</v>
      </c>
      <c r="R11" s="311"/>
      <c r="S11" s="311">
        <f>R9+S9+R10</f>
        <v>24700</v>
      </c>
      <c r="U11" s="7" t="s">
        <v>135</v>
      </c>
      <c r="V11" s="17">
        <f>N26*V10</f>
        <v>451500</v>
      </c>
    </row>
    <row r="12" spans="1:31" s="44" customFormat="1" ht="24" customHeight="1" x14ac:dyDescent="0.35">
      <c r="A12" s="115" t="s">
        <v>6</v>
      </c>
      <c r="B12" s="116">
        <v>70</v>
      </c>
      <c r="C12" s="114" t="s">
        <v>255</v>
      </c>
      <c r="F12" s="117" t="s">
        <v>72</v>
      </c>
      <c r="G12" s="117"/>
      <c r="H12" s="117">
        <f>SUM(H10:H11)</f>
        <v>6</v>
      </c>
      <c r="I12" s="117">
        <f>SUM(I10:I11)</f>
        <v>6</v>
      </c>
      <c r="J12" s="118"/>
      <c r="M12" s="27" t="s">
        <v>435</v>
      </c>
      <c r="N12" s="136">
        <f>N4*N5*N10</f>
        <v>14288400</v>
      </c>
      <c r="Q12" s="9" t="s">
        <v>406</v>
      </c>
      <c r="R12" s="311"/>
      <c r="S12" s="311">
        <f>S11*N55</f>
        <v>71542.177777777761</v>
      </c>
      <c r="U12" s="7" t="s">
        <v>402</v>
      </c>
      <c r="V12" s="2">
        <v>9</v>
      </c>
    </row>
    <row r="13" spans="1:31" x14ac:dyDescent="0.35">
      <c r="A13" s="2" t="s">
        <v>7</v>
      </c>
      <c r="B13" s="4" t="s">
        <v>8</v>
      </c>
      <c r="M13" s="27" t="s">
        <v>436</v>
      </c>
      <c r="N13" s="137">
        <f>N4*N5*N11</f>
        <v>1905120</v>
      </c>
      <c r="Q13" s="9" t="s">
        <v>407</v>
      </c>
      <c r="R13" s="311"/>
      <c r="S13" s="311">
        <f>S11*M55</f>
        <v>536566.33333333326</v>
      </c>
      <c r="U13" s="119" t="s">
        <v>399</v>
      </c>
      <c r="V13" s="120">
        <f>V4+V5+V6+V9+V11</f>
        <v>2392500</v>
      </c>
    </row>
    <row r="14" spans="1:31" x14ac:dyDescent="0.35">
      <c r="A14" s="2" t="s">
        <v>9</v>
      </c>
      <c r="B14" s="4" t="s">
        <v>10</v>
      </c>
      <c r="U14" s="119" t="s">
        <v>396</v>
      </c>
      <c r="V14" s="133">
        <f>V12*V13</f>
        <v>21532500</v>
      </c>
    </row>
    <row r="15" spans="1:31" x14ac:dyDescent="0.35">
      <c r="A15" s="23"/>
      <c r="B15" s="24"/>
      <c r="M15" s="479" t="s">
        <v>83</v>
      </c>
      <c r="N15" s="479"/>
    </row>
    <row r="16" spans="1:31" x14ac:dyDescent="0.35">
      <c r="G16" s="479" t="s">
        <v>411</v>
      </c>
      <c r="H16" s="479"/>
      <c r="M16" s="2" t="s">
        <v>106</v>
      </c>
      <c r="N16" s="2">
        <v>130000</v>
      </c>
      <c r="U16" s="479" t="s">
        <v>125</v>
      </c>
      <c r="V16" s="479"/>
    </row>
    <row r="17" spans="4:30" x14ac:dyDescent="0.35">
      <c r="G17" s="135" t="s">
        <v>410</v>
      </c>
      <c r="H17" s="135">
        <v>3.5</v>
      </c>
      <c r="M17" s="2" t="s">
        <v>98</v>
      </c>
      <c r="N17" s="2">
        <v>36</v>
      </c>
      <c r="Q17" s="479" t="s">
        <v>114</v>
      </c>
      <c r="R17" s="479"/>
      <c r="U17" s="2" t="s">
        <v>169</v>
      </c>
      <c r="V17" s="9">
        <v>900000</v>
      </c>
      <c r="Z17" s="1"/>
      <c r="AA17" s="1"/>
      <c r="AD17" s="19"/>
    </row>
    <row r="18" spans="4:30" x14ac:dyDescent="0.35">
      <c r="G18" s="135" t="s">
        <v>408</v>
      </c>
      <c r="H18" s="135">
        <v>40</v>
      </c>
      <c r="I18" t="s">
        <v>412</v>
      </c>
      <c r="M18" s="2" t="s">
        <v>107</v>
      </c>
      <c r="N18" s="14">
        <f>N16/N17</f>
        <v>3611.1111111111113</v>
      </c>
      <c r="Q18" s="2" t="s">
        <v>154</v>
      </c>
      <c r="R18" s="2">
        <v>2</v>
      </c>
      <c r="U18" s="2" t="s">
        <v>170</v>
      </c>
      <c r="V18" s="2">
        <v>120</v>
      </c>
    </row>
    <row r="19" spans="4:30" x14ac:dyDescent="0.35">
      <c r="G19" s="135" t="s">
        <v>409</v>
      </c>
      <c r="H19" s="135">
        <f>(H18/1000)/H17*60</f>
        <v>0.68571428571428572</v>
      </c>
      <c r="M19" s="2" t="s">
        <v>99</v>
      </c>
      <c r="N19" s="2">
        <v>3</v>
      </c>
      <c r="Q19" s="2" t="s">
        <v>395</v>
      </c>
      <c r="R19" s="2">
        <v>3</v>
      </c>
      <c r="U19" s="2" t="s">
        <v>171</v>
      </c>
      <c r="V19" s="2">
        <v>3</v>
      </c>
    </row>
    <row r="20" spans="4:30" x14ac:dyDescent="0.35">
      <c r="M20" s="2" t="s">
        <v>100</v>
      </c>
      <c r="N20" s="2">
        <f>N17/N19</f>
        <v>12</v>
      </c>
      <c r="Q20" s="2" t="s">
        <v>115</v>
      </c>
      <c r="R20" s="2">
        <v>1</v>
      </c>
      <c r="U20" s="2" t="s">
        <v>172</v>
      </c>
      <c r="V20" s="2">
        <f>V17*V19/V18</f>
        <v>22500</v>
      </c>
    </row>
    <row r="21" spans="4:30" x14ac:dyDescent="0.35">
      <c r="M21" s="2" t="s">
        <v>105</v>
      </c>
      <c r="N21" s="2">
        <v>13000</v>
      </c>
      <c r="Q21" s="2" t="s">
        <v>116</v>
      </c>
      <c r="R21" s="2">
        <f>SUM(R18:R20)</f>
        <v>6</v>
      </c>
      <c r="U21" s="2" t="s">
        <v>126</v>
      </c>
      <c r="V21" s="2">
        <v>150</v>
      </c>
    </row>
    <row r="22" spans="4:30" x14ac:dyDescent="0.35">
      <c r="M22" s="2" t="s">
        <v>101</v>
      </c>
      <c r="N22" s="14">
        <f>N21*N20/36</f>
        <v>4333.333333333333</v>
      </c>
      <c r="Q22" s="2" t="s">
        <v>117</v>
      </c>
      <c r="R22" s="2">
        <v>10000</v>
      </c>
      <c r="U22" s="2" t="s">
        <v>127</v>
      </c>
      <c r="V22" s="2">
        <v>166</v>
      </c>
    </row>
    <row r="23" spans="4:30" x14ac:dyDescent="0.35">
      <c r="M23" s="2" t="s">
        <v>104</v>
      </c>
      <c r="N23" s="2">
        <v>6500</v>
      </c>
      <c r="Q23" s="9" t="s">
        <v>118</v>
      </c>
      <c r="R23" s="9">
        <f>R21*R22</f>
        <v>60000</v>
      </c>
      <c r="U23" s="2" t="s">
        <v>128</v>
      </c>
      <c r="V23" s="2">
        <v>120</v>
      </c>
    </row>
    <row r="24" spans="4:30" x14ac:dyDescent="0.35">
      <c r="M24" s="2" t="s">
        <v>103</v>
      </c>
      <c r="N24" s="2">
        <v>1000</v>
      </c>
      <c r="Q24" s="9" t="s">
        <v>155</v>
      </c>
      <c r="R24" s="9">
        <v>2</v>
      </c>
      <c r="U24" s="2" t="s">
        <v>129</v>
      </c>
      <c r="V24" s="30">
        <f>V21-V23</f>
        <v>30</v>
      </c>
    </row>
    <row r="25" spans="4:30" x14ac:dyDescent="0.35">
      <c r="M25" s="2" t="s">
        <v>102</v>
      </c>
      <c r="N25" s="14">
        <f>N24/36</f>
        <v>27.777777777777779</v>
      </c>
      <c r="Q25" s="9" t="s">
        <v>156</v>
      </c>
      <c r="R25" s="9">
        <v>15000</v>
      </c>
      <c r="U25" s="2" t="s">
        <v>130</v>
      </c>
      <c r="V25" s="9">
        <f>V24*V22</f>
        <v>4980</v>
      </c>
    </row>
    <row r="26" spans="4:30" x14ac:dyDescent="0.35">
      <c r="M26" s="26" t="s">
        <v>108</v>
      </c>
      <c r="N26" s="26">
        <f>N16+N21+N23+N24</f>
        <v>150500</v>
      </c>
      <c r="Q26" s="9" t="s">
        <v>157</v>
      </c>
      <c r="R26" s="9">
        <f>R24*R25</f>
        <v>30000</v>
      </c>
      <c r="U26" s="7" t="s">
        <v>131</v>
      </c>
      <c r="V26" s="11">
        <v>10000</v>
      </c>
    </row>
    <row r="27" spans="4:30" x14ac:dyDescent="0.35">
      <c r="D27" s="6"/>
      <c r="E27" s="121"/>
      <c r="M27" s="27" t="s">
        <v>109</v>
      </c>
      <c r="N27" s="28">
        <f>N18+N22+N23+N25</f>
        <v>14472.222222222223</v>
      </c>
      <c r="Q27" s="9" t="s">
        <v>402</v>
      </c>
      <c r="R27" s="9">
        <v>9</v>
      </c>
      <c r="U27" s="7" t="s">
        <v>132</v>
      </c>
      <c r="V27" s="7">
        <v>80</v>
      </c>
    </row>
    <row r="28" spans="4:30" x14ac:dyDescent="0.35">
      <c r="M28" s="27" t="s">
        <v>397</v>
      </c>
      <c r="N28" s="28">
        <f>N27*V10</f>
        <v>43416.666666666672</v>
      </c>
      <c r="Q28" s="11" t="s">
        <v>400</v>
      </c>
      <c r="R28" s="9">
        <f>R23+R26</f>
        <v>90000</v>
      </c>
      <c r="U28" s="7" t="s">
        <v>133</v>
      </c>
      <c r="V28" s="2">
        <v>6</v>
      </c>
    </row>
    <row r="29" spans="4:30" x14ac:dyDescent="0.35">
      <c r="M29" s="27" t="s">
        <v>398</v>
      </c>
      <c r="N29" s="28">
        <f>N28*K55</f>
        <v>943154.72222222213</v>
      </c>
      <c r="Q29" s="11" t="s">
        <v>401</v>
      </c>
      <c r="R29" s="9">
        <f>R27*R28</f>
        <v>810000</v>
      </c>
      <c r="U29" s="2" t="s">
        <v>134</v>
      </c>
      <c r="V29" s="9">
        <f>V27*V28*30</f>
        <v>14400</v>
      </c>
    </row>
    <row r="30" spans="4:30" x14ac:dyDescent="0.35">
      <c r="U30" s="2" t="s">
        <v>394</v>
      </c>
      <c r="V30" s="9">
        <v>9</v>
      </c>
    </row>
    <row r="31" spans="4:30" x14ac:dyDescent="0.35">
      <c r="U31" s="9" t="s">
        <v>173</v>
      </c>
      <c r="V31" s="9">
        <f>V20+V25+V26+V29</f>
        <v>51880</v>
      </c>
    </row>
    <row r="32" spans="4:30" x14ac:dyDescent="0.35">
      <c r="U32" s="11" t="s">
        <v>393</v>
      </c>
      <c r="V32" s="11">
        <f>V30*V31</f>
        <v>466920</v>
      </c>
    </row>
    <row r="46" spans="1:14" x14ac:dyDescent="0.35">
      <c r="D46" s="13">
        <v>0.7</v>
      </c>
      <c r="E46" s="13">
        <v>0.45</v>
      </c>
      <c r="F46" s="13">
        <v>0.06</v>
      </c>
      <c r="G46" s="32">
        <v>6</v>
      </c>
      <c r="H46" s="32">
        <v>6</v>
      </c>
      <c r="I46" s="36">
        <v>0.35</v>
      </c>
      <c r="J46" s="36">
        <v>0.35</v>
      </c>
      <c r="K46" s="33"/>
      <c r="L46" s="33"/>
    </row>
    <row r="47" spans="1:14" ht="29" x14ac:dyDescent="0.35">
      <c r="A47" s="21" t="s">
        <v>161</v>
      </c>
      <c r="B47" s="21" t="s">
        <v>162</v>
      </c>
      <c r="C47" s="21" t="s">
        <v>163</v>
      </c>
      <c r="D47" s="22" t="s">
        <v>164</v>
      </c>
      <c r="E47" s="22" t="s">
        <v>387</v>
      </c>
      <c r="F47" s="20" t="s">
        <v>87</v>
      </c>
      <c r="G47" s="20" t="s">
        <v>386</v>
      </c>
      <c r="H47" s="20" t="s">
        <v>385</v>
      </c>
      <c r="I47" s="20" t="s">
        <v>391</v>
      </c>
      <c r="J47" s="20" t="s">
        <v>388</v>
      </c>
      <c r="K47" s="20" t="s">
        <v>390</v>
      </c>
      <c r="L47" s="20" t="s">
        <v>389</v>
      </c>
      <c r="M47" s="134" t="s">
        <v>403</v>
      </c>
      <c r="N47" s="134" t="s">
        <v>404</v>
      </c>
    </row>
    <row r="48" spans="1:14" x14ac:dyDescent="0.35">
      <c r="A48" s="2" t="s">
        <v>33</v>
      </c>
      <c r="B48" s="3">
        <v>0.12</v>
      </c>
      <c r="C48" s="2">
        <f t="shared" ref="C48:C54" si="0">$B$11*$B48</f>
        <v>53760</v>
      </c>
      <c r="D48" s="2">
        <f t="shared" ref="D48:D54" si="1">$C48*$D$46</f>
        <v>37632</v>
      </c>
      <c r="E48" s="14">
        <f t="shared" ref="E48:E54" si="2">D48*$E$46</f>
        <v>16934.400000000001</v>
      </c>
      <c r="F48" s="14">
        <f t="shared" ref="F48:F54" si="3">$D48*$F$46</f>
        <v>2257.92</v>
      </c>
      <c r="G48" s="14">
        <f>$E48/$G$46</f>
        <v>2822.4</v>
      </c>
      <c r="H48" s="14">
        <f t="shared" ref="H48:H54" si="4">$F48/$H$46</f>
        <v>376.32</v>
      </c>
      <c r="I48" s="14">
        <f>$G48*$I$46</f>
        <v>987.83999999999992</v>
      </c>
      <c r="J48" s="14">
        <f t="shared" ref="J48:J54" si="5">$H48*$J$46</f>
        <v>131.71199999999999</v>
      </c>
      <c r="K48" s="14">
        <f>$I48/$N$9</f>
        <v>13.719999999999999</v>
      </c>
      <c r="L48" s="17">
        <f t="shared" ref="L48:L54" si="6">$J48/$N$9</f>
        <v>1.8293333333333333</v>
      </c>
      <c r="M48" s="14">
        <f>$I48/$R$6</f>
        <v>13.719999999999999</v>
      </c>
      <c r="N48" s="14">
        <f>$J48/$R$6</f>
        <v>1.8293333333333333</v>
      </c>
    </row>
    <row r="49" spans="1:14" x14ac:dyDescent="0.35">
      <c r="A49" s="2" t="s">
        <v>34</v>
      </c>
      <c r="B49" s="3">
        <v>0.12</v>
      </c>
      <c r="C49" s="2">
        <f t="shared" si="0"/>
        <v>53760</v>
      </c>
      <c r="D49" s="2">
        <f t="shared" si="1"/>
        <v>37632</v>
      </c>
      <c r="E49" s="14">
        <f t="shared" si="2"/>
        <v>16934.400000000001</v>
      </c>
      <c r="F49" s="14">
        <f t="shared" si="3"/>
        <v>2257.92</v>
      </c>
      <c r="G49" s="14">
        <f t="shared" ref="G49:G54" si="7">$E49/$G$46</f>
        <v>2822.4</v>
      </c>
      <c r="H49" s="14">
        <f t="shared" si="4"/>
        <v>376.32</v>
      </c>
      <c r="I49" s="14">
        <f t="shared" ref="I49:I54" si="8">$G49*$I$46</f>
        <v>987.83999999999992</v>
      </c>
      <c r="J49" s="14">
        <f t="shared" si="5"/>
        <v>131.71199999999999</v>
      </c>
      <c r="K49" s="14">
        <f t="shared" ref="K49:K54" si="9">$I49/$N$9</f>
        <v>13.719999999999999</v>
      </c>
      <c r="L49" s="17">
        <f t="shared" si="6"/>
        <v>1.8293333333333333</v>
      </c>
      <c r="M49" s="14">
        <f t="shared" ref="M49:M54" si="10">$I49/$R$6</f>
        <v>13.719999999999999</v>
      </c>
      <c r="N49" s="14">
        <f t="shared" ref="N49:N54" si="11">$J49/$R$6</f>
        <v>1.8293333333333333</v>
      </c>
    </row>
    <row r="50" spans="1:14" x14ac:dyDescent="0.35">
      <c r="A50" s="2" t="s">
        <v>35</v>
      </c>
      <c r="B50" s="3">
        <v>0.13</v>
      </c>
      <c r="C50" s="2">
        <f t="shared" si="0"/>
        <v>58240</v>
      </c>
      <c r="D50" s="2">
        <f t="shared" si="1"/>
        <v>40768</v>
      </c>
      <c r="E50" s="14">
        <f t="shared" si="2"/>
        <v>18345.600000000002</v>
      </c>
      <c r="F50" s="14">
        <f t="shared" si="3"/>
        <v>2446.08</v>
      </c>
      <c r="G50" s="14">
        <f t="shared" si="7"/>
        <v>3057.6000000000004</v>
      </c>
      <c r="H50" s="14">
        <f t="shared" si="4"/>
        <v>407.68</v>
      </c>
      <c r="I50" s="14">
        <f t="shared" si="8"/>
        <v>1070.1600000000001</v>
      </c>
      <c r="J50" s="14">
        <f t="shared" si="5"/>
        <v>142.68799999999999</v>
      </c>
      <c r="K50" s="14">
        <f t="shared" si="9"/>
        <v>14.863333333333335</v>
      </c>
      <c r="L50" s="17">
        <f t="shared" si="6"/>
        <v>1.9817777777777776</v>
      </c>
      <c r="M50" s="14">
        <f t="shared" si="10"/>
        <v>14.863333333333335</v>
      </c>
      <c r="N50" s="14">
        <f t="shared" si="11"/>
        <v>1.9817777777777776</v>
      </c>
    </row>
    <row r="51" spans="1:14" x14ac:dyDescent="0.35">
      <c r="A51" s="2" t="s">
        <v>36</v>
      </c>
      <c r="B51" s="3">
        <v>0.13</v>
      </c>
      <c r="C51" s="2">
        <f t="shared" si="0"/>
        <v>58240</v>
      </c>
      <c r="D51" s="2">
        <f t="shared" si="1"/>
        <v>40768</v>
      </c>
      <c r="E51" s="14">
        <f t="shared" si="2"/>
        <v>18345.600000000002</v>
      </c>
      <c r="F51" s="14">
        <f t="shared" si="3"/>
        <v>2446.08</v>
      </c>
      <c r="G51" s="14">
        <f t="shared" si="7"/>
        <v>3057.6000000000004</v>
      </c>
      <c r="H51" s="14">
        <f t="shared" si="4"/>
        <v>407.68</v>
      </c>
      <c r="I51" s="14">
        <f t="shared" si="8"/>
        <v>1070.1600000000001</v>
      </c>
      <c r="J51" s="14">
        <f t="shared" si="5"/>
        <v>142.68799999999999</v>
      </c>
      <c r="K51" s="14">
        <f t="shared" si="9"/>
        <v>14.863333333333335</v>
      </c>
      <c r="L51" s="17">
        <f t="shared" si="6"/>
        <v>1.9817777777777776</v>
      </c>
      <c r="M51" s="14">
        <f t="shared" si="10"/>
        <v>14.863333333333335</v>
      </c>
      <c r="N51" s="14">
        <f t="shared" si="11"/>
        <v>1.9817777777777776</v>
      </c>
    </row>
    <row r="52" spans="1:14" x14ac:dyDescent="0.35">
      <c r="A52" s="2" t="s">
        <v>37</v>
      </c>
      <c r="B52" s="3">
        <v>0.14000000000000001</v>
      </c>
      <c r="C52" s="2">
        <f t="shared" si="0"/>
        <v>62720.000000000007</v>
      </c>
      <c r="D52" s="2">
        <f t="shared" si="1"/>
        <v>43904</v>
      </c>
      <c r="E52" s="14">
        <f t="shared" si="2"/>
        <v>19756.8</v>
      </c>
      <c r="F52" s="14">
        <f t="shared" si="3"/>
        <v>2634.24</v>
      </c>
      <c r="G52" s="14">
        <f t="shared" si="7"/>
        <v>3292.7999999999997</v>
      </c>
      <c r="H52" s="14">
        <f t="shared" si="4"/>
        <v>439.03999999999996</v>
      </c>
      <c r="I52" s="14">
        <f t="shared" si="8"/>
        <v>1152.4799999999998</v>
      </c>
      <c r="J52" s="14">
        <f t="shared" si="5"/>
        <v>153.66399999999999</v>
      </c>
      <c r="K52" s="14">
        <f t="shared" si="9"/>
        <v>16.006666666666664</v>
      </c>
      <c r="L52" s="17">
        <f t="shared" si="6"/>
        <v>2.1342222222222222</v>
      </c>
      <c r="M52" s="14">
        <f t="shared" si="10"/>
        <v>16.006666666666664</v>
      </c>
      <c r="N52" s="14">
        <f t="shared" si="11"/>
        <v>2.1342222222222222</v>
      </c>
    </row>
    <row r="53" spans="1:14" x14ac:dyDescent="0.35">
      <c r="A53" s="2" t="s">
        <v>38</v>
      </c>
      <c r="B53" s="3">
        <v>0.17</v>
      </c>
      <c r="C53" s="2">
        <f t="shared" si="0"/>
        <v>76160</v>
      </c>
      <c r="D53" s="2">
        <f t="shared" si="1"/>
        <v>53312</v>
      </c>
      <c r="E53" s="14">
        <f t="shared" si="2"/>
        <v>23990.400000000001</v>
      </c>
      <c r="F53" s="14">
        <f t="shared" si="3"/>
        <v>3198.72</v>
      </c>
      <c r="G53" s="14">
        <f t="shared" si="7"/>
        <v>3998.4</v>
      </c>
      <c r="H53" s="14">
        <f t="shared" si="4"/>
        <v>533.12</v>
      </c>
      <c r="I53" s="14">
        <f t="shared" si="8"/>
        <v>1399.44</v>
      </c>
      <c r="J53" s="14">
        <f t="shared" si="5"/>
        <v>186.59199999999998</v>
      </c>
      <c r="K53" s="14">
        <f t="shared" si="9"/>
        <v>19.436666666666667</v>
      </c>
      <c r="L53" s="17">
        <f t="shared" si="6"/>
        <v>2.5915555555555554</v>
      </c>
      <c r="M53" s="14">
        <f t="shared" si="10"/>
        <v>19.436666666666667</v>
      </c>
      <c r="N53" s="14">
        <f t="shared" si="11"/>
        <v>2.5915555555555554</v>
      </c>
    </row>
    <row r="54" spans="1:14" x14ac:dyDescent="0.35">
      <c r="A54" s="2" t="s">
        <v>39</v>
      </c>
      <c r="B54" s="3">
        <v>0.19</v>
      </c>
      <c r="C54" s="2">
        <f t="shared" si="0"/>
        <v>85120</v>
      </c>
      <c r="D54" s="2">
        <f t="shared" si="1"/>
        <v>59583.999999999993</v>
      </c>
      <c r="E54" s="14">
        <f t="shared" si="2"/>
        <v>26812.799999999996</v>
      </c>
      <c r="F54" s="14">
        <f t="shared" si="3"/>
        <v>3575.0399999999995</v>
      </c>
      <c r="G54" s="14">
        <f t="shared" si="7"/>
        <v>4468.7999999999993</v>
      </c>
      <c r="H54" s="14">
        <f t="shared" si="4"/>
        <v>595.83999999999992</v>
      </c>
      <c r="I54" s="14">
        <f t="shared" si="8"/>
        <v>1564.0799999999997</v>
      </c>
      <c r="J54" s="14">
        <f t="shared" si="5"/>
        <v>208.54399999999995</v>
      </c>
      <c r="K54" s="14">
        <f t="shared" si="9"/>
        <v>21.723333333333329</v>
      </c>
      <c r="L54" s="17">
        <f t="shared" si="6"/>
        <v>2.8964444444444437</v>
      </c>
      <c r="M54" s="14">
        <f t="shared" si="10"/>
        <v>21.723333333333329</v>
      </c>
      <c r="N54" s="14">
        <f t="shared" si="11"/>
        <v>2.8964444444444437</v>
      </c>
    </row>
    <row r="55" spans="1:14" x14ac:dyDescent="0.35">
      <c r="A55" s="27" t="s">
        <v>72</v>
      </c>
      <c r="B55" s="29">
        <f>SUM(B48:B54)</f>
        <v>1</v>
      </c>
      <c r="C55" s="27">
        <f>SUM(C48:C54)</f>
        <v>448000</v>
      </c>
      <c r="D55" s="27">
        <f>SUM(D48:D54)</f>
        <v>313600</v>
      </c>
      <c r="E55" s="27">
        <f>SUM(E48:E54)</f>
        <v>141120</v>
      </c>
      <c r="F55" s="28">
        <f>SUM(F48:F54)</f>
        <v>18816</v>
      </c>
      <c r="G55" s="28">
        <f>AVERAGE(G48:G54)</f>
        <v>3360</v>
      </c>
      <c r="H55" s="28">
        <f>AVERAGE(H48:H54)</f>
        <v>448</v>
      </c>
      <c r="I55" s="28">
        <f>SUM(I48:I54)</f>
        <v>8232</v>
      </c>
      <c r="J55" s="28">
        <f>SUM(J48:J54)</f>
        <v>1097.5999999999999</v>
      </c>
      <c r="K55" s="28">
        <f>MAX(K48:K54)</f>
        <v>21.723333333333329</v>
      </c>
      <c r="L55" s="37">
        <f>MAX(L48:L54)</f>
        <v>2.8964444444444437</v>
      </c>
      <c r="M55" s="14">
        <f>MAX(M48:M54)</f>
        <v>21.723333333333329</v>
      </c>
      <c r="N55" s="14">
        <f>MAX(N48:N54)</f>
        <v>2.8964444444444437</v>
      </c>
    </row>
  </sheetData>
  <mergeCells count="8">
    <mergeCell ref="A1:AE1"/>
    <mergeCell ref="M15:N15"/>
    <mergeCell ref="M3:N3"/>
    <mergeCell ref="Q17:R17"/>
    <mergeCell ref="U3:V3"/>
    <mergeCell ref="U16:V16"/>
    <mergeCell ref="A3:B3"/>
    <mergeCell ref="G16:H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9BC0-BE77-4E8B-B451-14AFD214F74E}">
  <dimension ref="A1:F29"/>
  <sheetViews>
    <sheetView zoomScale="90" zoomScaleNormal="90" workbookViewId="0">
      <selection activeCell="B12" sqref="B12"/>
    </sheetView>
  </sheetViews>
  <sheetFormatPr defaultColWidth="8.81640625" defaultRowHeight="14.5" x14ac:dyDescent="0.35"/>
  <cols>
    <col min="1" max="1" width="6.81640625" style="45" customWidth="1"/>
    <col min="2" max="2" width="57.54296875" style="45" bestFit="1" customWidth="1"/>
    <col min="3" max="3" width="10.54296875" style="45" bestFit="1" customWidth="1"/>
    <col min="4" max="16384" width="8.81640625" style="45"/>
  </cols>
  <sheetData>
    <row r="1" spans="1:6" ht="22.5" customHeight="1" x14ac:dyDescent="0.35">
      <c r="A1" s="46" t="s">
        <v>186</v>
      </c>
      <c r="B1" s="46" t="s">
        <v>185</v>
      </c>
      <c r="C1" s="45" t="s">
        <v>256</v>
      </c>
      <c r="D1" s="45" t="s">
        <v>370</v>
      </c>
    </row>
    <row r="2" spans="1:6" x14ac:dyDescent="0.35">
      <c r="A2" s="45">
        <v>1</v>
      </c>
      <c r="B2" s="47" t="s">
        <v>178</v>
      </c>
      <c r="C2" s="45" t="s">
        <v>254</v>
      </c>
      <c r="D2" s="45">
        <v>9</v>
      </c>
    </row>
    <row r="3" spans="1:6" x14ac:dyDescent="0.35">
      <c r="A3" s="45">
        <v>2</v>
      </c>
      <c r="B3" s="47" t="s">
        <v>179</v>
      </c>
      <c r="C3" s="45" t="s">
        <v>254</v>
      </c>
      <c r="D3" s="45">
        <v>3</v>
      </c>
    </row>
    <row r="4" spans="1:6" x14ac:dyDescent="0.35">
      <c r="A4" s="45">
        <v>3</v>
      </c>
      <c r="B4" s="113" t="s">
        <v>180</v>
      </c>
      <c r="C4" s="45" t="s">
        <v>254</v>
      </c>
      <c r="D4" s="45">
        <v>4</v>
      </c>
    </row>
    <row r="5" spans="1:6" x14ac:dyDescent="0.35">
      <c r="A5" s="45">
        <v>4</v>
      </c>
      <c r="B5" s="113" t="s">
        <v>181</v>
      </c>
      <c r="C5" s="45" t="s">
        <v>254</v>
      </c>
      <c r="D5" s="45" t="s">
        <v>257</v>
      </c>
    </row>
    <row r="6" spans="1:6" x14ac:dyDescent="0.35">
      <c r="A6" s="45">
        <v>5</v>
      </c>
      <c r="B6" s="47" t="s">
        <v>182</v>
      </c>
      <c r="C6" s="45" t="s">
        <v>257</v>
      </c>
    </row>
    <row r="7" spans="1:6" x14ac:dyDescent="0.35">
      <c r="A7" s="45">
        <v>6</v>
      </c>
      <c r="B7" s="122" t="s">
        <v>183</v>
      </c>
      <c r="C7" s="45" t="s">
        <v>368</v>
      </c>
      <c r="D7" s="45" t="s">
        <v>253</v>
      </c>
      <c r="E7" s="45" t="s">
        <v>252</v>
      </c>
      <c r="F7" s="45" t="s">
        <v>251</v>
      </c>
    </row>
    <row r="8" spans="1:6" x14ac:dyDescent="0.35">
      <c r="A8" s="45">
        <v>7</v>
      </c>
      <c r="B8" s="47" t="s">
        <v>184</v>
      </c>
      <c r="C8" s="45" t="s">
        <v>257</v>
      </c>
    </row>
    <row r="9" spans="1:6" x14ac:dyDescent="0.35">
      <c r="B9" s="47"/>
    </row>
    <row r="10" spans="1:6" x14ac:dyDescent="0.35">
      <c r="A10" s="130"/>
      <c r="B10" s="129" t="s">
        <v>361</v>
      </c>
      <c r="C10" s="131"/>
    </row>
    <row r="11" spans="1:6" x14ac:dyDescent="0.35">
      <c r="A11" s="123">
        <v>8</v>
      </c>
      <c r="B11" s="124" t="s">
        <v>259</v>
      </c>
      <c r="C11" s="125" t="s">
        <v>360</v>
      </c>
    </row>
    <row r="12" spans="1:6" x14ac:dyDescent="0.35">
      <c r="A12" s="123">
        <v>9</v>
      </c>
      <c r="B12" s="124" t="s">
        <v>359</v>
      </c>
      <c r="C12" s="125" t="s">
        <v>360</v>
      </c>
      <c r="D12" s="132">
        <v>0.05</v>
      </c>
    </row>
    <row r="13" spans="1:6" x14ac:dyDescent="0.35">
      <c r="A13" s="123">
        <v>10</v>
      </c>
      <c r="B13" s="124" t="s">
        <v>347</v>
      </c>
      <c r="C13" s="125" t="s">
        <v>360</v>
      </c>
      <c r="D13" s="132"/>
    </row>
    <row r="14" spans="1:6" x14ac:dyDescent="0.35">
      <c r="A14" s="123">
        <v>11</v>
      </c>
      <c r="B14" s="124" t="s">
        <v>349</v>
      </c>
      <c r="C14" s="125" t="s">
        <v>360</v>
      </c>
      <c r="D14" s="132">
        <v>0.05</v>
      </c>
    </row>
    <row r="15" spans="1:6" x14ac:dyDescent="0.35">
      <c r="A15" s="123">
        <v>12</v>
      </c>
      <c r="B15" s="124" t="s">
        <v>362</v>
      </c>
      <c r="C15" s="125" t="s">
        <v>364</v>
      </c>
      <c r="D15" s="45">
        <v>500</v>
      </c>
    </row>
    <row r="16" spans="1:6" x14ac:dyDescent="0.35">
      <c r="A16" s="123">
        <v>13</v>
      </c>
      <c r="B16" s="124" t="s">
        <v>363</v>
      </c>
      <c r="C16" s="125" t="s">
        <v>365</v>
      </c>
    </row>
    <row r="17" spans="1:4" x14ac:dyDescent="0.35">
      <c r="A17" s="123">
        <v>14</v>
      </c>
      <c r="B17" s="124" t="s">
        <v>366</v>
      </c>
      <c r="C17" s="125" t="s">
        <v>367</v>
      </c>
    </row>
    <row r="18" spans="1:4" x14ac:dyDescent="0.35">
      <c r="A18" s="123">
        <v>15</v>
      </c>
      <c r="B18" s="124" t="s">
        <v>369</v>
      </c>
      <c r="C18" s="125" t="s">
        <v>360</v>
      </c>
    </row>
    <row r="19" spans="1:4" x14ac:dyDescent="0.35">
      <c r="A19" s="123">
        <v>16</v>
      </c>
      <c r="B19" s="124" t="s">
        <v>371</v>
      </c>
      <c r="C19" s="125" t="s">
        <v>360</v>
      </c>
    </row>
    <row r="20" spans="1:4" x14ac:dyDescent="0.35">
      <c r="A20" s="123">
        <v>17</v>
      </c>
      <c r="B20" s="124" t="s">
        <v>372</v>
      </c>
      <c r="C20" s="125" t="s">
        <v>360</v>
      </c>
    </row>
    <row r="21" spans="1:4" x14ac:dyDescent="0.35">
      <c r="A21" s="123">
        <v>18</v>
      </c>
      <c r="B21" s="124" t="s">
        <v>373</v>
      </c>
      <c r="C21" s="125" t="s">
        <v>360</v>
      </c>
    </row>
    <row r="22" spans="1:4" x14ac:dyDescent="0.35">
      <c r="A22" s="123">
        <v>19</v>
      </c>
      <c r="B22" s="124" t="s">
        <v>180</v>
      </c>
      <c r="C22" s="125" t="s">
        <v>360</v>
      </c>
      <c r="D22" s="45">
        <v>4</v>
      </c>
    </row>
    <row r="23" spans="1:4" x14ac:dyDescent="0.35">
      <c r="A23" s="126">
        <v>20</v>
      </c>
      <c r="B23" s="127" t="s">
        <v>181</v>
      </c>
      <c r="C23" s="128" t="s">
        <v>360</v>
      </c>
      <c r="D23" s="45" t="s">
        <v>257</v>
      </c>
    </row>
    <row r="24" spans="1:4" ht="29" x14ac:dyDescent="0.35">
      <c r="A24" s="45">
        <v>21</v>
      </c>
      <c r="B24" s="49" t="s">
        <v>377</v>
      </c>
      <c r="C24" s="45" t="s">
        <v>376</v>
      </c>
    </row>
    <row r="26" spans="1:4" x14ac:dyDescent="0.35">
      <c r="A26" s="45">
        <v>22</v>
      </c>
      <c r="B26" s="48" t="s">
        <v>378</v>
      </c>
    </row>
    <row r="27" spans="1:4" x14ac:dyDescent="0.35">
      <c r="A27" s="45" t="s">
        <v>382</v>
      </c>
      <c r="B27" s="47" t="s">
        <v>379</v>
      </c>
    </row>
    <row r="28" spans="1:4" x14ac:dyDescent="0.35">
      <c r="A28" s="45" t="s">
        <v>383</v>
      </c>
      <c r="B28" s="47" t="s">
        <v>380</v>
      </c>
    </row>
    <row r="29" spans="1:4" x14ac:dyDescent="0.35">
      <c r="A29" s="45" t="s">
        <v>384</v>
      </c>
      <c r="B29" s="47" t="s">
        <v>381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9FC9-7E6D-48B6-8C88-02FB45F52741}">
  <dimension ref="B2:Q21"/>
  <sheetViews>
    <sheetView topLeftCell="B2" workbookViewId="0">
      <selection activeCell="B12" sqref="B12"/>
    </sheetView>
  </sheetViews>
  <sheetFormatPr defaultRowHeight="14.5" x14ac:dyDescent="0.35"/>
  <cols>
    <col min="3" max="3" width="20.6328125" customWidth="1"/>
    <col min="4" max="4" width="25.1796875" customWidth="1"/>
    <col min="5" max="5" width="24.54296875" bestFit="1" customWidth="1"/>
    <col min="6" max="6" width="22.90625" bestFit="1" customWidth="1"/>
    <col min="7" max="7" width="30.08984375" customWidth="1"/>
    <col min="9" max="9" width="5.1796875" bestFit="1" customWidth="1"/>
    <col min="10" max="10" width="27.81640625" customWidth="1"/>
    <col min="11" max="11" width="7.6328125" bestFit="1" customWidth="1"/>
    <col min="17" max="17" width="22.36328125" customWidth="1"/>
  </cols>
  <sheetData>
    <row r="2" spans="2:17" ht="15" thickBot="1" x14ac:dyDescent="0.4"/>
    <row r="3" spans="2:17" ht="21.5" thickBot="1" x14ac:dyDescent="0.4">
      <c r="B3" s="480" t="s">
        <v>187</v>
      </c>
      <c r="C3" s="481"/>
      <c r="D3" s="481"/>
      <c r="E3" s="481"/>
      <c r="F3" s="481"/>
      <c r="G3" s="482"/>
      <c r="I3" s="485" t="s">
        <v>238</v>
      </c>
      <c r="J3" s="486"/>
      <c r="K3" s="486"/>
      <c r="L3" s="486"/>
      <c r="M3" s="486"/>
      <c r="N3" s="486"/>
      <c r="O3" s="486"/>
      <c r="P3" s="486"/>
      <c r="Q3" s="487"/>
    </row>
    <row r="4" spans="2:17" s="46" customFormat="1" ht="22" customHeight="1" x14ac:dyDescent="0.35">
      <c r="B4" s="493" t="s">
        <v>186</v>
      </c>
      <c r="C4" s="495" t="s">
        <v>198</v>
      </c>
      <c r="D4" s="497" t="s">
        <v>199</v>
      </c>
      <c r="E4" s="495"/>
      <c r="F4" s="495"/>
      <c r="G4" s="498"/>
      <c r="I4" s="491" t="s">
        <v>186</v>
      </c>
      <c r="J4" s="85" t="s">
        <v>247</v>
      </c>
      <c r="K4" s="85" t="s">
        <v>248</v>
      </c>
      <c r="L4" s="488" t="s">
        <v>249</v>
      </c>
      <c r="M4" s="489"/>
      <c r="N4" s="489"/>
      <c r="O4" s="489"/>
      <c r="P4" s="490"/>
      <c r="Q4" s="86" t="s">
        <v>250</v>
      </c>
    </row>
    <row r="5" spans="2:17" s="46" customFormat="1" ht="29.5" thickBot="1" x14ac:dyDescent="0.4">
      <c r="B5" s="494"/>
      <c r="C5" s="496"/>
      <c r="D5" s="499" t="s">
        <v>203</v>
      </c>
      <c r="E5" s="500"/>
      <c r="F5" s="499" t="s">
        <v>204</v>
      </c>
      <c r="G5" s="501"/>
      <c r="I5" s="492"/>
      <c r="J5" s="87" t="s">
        <v>239</v>
      </c>
      <c r="K5" s="87" t="s">
        <v>240</v>
      </c>
      <c r="L5" s="88" t="s">
        <v>241</v>
      </c>
      <c r="M5" s="89" t="s">
        <v>242</v>
      </c>
      <c r="N5" s="89" t="s">
        <v>243</v>
      </c>
      <c r="O5" s="89" t="s">
        <v>244</v>
      </c>
      <c r="P5" s="90" t="s">
        <v>245</v>
      </c>
      <c r="Q5" s="91" t="s">
        <v>246</v>
      </c>
    </row>
    <row r="6" spans="2:17" ht="24.5" customHeight="1" x14ac:dyDescent="0.35">
      <c r="B6" s="505">
        <v>1</v>
      </c>
      <c r="C6" s="502" t="s">
        <v>196</v>
      </c>
      <c r="D6" s="65" t="s">
        <v>197</v>
      </c>
      <c r="E6" s="66" t="s">
        <v>215</v>
      </c>
      <c r="F6" s="67" t="s">
        <v>217</v>
      </c>
      <c r="G6" s="68" t="s">
        <v>222</v>
      </c>
      <c r="I6" s="107"/>
      <c r="J6" s="110" t="s">
        <v>260</v>
      </c>
      <c r="K6" s="96"/>
      <c r="L6" s="97"/>
      <c r="M6" s="98"/>
      <c r="N6" s="98"/>
      <c r="O6" s="98"/>
      <c r="P6" s="99"/>
      <c r="Q6" s="92"/>
    </row>
    <row r="7" spans="2:17" ht="26" x14ac:dyDescent="0.35">
      <c r="B7" s="506"/>
      <c r="C7" s="503"/>
      <c r="D7" s="50" t="s">
        <v>205</v>
      </c>
      <c r="E7" s="51" t="s">
        <v>211</v>
      </c>
      <c r="F7" s="52" t="s">
        <v>218</v>
      </c>
      <c r="G7" s="69" t="s">
        <v>220</v>
      </c>
      <c r="I7" s="108"/>
      <c r="J7" s="111"/>
      <c r="K7" s="100"/>
      <c r="L7" s="60"/>
      <c r="M7" s="101"/>
      <c r="N7" s="101"/>
      <c r="O7" s="101"/>
      <c r="P7" s="102"/>
      <c r="Q7" s="93"/>
    </row>
    <row r="8" spans="2:17" ht="26" x14ac:dyDescent="0.35">
      <c r="B8" s="506"/>
      <c r="C8" s="503"/>
      <c r="D8" s="50" t="s">
        <v>206</v>
      </c>
      <c r="E8" s="51" t="s">
        <v>212</v>
      </c>
      <c r="F8" s="52" t="s">
        <v>219</v>
      </c>
      <c r="G8" s="69" t="s">
        <v>221</v>
      </c>
      <c r="I8" s="108"/>
      <c r="J8" s="111"/>
      <c r="K8" s="100"/>
      <c r="L8" s="60"/>
      <c r="M8" s="101"/>
      <c r="N8" s="101"/>
      <c r="O8" s="101"/>
      <c r="P8" s="102"/>
      <c r="Q8" s="93"/>
    </row>
    <row r="9" spans="2:17" x14ac:dyDescent="0.35">
      <c r="B9" s="506"/>
      <c r="C9" s="503"/>
      <c r="D9" s="50" t="s">
        <v>216</v>
      </c>
      <c r="E9" s="51" t="s">
        <v>213</v>
      </c>
      <c r="F9" s="52"/>
      <c r="G9" s="69"/>
      <c r="I9" s="108"/>
      <c r="J9" s="111"/>
      <c r="K9" s="100"/>
      <c r="L9" s="60"/>
      <c r="M9" s="101"/>
      <c r="N9" s="101"/>
      <c r="O9" s="101"/>
      <c r="P9" s="102"/>
      <c r="Q9" s="93"/>
    </row>
    <row r="10" spans="2:17" x14ac:dyDescent="0.35">
      <c r="B10" s="506"/>
      <c r="C10" s="503"/>
      <c r="D10" s="50" t="s">
        <v>207</v>
      </c>
      <c r="E10" s="51" t="s">
        <v>214</v>
      </c>
      <c r="F10" s="52"/>
      <c r="G10" s="69"/>
      <c r="I10" s="108"/>
      <c r="J10" s="111"/>
      <c r="K10" s="100"/>
      <c r="L10" s="60"/>
      <c r="M10" s="101"/>
      <c r="N10" s="101"/>
      <c r="O10" s="101"/>
      <c r="P10" s="102"/>
      <c r="Q10" s="93"/>
    </row>
    <row r="11" spans="2:17" x14ac:dyDescent="0.35">
      <c r="B11" s="506"/>
      <c r="C11" s="503"/>
      <c r="D11" s="50" t="s">
        <v>208</v>
      </c>
      <c r="E11" s="51"/>
      <c r="F11" s="52"/>
      <c r="G11" s="69"/>
      <c r="I11" s="108"/>
      <c r="J11" s="111"/>
      <c r="K11" s="100"/>
      <c r="L11" s="60"/>
      <c r="M11" s="101"/>
      <c r="N11" s="101"/>
      <c r="O11" s="101"/>
      <c r="P11" s="102"/>
      <c r="Q11" s="93"/>
    </row>
    <row r="12" spans="2:17" x14ac:dyDescent="0.35">
      <c r="B12" s="506"/>
      <c r="C12" s="503"/>
      <c r="D12" s="50" t="s">
        <v>210</v>
      </c>
      <c r="E12" s="51"/>
      <c r="F12" s="52"/>
      <c r="G12" s="69"/>
      <c r="I12" s="108"/>
      <c r="J12" s="111"/>
      <c r="K12" s="100"/>
      <c r="L12" s="60"/>
      <c r="M12" s="101"/>
      <c r="N12" s="101"/>
      <c r="O12" s="101"/>
      <c r="P12" s="102"/>
      <c r="Q12" s="93"/>
    </row>
    <row r="13" spans="2:17" x14ac:dyDescent="0.35">
      <c r="B13" s="507"/>
      <c r="C13" s="504"/>
      <c r="D13" s="53" t="s">
        <v>209</v>
      </c>
      <c r="E13" s="54"/>
      <c r="F13" s="55"/>
      <c r="G13" s="70"/>
      <c r="I13" s="108"/>
      <c r="J13" s="111"/>
      <c r="K13" s="100"/>
      <c r="L13" s="60"/>
      <c r="M13" s="101"/>
      <c r="N13" s="101"/>
      <c r="O13" s="101"/>
      <c r="P13" s="102"/>
      <c r="Q13" s="93"/>
    </row>
    <row r="14" spans="2:17" ht="78" x14ac:dyDescent="0.35">
      <c r="B14" s="71">
        <v>2</v>
      </c>
      <c r="C14" s="62" t="s">
        <v>188</v>
      </c>
      <c r="D14" s="56" t="s">
        <v>223</v>
      </c>
      <c r="E14" s="56" t="s">
        <v>224</v>
      </c>
      <c r="F14" s="56" t="s">
        <v>225</v>
      </c>
      <c r="G14" s="72"/>
      <c r="I14" s="108"/>
      <c r="J14" s="111"/>
      <c r="K14" s="100"/>
      <c r="L14" s="60"/>
      <c r="M14" s="101"/>
      <c r="N14" s="101"/>
      <c r="O14" s="101"/>
      <c r="P14" s="102"/>
      <c r="Q14" s="93"/>
    </row>
    <row r="15" spans="2:17" ht="29" x14ac:dyDescent="0.35">
      <c r="B15" s="71">
        <v>3</v>
      </c>
      <c r="C15" s="62" t="s">
        <v>229</v>
      </c>
      <c r="D15" s="57" t="s">
        <v>226</v>
      </c>
      <c r="E15" s="57" t="s">
        <v>227</v>
      </c>
      <c r="F15" s="56" t="s">
        <v>230</v>
      </c>
      <c r="G15" s="73" t="s">
        <v>228</v>
      </c>
      <c r="I15" s="108"/>
      <c r="J15" s="111"/>
      <c r="K15" s="100"/>
      <c r="L15" s="60"/>
      <c r="M15" s="101"/>
      <c r="N15" s="101"/>
      <c r="O15" s="101"/>
      <c r="P15" s="102"/>
      <c r="Q15" s="94" t="s">
        <v>251</v>
      </c>
    </row>
    <row r="16" spans="2:17" ht="29" x14ac:dyDescent="0.35">
      <c r="B16" s="74">
        <v>4</v>
      </c>
      <c r="C16" s="63" t="s">
        <v>189</v>
      </c>
      <c r="D16" s="58"/>
      <c r="E16" s="59"/>
      <c r="F16" s="59"/>
      <c r="G16" s="75"/>
      <c r="I16" s="108"/>
      <c r="J16" s="111"/>
      <c r="K16" s="100"/>
      <c r="L16" s="60"/>
      <c r="M16" s="101"/>
      <c r="N16" s="101"/>
      <c r="O16" s="101"/>
      <c r="P16" s="102"/>
      <c r="Q16" s="94" t="s">
        <v>253</v>
      </c>
    </row>
    <row r="17" spans="2:17" ht="39.5" thickBot="1" x14ac:dyDescent="0.4">
      <c r="B17" s="76" t="s">
        <v>190</v>
      </c>
      <c r="C17" s="64" t="s">
        <v>193</v>
      </c>
      <c r="D17" s="83" t="s">
        <v>231</v>
      </c>
      <c r="E17" s="61" t="s">
        <v>232</v>
      </c>
      <c r="F17" s="52" t="s">
        <v>233</v>
      </c>
      <c r="G17" s="77"/>
      <c r="I17" s="109"/>
      <c r="J17" s="112"/>
      <c r="K17" s="103"/>
      <c r="L17" s="104"/>
      <c r="M17" s="105"/>
      <c r="N17" s="105"/>
      <c r="O17" s="105"/>
      <c r="P17" s="106"/>
      <c r="Q17" s="95" t="s">
        <v>252</v>
      </c>
    </row>
    <row r="18" spans="2:17" ht="45.5" customHeight="1" x14ac:dyDescent="0.35">
      <c r="B18" s="76" t="s">
        <v>191</v>
      </c>
      <c r="C18" s="64" t="s">
        <v>194</v>
      </c>
      <c r="D18" s="483" t="s">
        <v>234</v>
      </c>
      <c r="E18" s="484"/>
      <c r="F18" s="52" t="s">
        <v>235</v>
      </c>
      <c r="G18" s="77"/>
    </row>
    <row r="19" spans="2:17" ht="26.5" thickBot="1" x14ac:dyDescent="0.4">
      <c r="B19" s="78" t="s">
        <v>192</v>
      </c>
      <c r="C19" s="79" t="s">
        <v>195</v>
      </c>
      <c r="D19" s="84" t="s">
        <v>236</v>
      </c>
      <c r="E19" s="82" t="s">
        <v>237</v>
      </c>
      <c r="F19" s="80"/>
      <c r="G19" s="81"/>
    </row>
    <row r="20" spans="2:17" x14ac:dyDescent="0.35">
      <c r="B20" s="44"/>
      <c r="C20" s="44"/>
      <c r="D20" s="44"/>
      <c r="E20" s="44"/>
      <c r="F20" s="44"/>
      <c r="G20" s="44"/>
    </row>
    <row r="21" spans="2:17" x14ac:dyDescent="0.35">
      <c r="B21" s="44"/>
      <c r="C21" s="44"/>
      <c r="D21" s="44"/>
      <c r="E21" s="44"/>
      <c r="F21" s="44"/>
      <c r="G21" s="44"/>
      <c r="H21" s="44"/>
      <c r="I21" s="44"/>
    </row>
  </sheetData>
  <mergeCells count="12">
    <mergeCell ref="B3:G3"/>
    <mergeCell ref="D18:E18"/>
    <mergeCell ref="I3:Q3"/>
    <mergeCell ref="L4:P4"/>
    <mergeCell ref="I4:I5"/>
    <mergeCell ref="B4:B5"/>
    <mergeCell ref="C4:C5"/>
    <mergeCell ref="D4:G4"/>
    <mergeCell ref="D5:E5"/>
    <mergeCell ref="F5:G5"/>
    <mergeCell ref="C6:C13"/>
    <mergeCell ref="B6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CF4-55C4-4961-8887-0B98AD2EDF26}">
  <dimension ref="A1:AM140"/>
  <sheetViews>
    <sheetView topLeftCell="I7" zoomScaleNormal="100" workbookViewId="0">
      <selection activeCell="B12" sqref="B12"/>
    </sheetView>
  </sheetViews>
  <sheetFormatPr defaultColWidth="8.81640625" defaultRowHeight="13" x14ac:dyDescent="0.35"/>
  <cols>
    <col min="1" max="1" width="1.36328125" style="152" customWidth="1"/>
    <col min="2" max="2" width="25.81640625" style="140" customWidth="1"/>
    <col min="3" max="3" width="10.6328125" style="140" bestFit="1" customWidth="1"/>
    <col min="4" max="4" width="6.81640625" style="140" bestFit="1" customWidth="1"/>
    <col min="5" max="5" width="0.81640625" style="140" customWidth="1"/>
    <col min="6" max="6" width="19.54296875" style="140" customWidth="1"/>
    <col min="7" max="7" width="10.453125" style="140" customWidth="1"/>
    <col min="8" max="8" width="7.54296875" style="140" customWidth="1"/>
    <col min="9" max="9" width="10.453125" style="140" customWidth="1"/>
    <col min="10" max="10" width="7.81640625" style="140" customWidth="1"/>
    <col min="11" max="11" width="10.81640625" style="140" customWidth="1"/>
    <col min="12" max="12" width="12.54296875" style="140" customWidth="1"/>
    <col min="13" max="13" width="21.36328125" style="140" customWidth="1"/>
    <col min="14" max="15" width="9.08984375" style="140" customWidth="1"/>
    <col min="16" max="16" width="10" style="140" customWidth="1"/>
    <col min="17" max="17" width="8.81640625" style="140" customWidth="1"/>
    <col min="18" max="18" width="8.36328125" style="140" customWidth="1"/>
    <col min="19" max="19" width="8" style="140" customWidth="1"/>
    <col min="20" max="20" width="1.90625" style="140" customWidth="1"/>
    <col min="21" max="21" width="1.90625" style="152" customWidth="1"/>
    <col min="22" max="22" width="5.1796875" style="150" bestFit="1" customWidth="1"/>
    <col min="23" max="23" width="57.6328125" style="152" bestFit="1" customWidth="1"/>
    <col min="24" max="24" width="6.90625" style="150" customWidth="1"/>
    <col min="25" max="26" width="14.1796875" style="152" bestFit="1" customWidth="1"/>
    <col min="27" max="28" width="16.453125" style="152" bestFit="1" customWidth="1"/>
    <col min="29" max="30" width="13.81640625" style="152" hidden="1" customWidth="1"/>
    <col min="31" max="31" width="23.90625" style="152" customWidth="1"/>
    <col min="32" max="16384" width="8.81640625" style="152"/>
  </cols>
  <sheetData>
    <row r="1" spans="1:31" x14ac:dyDescent="0.35">
      <c r="B1" s="510" t="s">
        <v>28</v>
      </c>
      <c r="C1" s="510"/>
      <c r="I1" s="144">
        <v>0.7</v>
      </c>
      <c r="J1" s="144">
        <v>0.45</v>
      </c>
      <c r="K1" s="144">
        <v>0.06</v>
      </c>
      <c r="L1" s="145">
        <v>6</v>
      </c>
      <c r="M1" s="145">
        <v>6</v>
      </c>
      <c r="N1" s="146">
        <v>0.35</v>
      </c>
      <c r="O1" s="146">
        <v>0.35</v>
      </c>
      <c r="P1" s="138">
        <v>96</v>
      </c>
      <c r="Q1" s="138"/>
      <c r="R1" s="138"/>
      <c r="S1" s="138"/>
    </row>
    <row r="2" spans="1:31" ht="65.5" thickBot="1" x14ac:dyDescent="0.4">
      <c r="A2" s="153"/>
      <c r="B2" s="147" t="s">
        <v>0</v>
      </c>
      <c r="C2" s="140">
        <v>500</v>
      </c>
      <c r="F2" s="138" t="s">
        <v>322</v>
      </c>
      <c r="G2" s="138" t="s">
        <v>162</v>
      </c>
      <c r="H2" s="138" t="s">
        <v>163</v>
      </c>
      <c r="I2" s="144" t="s">
        <v>164</v>
      </c>
      <c r="J2" s="144" t="s">
        <v>417</v>
      </c>
      <c r="K2" s="138" t="s">
        <v>87</v>
      </c>
      <c r="L2" s="138" t="s">
        <v>418</v>
      </c>
      <c r="M2" s="138" t="s">
        <v>419</v>
      </c>
      <c r="N2" s="138" t="s">
        <v>421</v>
      </c>
      <c r="O2" s="138" t="s">
        <v>420</v>
      </c>
      <c r="P2" s="138" t="s">
        <v>422</v>
      </c>
      <c r="Q2" s="138" t="s">
        <v>423</v>
      </c>
      <c r="R2" s="138" t="s">
        <v>424</v>
      </c>
      <c r="S2" s="138" t="s">
        <v>425</v>
      </c>
    </row>
    <row r="3" spans="1:31" ht="21.5" thickBot="1" x14ac:dyDescent="0.4">
      <c r="B3" s="147" t="s">
        <v>1</v>
      </c>
      <c r="C3" s="140">
        <v>200000</v>
      </c>
      <c r="F3" s="140" t="s">
        <v>304</v>
      </c>
      <c r="G3" s="148">
        <v>0.12</v>
      </c>
      <c r="H3" s="140">
        <f t="shared" ref="H3:H9" si="0">$C$9*G3</f>
        <v>53760</v>
      </c>
      <c r="I3" s="140">
        <f t="shared" ref="I3:I9" si="1">H3*$I$1</f>
        <v>37632</v>
      </c>
      <c r="J3" s="140">
        <f>I3*$J$1</f>
        <v>16934.400000000001</v>
      </c>
      <c r="K3" s="139">
        <f t="shared" ref="K3:K9" si="2">I3*$K$1</f>
        <v>2257.92</v>
      </c>
      <c r="L3" s="139">
        <f>J3/$L$1</f>
        <v>2822.4</v>
      </c>
      <c r="M3" s="139">
        <f>K3/$M$1</f>
        <v>376.32</v>
      </c>
      <c r="N3" s="139">
        <f t="shared" ref="N3:N9" si="3">L3*$N$1</f>
        <v>987.83999999999992</v>
      </c>
      <c r="O3" s="139">
        <f>M3*$O$1</f>
        <v>131.71199999999999</v>
      </c>
      <c r="P3" s="139">
        <f>N3/$G$34</f>
        <v>13.719999999999999</v>
      </c>
      <c r="Q3" s="139">
        <f>O3/$G$34</f>
        <v>1.8293333333333333</v>
      </c>
      <c r="R3" s="139">
        <f>N3/$H$18*2</f>
        <v>27.439999999999998</v>
      </c>
      <c r="S3" s="139">
        <f>O3/$H$18*2</f>
        <v>3.6586666666666665</v>
      </c>
      <c r="V3" s="514" t="s">
        <v>544</v>
      </c>
      <c r="W3" s="515"/>
      <c r="X3" s="515"/>
      <c r="Y3" s="515"/>
      <c r="Z3" s="515"/>
      <c r="AA3" s="515"/>
      <c r="AB3" s="515"/>
      <c r="AC3" s="515"/>
      <c r="AD3" s="515"/>
      <c r="AE3" s="516"/>
    </row>
    <row r="4" spans="1:31" s="154" customFormat="1" ht="38.5" customHeight="1" x14ac:dyDescent="0.35">
      <c r="B4" s="147" t="s">
        <v>3</v>
      </c>
      <c r="C4" s="140" t="s">
        <v>2</v>
      </c>
      <c r="D4" s="140"/>
      <c r="E4" s="140"/>
      <c r="F4" s="140" t="s">
        <v>314</v>
      </c>
      <c r="G4" s="148">
        <v>0.12</v>
      </c>
      <c r="H4" s="140">
        <f t="shared" si="0"/>
        <v>53760</v>
      </c>
      <c r="I4" s="140">
        <f t="shared" si="1"/>
        <v>37632</v>
      </c>
      <c r="J4" s="140">
        <f t="shared" ref="J4:J9" si="4">I4*$J$1</f>
        <v>16934.400000000001</v>
      </c>
      <c r="K4" s="139">
        <f t="shared" si="2"/>
        <v>2257.92</v>
      </c>
      <c r="L4" s="139">
        <f t="shared" ref="L4:L9" si="5">J4/$L$1</f>
        <v>2822.4</v>
      </c>
      <c r="M4" s="139">
        <f t="shared" ref="M4:M9" si="6">K4/$M$1</f>
        <v>376.32</v>
      </c>
      <c r="N4" s="139">
        <f t="shared" si="3"/>
        <v>987.83999999999992</v>
      </c>
      <c r="O4" s="139">
        <f t="shared" ref="O4:O9" si="7">M4*$O$1</f>
        <v>131.71199999999999</v>
      </c>
      <c r="P4" s="139">
        <f t="shared" ref="P4:P9" si="8">N4/$G$34</f>
        <v>13.719999999999999</v>
      </c>
      <c r="Q4" s="139">
        <f t="shared" ref="Q4:Q9" si="9">O4/$G$34</f>
        <v>1.8293333333333333</v>
      </c>
      <c r="R4" s="139">
        <f t="shared" ref="R4:R9" si="10">N4/$H$18*2</f>
        <v>27.439999999999998</v>
      </c>
      <c r="S4" s="139">
        <f t="shared" ref="S4:S9" si="11">O4/$H$18*2</f>
        <v>3.6586666666666665</v>
      </c>
      <c r="T4" s="138"/>
      <c r="V4" s="178" t="s">
        <v>186</v>
      </c>
      <c r="W4" s="179" t="s">
        <v>540</v>
      </c>
      <c r="X4" s="513" t="s">
        <v>541</v>
      </c>
      <c r="Y4" s="513"/>
      <c r="Z4" s="517" t="s">
        <v>542</v>
      </c>
      <c r="AA4" s="517"/>
      <c r="AB4" s="517"/>
      <c r="AC4" s="517"/>
      <c r="AD4" s="517"/>
      <c r="AE4" s="180" t="s">
        <v>543</v>
      </c>
    </row>
    <row r="5" spans="1:31" s="154" customFormat="1" ht="22.5" customHeight="1" x14ac:dyDescent="0.35">
      <c r="B5" s="147" t="s">
        <v>4</v>
      </c>
      <c r="C5" s="148">
        <v>0.7</v>
      </c>
      <c r="D5" s="140"/>
      <c r="E5" s="140"/>
      <c r="F5" s="140" t="s">
        <v>315</v>
      </c>
      <c r="G5" s="148">
        <v>0.13</v>
      </c>
      <c r="H5" s="140">
        <f t="shared" si="0"/>
        <v>58240</v>
      </c>
      <c r="I5" s="140">
        <f t="shared" si="1"/>
        <v>40768</v>
      </c>
      <c r="J5" s="140">
        <f t="shared" si="4"/>
        <v>18345.600000000002</v>
      </c>
      <c r="K5" s="139">
        <f t="shared" si="2"/>
        <v>2446.08</v>
      </c>
      <c r="L5" s="139">
        <f t="shared" si="5"/>
        <v>3057.6000000000004</v>
      </c>
      <c r="M5" s="139">
        <f t="shared" si="6"/>
        <v>407.68</v>
      </c>
      <c r="N5" s="139">
        <f t="shared" si="3"/>
        <v>1070.1600000000001</v>
      </c>
      <c r="O5" s="139">
        <f t="shared" si="7"/>
        <v>142.68799999999999</v>
      </c>
      <c r="P5" s="139">
        <f t="shared" si="8"/>
        <v>14.863333333333335</v>
      </c>
      <c r="Q5" s="139">
        <f t="shared" si="9"/>
        <v>1.9817777777777776</v>
      </c>
      <c r="R5" s="139">
        <f t="shared" si="10"/>
        <v>29.72666666666667</v>
      </c>
      <c r="S5" s="139">
        <f t="shared" si="11"/>
        <v>3.9635555555555553</v>
      </c>
      <c r="T5" s="138"/>
      <c r="V5" s="181" t="s">
        <v>274</v>
      </c>
      <c r="W5" s="182" t="s">
        <v>239</v>
      </c>
      <c r="X5" s="183" t="s">
        <v>265</v>
      </c>
      <c r="Y5" s="183" t="s">
        <v>545</v>
      </c>
      <c r="Z5" s="183" t="s">
        <v>241</v>
      </c>
      <c r="AA5" s="183" t="s">
        <v>242</v>
      </c>
      <c r="AB5" s="183" t="s">
        <v>243</v>
      </c>
      <c r="AC5" s="183" t="s">
        <v>244</v>
      </c>
      <c r="AD5" s="183" t="s">
        <v>245</v>
      </c>
      <c r="AE5" s="184" t="s">
        <v>246</v>
      </c>
    </row>
    <row r="6" spans="1:31" ht="23.5" customHeight="1" x14ac:dyDescent="0.35">
      <c r="B6" s="147" t="s">
        <v>5</v>
      </c>
      <c r="C6" s="149">
        <v>8000000</v>
      </c>
      <c r="F6" s="140" t="s">
        <v>316</v>
      </c>
      <c r="G6" s="148">
        <v>0.13</v>
      </c>
      <c r="H6" s="140">
        <f t="shared" si="0"/>
        <v>58240</v>
      </c>
      <c r="I6" s="140">
        <f t="shared" si="1"/>
        <v>40768</v>
      </c>
      <c r="J6" s="140">
        <f t="shared" si="4"/>
        <v>18345.600000000002</v>
      </c>
      <c r="K6" s="139">
        <f t="shared" si="2"/>
        <v>2446.08</v>
      </c>
      <c r="L6" s="139">
        <f t="shared" si="5"/>
        <v>3057.6000000000004</v>
      </c>
      <c r="M6" s="139">
        <f t="shared" si="6"/>
        <v>407.68</v>
      </c>
      <c r="N6" s="139">
        <f t="shared" si="3"/>
        <v>1070.1600000000001</v>
      </c>
      <c r="O6" s="139">
        <f t="shared" si="7"/>
        <v>142.68799999999999</v>
      </c>
      <c r="P6" s="139">
        <f t="shared" si="8"/>
        <v>14.863333333333335</v>
      </c>
      <c r="Q6" s="139">
        <f t="shared" si="9"/>
        <v>1.9817777777777776</v>
      </c>
      <c r="R6" s="139">
        <f t="shared" si="10"/>
        <v>29.72666666666667</v>
      </c>
      <c r="S6" s="139">
        <f t="shared" si="11"/>
        <v>3.9635555555555553</v>
      </c>
      <c r="V6" s="230">
        <v>1</v>
      </c>
      <c r="W6" s="231" t="s">
        <v>261</v>
      </c>
      <c r="X6" s="232"/>
      <c r="Y6" s="231"/>
      <c r="Z6" s="231"/>
      <c r="AA6" s="231"/>
      <c r="AB6" s="231"/>
      <c r="AC6" s="231"/>
      <c r="AD6" s="231"/>
      <c r="AE6" s="233"/>
    </row>
    <row r="7" spans="1:31" ht="15.5" customHeight="1" x14ac:dyDescent="0.35">
      <c r="B7" s="147" t="s">
        <v>142</v>
      </c>
      <c r="C7" s="149">
        <f>C6*D7</f>
        <v>1920000</v>
      </c>
      <c r="D7" s="144">
        <v>0.24</v>
      </c>
      <c r="F7" s="140" t="s">
        <v>317</v>
      </c>
      <c r="G7" s="148">
        <v>0.14000000000000001</v>
      </c>
      <c r="H7" s="140">
        <f t="shared" si="0"/>
        <v>62720.000000000007</v>
      </c>
      <c r="I7" s="140">
        <f t="shared" si="1"/>
        <v>43904</v>
      </c>
      <c r="J7" s="140">
        <f t="shared" si="4"/>
        <v>19756.8</v>
      </c>
      <c r="K7" s="139">
        <f t="shared" si="2"/>
        <v>2634.24</v>
      </c>
      <c r="L7" s="139">
        <f t="shared" si="5"/>
        <v>3292.7999999999997</v>
      </c>
      <c r="M7" s="139">
        <f t="shared" si="6"/>
        <v>439.03999999999996</v>
      </c>
      <c r="N7" s="139">
        <f t="shared" si="3"/>
        <v>1152.4799999999998</v>
      </c>
      <c r="O7" s="139">
        <f t="shared" si="7"/>
        <v>153.66399999999999</v>
      </c>
      <c r="P7" s="139">
        <f t="shared" si="8"/>
        <v>16.006666666666664</v>
      </c>
      <c r="Q7" s="139">
        <f t="shared" si="9"/>
        <v>2.1342222222222222</v>
      </c>
      <c r="R7" s="139">
        <f t="shared" si="10"/>
        <v>32.013333333333328</v>
      </c>
      <c r="S7" s="139">
        <f t="shared" si="11"/>
        <v>4.2684444444444445</v>
      </c>
      <c r="V7" s="194" t="s">
        <v>275</v>
      </c>
      <c r="W7" s="195" t="s">
        <v>295</v>
      </c>
      <c r="X7" s="196"/>
      <c r="Y7" s="195"/>
      <c r="Z7" s="195"/>
      <c r="AA7" s="195"/>
      <c r="AB7" s="195"/>
      <c r="AC7" s="195"/>
      <c r="AD7" s="195"/>
      <c r="AE7" s="197"/>
    </row>
    <row r="8" spans="1:31" x14ac:dyDescent="0.35">
      <c r="B8" s="147" t="s">
        <v>143</v>
      </c>
      <c r="C8" s="140">
        <f>C7/30</f>
        <v>64000</v>
      </c>
      <c r="D8" s="144" t="s">
        <v>145</v>
      </c>
      <c r="F8" s="140" t="s">
        <v>318</v>
      </c>
      <c r="G8" s="148">
        <v>0.17</v>
      </c>
      <c r="H8" s="140">
        <f t="shared" si="0"/>
        <v>76160</v>
      </c>
      <c r="I8" s="140">
        <f t="shared" si="1"/>
        <v>53312</v>
      </c>
      <c r="J8" s="140">
        <f t="shared" si="4"/>
        <v>23990.400000000001</v>
      </c>
      <c r="K8" s="139">
        <f t="shared" si="2"/>
        <v>3198.72</v>
      </c>
      <c r="L8" s="139">
        <f t="shared" si="5"/>
        <v>3998.4</v>
      </c>
      <c r="M8" s="139">
        <f t="shared" si="6"/>
        <v>533.12</v>
      </c>
      <c r="N8" s="139">
        <f t="shared" si="3"/>
        <v>1399.44</v>
      </c>
      <c r="O8" s="139">
        <f t="shared" si="7"/>
        <v>186.59199999999998</v>
      </c>
      <c r="P8" s="139">
        <f t="shared" si="8"/>
        <v>19.436666666666667</v>
      </c>
      <c r="Q8" s="139">
        <f t="shared" si="9"/>
        <v>2.5915555555555554</v>
      </c>
      <c r="R8" s="139">
        <f t="shared" si="10"/>
        <v>38.873333333333335</v>
      </c>
      <c r="S8" s="139">
        <f t="shared" si="11"/>
        <v>5.1831111111111108</v>
      </c>
      <c r="V8" s="198" t="s">
        <v>276</v>
      </c>
      <c r="W8" s="142" t="s">
        <v>270</v>
      </c>
      <c r="X8" s="150" t="s">
        <v>266</v>
      </c>
      <c r="Y8" s="151">
        <v>2</v>
      </c>
      <c r="Z8" s="151">
        <v>2</v>
      </c>
      <c r="AA8" s="151">
        <f t="shared" ref="AA8:AB11" si="12">Z8*$N$43+Z8</f>
        <v>2.5</v>
      </c>
      <c r="AB8" s="151">
        <f t="shared" si="12"/>
        <v>3.125</v>
      </c>
      <c r="AC8" s="151">
        <v>2</v>
      </c>
      <c r="AD8" s="151">
        <v>2</v>
      </c>
      <c r="AE8" s="199"/>
    </row>
    <row r="9" spans="1:31" x14ac:dyDescent="0.35">
      <c r="B9" s="147" t="s">
        <v>144</v>
      </c>
      <c r="C9" s="140">
        <f>C8*7</f>
        <v>448000</v>
      </c>
      <c r="D9" s="144"/>
      <c r="F9" s="140" t="s">
        <v>319</v>
      </c>
      <c r="G9" s="148">
        <v>0.19</v>
      </c>
      <c r="H9" s="140">
        <f t="shared" si="0"/>
        <v>85120</v>
      </c>
      <c r="I9" s="140">
        <f t="shared" si="1"/>
        <v>59583.999999999993</v>
      </c>
      <c r="J9" s="140">
        <f t="shared" si="4"/>
        <v>26812.799999999996</v>
      </c>
      <c r="K9" s="139">
        <f t="shared" si="2"/>
        <v>3575.0399999999995</v>
      </c>
      <c r="L9" s="139">
        <f t="shared" si="5"/>
        <v>4468.7999999999993</v>
      </c>
      <c r="M9" s="139">
        <f t="shared" si="6"/>
        <v>595.83999999999992</v>
      </c>
      <c r="N9" s="139">
        <f t="shared" si="3"/>
        <v>1564.0799999999997</v>
      </c>
      <c r="O9" s="139">
        <f t="shared" si="7"/>
        <v>208.54399999999995</v>
      </c>
      <c r="P9" s="139">
        <f t="shared" si="8"/>
        <v>21.723333333333329</v>
      </c>
      <c r="Q9" s="139">
        <f t="shared" si="9"/>
        <v>2.8964444444444437</v>
      </c>
      <c r="R9" s="139">
        <f t="shared" si="10"/>
        <v>43.446666666666658</v>
      </c>
      <c r="S9" s="139">
        <f t="shared" si="11"/>
        <v>5.7928888888888874</v>
      </c>
      <c r="V9" s="198" t="s">
        <v>277</v>
      </c>
      <c r="W9" s="142" t="s">
        <v>271</v>
      </c>
      <c r="X9" s="150" t="s">
        <v>266</v>
      </c>
      <c r="Y9" s="151">
        <v>3</v>
      </c>
      <c r="Z9" s="151">
        <v>3</v>
      </c>
      <c r="AA9" s="151">
        <f t="shared" si="12"/>
        <v>3.75</v>
      </c>
      <c r="AB9" s="151">
        <f t="shared" si="12"/>
        <v>4.6875</v>
      </c>
      <c r="AC9" s="151">
        <v>3</v>
      </c>
      <c r="AD9" s="151">
        <v>1</v>
      </c>
      <c r="AE9" s="199"/>
    </row>
    <row r="10" spans="1:31" ht="22.5" customHeight="1" x14ac:dyDescent="0.35">
      <c r="B10" s="147" t="s">
        <v>6</v>
      </c>
      <c r="C10" s="140">
        <v>70</v>
      </c>
      <c r="F10" s="138" t="s">
        <v>72</v>
      </c>
      <c r="G10" s="144">
        <f>SUM(G3:G9)</f>
        <v>1</v>
      </c>
      <c r="H10" s="138">
        <f>SUM(H3:H9)</f>
        <v>448000</v>
      </c>
      <c r="I10" s="138">
        <f>SUM(I3:I9)</f>
        <v>313600</v>
      </c>
      <c r="J10" s="138">
        <f>SUM(J3:J9)</f>
        <v>141120</v>
      </c>
      <c r="K10" s="145">
        <f>SUM(K3:K9)</f>
        <v>18816</v>
      </c>
      <c r="L10" s="145">
        <f>AVERAGE(L3:L9)</f>
        <v>3360</v>
      </c>
      <c r="M10" s="145">
        <f>AVERAGE(M3:M9)</f>
        <v>448</v>
      </c>
      <c r="N10" s="145">
        <f>SUM(N3:N9)</f>
        <v>8232</v>
      </c>
      <c r="O10" s="145">
        <f>SUM(O3:O9)</f>
        <v>1097.5999999999999</v>
      </c>
      <c r="P10" s="145">
        <f>MAX(P3:P9)</f>
        <v>21.723333333333329</v>
      </c>
      <c r="Q10" s="145">
        <f>MAX(Q3:Q9)</f>
        <v>2.8964444444444437</v>
      </c>
      <c r="R10" s="145">
        <f t="shared" ref="R10:S10" si="13">MAX(R3:R9)</f>
        <v>43.446666666666658</v>
      </c>
      <c r="S10" s="145">
        <f t="shared" si="13"/>
        <v>5.7928888888888874</v>
      </c>
      <c r="V10" s="198" t="s">
        <v>278</v>
      </c>
      <c r="W10" s="142" t="s">
        <v>272</v>
      </c>
      <c r="X10" s="150" t="s">
        <v>266</v>
      </c>
      <c r="Y10" s="151">
        <v>1</v>
      </c>
      <c r="Z10" s="151">
        <v>1</v>
      </c>
      <c r="AA10" s="151">
        <f t="shared" si="12"/>
        <v>1.25</v>
      </c>
      <c r="AB10" s="151">
        <f t="shared" si="12"/>
        <v>1.5625</v>
      </c>
      <c r="AC10" s="151">
        <v>1</v>
      </c>
      <c r="AD10" s="151">
        <v>1</v>
      </c>
      <c r="AE10" s="199"/>
    </row>
    <row r="11" spans="1:31" x14ac:dyDescent="0.35">
      <c r="B11" s="147" t="s">
        <v>7</v>
      </c>
      <c r="C11" s="140" t="s">
        <v>8</v>
      </c>
      <c r="P11" s="140" t="s">
        <v>488</v>
      </c>
      <c r="Q11" s="140" t="s">
        <v>488</v>
      </c>
      <c r="R11" s="140" t="s">
        <v>488</v>
      </c>
      <c r="S11" s="140" t="s">
        <v>488</v>
      </c>
      <c r="V11" s="198" t="s">
        <v>279</v>
      </c>
      <c r="W11" s="142" t="s">
        <v>116</v>
      </c>
      <c r="X11" s="150" t="s">
        <v>266</v>
      </c>
      <c r="Y11" s="151">
        <f>SUM(Y8:Y10)</f>
        <v>6</v>
      </c>
      <c r="Z11" s="151">
        <v>6</v>
      </c>
      <c r="AA11" s="151">
        <f t="shared" si="12"/>
        <v>7.5</v>
      </c>
      <c r="AB11" s="151">
        <f t="shared" si="12"/>
        <v>9.375</v>
      </c>
      <c r="AC11" s="151">
        <f t="shared" ref="AC11" si="14">SUM(AC8:AC10)</f>
        <v>6</v>
      </c>
      <c r="AD11" s="151">
        <v>6</v>
      </c>
      <c r="AE11" s="199"/>
    </row>
    <row r="12" spans="1:31" ht="15" customHeight="1" x14ac:dyDescent="0.35">
      <c r="B12" s="147" t="s">
        <v>9</v>
      </c>
      <c r="C12" s="140" t="s">
        <v>10</v>
      </c>
      <c r="F12" s="138" t="s">
        <v>92</v>
      </c>
      <c r="G12" s="138" t="s">
        <v>325</v>
      </c>
      <c r="H12" s="138" t="s">
        <v>174</v>
      </c>
      <c r="I12" s="138" t="s">
        <v>137</v>
      </c>
      <c r="J12" s="138"/>
      <c r="P12" s="140">
        <v>3</v>
      </c>
      <c r="Q12" s="140">
        <v>1</v>
      </c>
      <c r="R12" s="140">
        <v>3</v>
      </c>
      <c r="S12" s="140">
        <v>1</v>
      </c>
      <c r="V12" s="198" t="s">
        <v>280</v>
      </c>
      <c r="W12" s="152" t="s">
        <v>499</v>
      </c>
      <c r="X12" s="150" t="s">
        <v>273</v>
      </c>
      <c r="Y12" s="151">
        <v>10000</v>
      </c>
      <c r="Z12" s="151">
        <v>10000</v>
      </c>
      <c r="AA12" s="151">
        <f>(Y12*$N$21)+Y12</f>
        <v>10500</v>
      </c>
      <c r="AB12" s="151">
        <f>(AA12*$N$21)+AA12</f>
        <v>11025</v>
      </c>
      <c r="AC12" s="151">
        <f>(AB12*$N$21)+AB12</f>
        <v>11576.25</v>
      </c>
      <c r="AD12" s="151">
        <f>(AC12*N21)+AC12</f>
        <v>12155.0625</v>
      </c>
      <c r="AE12" s="199"/>
    </row>
    <row r="13" spans="1:31" x14ac:dyDescent="0.35">
      <c r="F13" s="140" t="s">
        <v>320</v>
      </c>
      <c r="G13" s="140" t="s">
        <v>323</v>
      </c>
      <c r="H13" s="140">
        <v>3</v>
      </c>
      <c r="I13" s="140">
        <v>3</v>
      </c>
      <c r="M13" s="138" t="s">
        <v>444</v>
      </c>
      <c r="N13" s="138" t="s">
        <v>445</v>
      </c>
      <c r="P13" s="139">
        <v>25</v>
      </c>
      <c r="Q13" s="139">
        <v>4</v>
      </c>
      <c r="R13" s="139">
        <v>50</v>
      </c>
      <c r="S13" s="139">
        <v>8</v>
      </c>
      <c r="V13" s="198" t="s">
        <v>281</v>
      </c>
      <c r="W13" s="153" t="s">
        <v>500</v>
      </c>
      <c r="X13" s="154" t="s">
        <v>273</v>
      </c>
      <c r="Y13" s="155">
        <f>Y11*Y12</f>
        <v>60000</v>
      </c>
      <c r="Z13" s="155">
        <f>Z11*Z12</f>
        <v>60000</v>
      </c>
      <c r="AA13" s="155">
        <f t="shared" ref="AA13:AD13" si="15">AA11*AA12</f>
        <v>78750</v>
      </c>
      <c r="AB13" s="155">
        <f t="shared" si="15"/>
        <v>103359.375</v>
      </c>
      <c r="AC13" s="155">
        <f t="shared" si="15"/>
        <v>69457.5</v>
      </c>
      <c r="AD13" s="155">
        <f t="shared" si="15"/>
        <v>72930.375</v>
      </c>
      <c r="AE13" s="199"/>
    </row>
    <row r="14" spans="1:31" x14ac:dyDescent="0.35">
      <c r="B14" s="509" t="s">
        <v>140</v>
      </c>
      <c r="C14" s="509"/>
      <c r="F14" s="140" t="s">
        <v>321</v>
      </c>
      <c r="G14" s="140" t="s">
        <v>324</v>
      </c>
      <c r="H14" s="140">
        <v>3</v>
      </c>
      <c r="I14" s="140">
        <v>3</v>
      </c>
      <c r="M14" s="147" t="s">
        <v>446</v>
      </c>
      <c r="N14" s="148">
        <v>0.35</v>
      </c>
      <c r="P14" s="152"/>
      <c r="R14" s="139"/>
      <c r="V14" s="198" t="s">
        <v>282</v>
      </c>
      <c r="W14" s="152" t="s">
        <v>155</v>
      </c>
      <c r="X14" s="150" t="s">
        <v>266</v>
      </c>
      <c r="Y14" s="151">
        <v>2</v>
      </c>
      <c r="Z14" s="151">
        <v>2</v>
      </c>
      <c r="AA14" s="151">
        <f>Z14*$N$43+Z14</f>
        <v>2.5</v>
      </c>
      <c r="AB14" s="151">
        <f>AA14*$N$43+AA14</f>
        <v>3.125</v>
      </c>
      <c r="AC14" s="150">
        <v>2</v>
      </c>
      <c r="AD14" s="150">
        <v>2</v>
      </c>
      <c r="AE14" s="199"/>
    </row>
    <row r="15" spans="1:31" x14ac:dyDescent="0.35">
      <c r="B15" s="152" t="s">
        <v>138</v>
      </c>
      <c r="C15" s="152">
        <v>5</v>
      </c>
      <c r="F15" s="138" t="s">
        <v>72</v>
      </c>
      <c r="G15" s="138"/>
      <c r="H15" s="138">
        <f>SUM(H13:H14)</f>
        <v>6</v>
      </c>
      <c r="I15" s="138">
        <f>SUM(I13:I14)</f>
        <v>6</v>
      </c>
      <c r="J15" s="138"/>
      <c r="M15" s="142" t="s">
        <v>432</v>
      </c>
      <c r="N15" s="148">
        <v>0.25</v>
      </c>
      <c r="P15" s="152"/>
      <c r="V15" s="198" t="s">
        <v>283</v>
      </c>
      <c r="W15" s="152" t="s">
        <v>501</v>
      </c>
      <c r="X15" s="150" t="s">
        <v>273</v>
      </c>
      <c r="Y15" s="151">
        <v>15000</v>
      </c>
      <c r="Z15" s="151">
        <v>15000</v>
      </c>
      <c r="AA15" s="169">
        <f>Z15*$N$21+Z15</f>
        <v>15750</v>
      </c>
      <c r="AB15" s="169">
        <f>AA15*$N$21+AA15</f>
        <v>16537.5</v>
      </c>
      <c r="AC15" s="169">
        <f>AB15*$N$21+AB15</f>
        <v>17364.375</v>
      </c>
      <c r="AD15" s="169">
        <f>AC15*$N$21+AC15</f>
        <v>18232.59375</v>
      </c>
      <c r="AE15" s="199"/>
    </row>
    <row r="16" spans="1:31" x14ac:dyDescent="0.35">
      <c r="B16" s="152" t="s">
        <v>139</v>
      </c>
      <c r="C16" s="152">
        <v>5</v>
      </c>
      <c r="F16" s="511" t="s">
        <v>166</v>
      </c>
      <c r="G16" s="511"/>
      <c r="H16" s="140">
        <v>3</v>
      </c>
      <c r="I16" s="140">
        <v>2</v>
      </c>
      <c r="M16" s="147" t="s">
        <v>447</v>
      </c>
      <c r="N16" s="140">
        <v>500</v>
      </c>
      <c r="P16" s="152"/>
      <c r="V16" s="198" t="s">
        <v>284</v>
      </c>
      <c r="W16" s="153" t="s">
        <v>502</v>
      </c>
      <c r="X16" s="154" t="s">
        <v>273</v>
      </c>
      <c r="Y16" s="155">
        <f>Y14*Y15</f>
        <v>30000</v>
      </c>
      <c r="Z16" s="155">
        <f>Z14*Z15</f>
        <v>30000</v>
      </c>
      <c r="AA16" s="155">
        <f t="shared" ref="AA16:AD16" si="16">AA14*AA15</f>
        <v>39375</v>
      </c>
      <c r="AB16" s="155">
        <f t="shared" si="16"/>
        <v>51679.6875</v>
      </c>
      <c r="AC16" s="155">
        <f t="shared" si="16"/>
        <v>34728.75</v>
      </c>
      <c r="AD16" s="155">
        <f t="shared" si="16"/>
        <v>36465.1875</v>
      </c>
      <c r="AE16" s="200"/>
    </row>
    <row r="17" spans="2:31" x14ac:dyDescent="0.35">
      <c r="B17" s="152" t="s">
        <v>141</v>
      </c>
      <c r="C17" s="152">
        <f>SUM(C15:C16)</f>
        <v>10</v>
      </c>
      <c r="F17" s="511" t="s">
        <v>167</v>
      </c>
      <c r="G17" s="511"/>
      <c r="H17" s="140">
        <v>12</v>
      </c>
      <c r="I17" s="140">
        <v>2</v>
      </c>
      <c r="M17" s="147" t="s">
        <v>448</v>
      </c>
      <c r="N17" s="148">
        <v>0.05</v>
      </c>
      <c r="P17" s="152"/>
      <c r="V17" s="201" t="s">
        <v>413</v>
      </c>
      <c r="W17" s="188" t="s">
        <v>485</v>
      </c>
      <c r="X17" s="189" t="s">
        <v>273</v>
      </c>
      <c r="Y17" s="190">
        <f>(Y13+Y16)*$N$34</f>
        <v>1080000</v>
      </c>
      <c r="Z17" s="190">
        <f>(Z13+Z16)*$N$34</f>
        <v>1080000</v>
      </c>
      <c r="AA17" s="190">
        <f t="shared" ref="AA17:AD17" si="17">(AA13+AA16)*$N$34</f>
        <v>1417500</v>
      </c>
      <c r="AB17" s="190">
        <f t="shared" si="17"/>
        <v>1860468.75</v>
      </c>
      <c r="AC17" s="190">
        <f t="shared" si="17"/>
        <v>1250235</v>
      </c>
      <c r="AD17" s="190">
        <f t="shared" si="17"/>
        <v>1312746.75</v>
      </c>
      <c r="AE17" s="202"/>
    </row>
    <row r="18" spans="2:31" ht="29" customHeight="1" x14ac:dyDescent="0.35">
      <c r="B18" s="152" t="s">
        <v>152</v>
      </c>
      <c r="C18" s="170">
        <f>K10</f>
        <v>18816</v>
      </c>
      <c r="F18" s="511" t="s">
        <v>168</v>
      </c>
      <c r="G18" s="511"/>
      <c r="H18" s="140">
        <f>H17*H15</f>
        <v>72</v>
      </c>
      <c r="I18" s="140">
        <f>I17*I13</f>
        <v>6</v>
      </c>
      <c r="M18" s="147" t="s">
        <v>450</v>
      </c>
      <c r="N18" s="148">
        <v>0.2</v>
      </c>
      <c r="P18" s="152"/>
      <c r="V18" s="198" t="s">
        <v>414</v>
      </c>
      <c r="W18" s="152" t="s">
        <v>416</v>
      </c>
      <c r="X18" s="150" t="s">
        <v>266</v>
      </c>
      <c r="Y18" s="151">
        <v>9</v>
      </c>
      <c r="Z18" s="151">
        <v>9</v>
      </c>
      <c r="AA18" s="152">
        <v>9</v>
      </c>
      <c r="AB18" s="152">
        <v>9</v>
      </c>
      <c r="AC18" s="152">
        <v>9</v>
      </c>
      <c r="AD18" s="150">
        <v>9</v>
      </c>
      <c r="AE18" s="200"/>
    </row>
    <row r="19" spans="2:31" ht="23" customHeight="1" x14ac:dyDescent="0.35">
      <c r="B19" s="152" t="s">
        <v>153</v>
      </c>
      <c r="C19" s="170">
        <f>C18/7*30</f>
        <v>80640</v>
      </c>
      <c r="F19" s="511" t="s">
        <v>110</v>
      </c>
      <c r="G19" s="511"/>
      <c r="H19" s="140">
        <v>3</v>
      </c>
      <c r="I19" s="140">
        <v>55</v>
      </c>
      <c r="M19" s="147" t="s">
        <v>451</v>
      </c>
      <c r="P19" s="152"/>
      <c r="V19" s="203" t="s">
        <v>275</v>
      </c>
      <c r="W19" s="204" t="s">
        <v>486</v>
      </c>
      <c r="X19" s="205" t="s">
        <v>273</v>
      </c>
      <c r="Y19" s="206">
        <f>(Y18*Y17)</f>
        <v>9720000</v>
      </c>
      <c r="Z19" s="206">
        <f>(Z18*Z17)</f>
        <v>9720000</v>
      </c>
      <c r="AA19" s="206">
        <f t="shared" ref="AA19:AD19" si="18">(AA18*AA17)</f>
        <v>12757500</v>
      </c>
      <c r="AB19" s="206">
        <f t="shared" si="18"/>
        <v>16744218.75</v>
      </c>
      <c r="AC19" s="206">
        <f t="shared" si="18"/>
        <v>11252115</v>
      </c>
      <c r="AD19" s="206">
        <f t="shared" si="18"/>
        <v>11814720.75</v>
      </c>
      <c r="AE19" s="207"/>
    </row>
    <row r="20" spans="2:31" ht="22.5" customHeight="1" x14ac:dyDescent="0.35">
      <c r="B20" s="152" t="s">
        <v>146</v>
      </c>
      <c r="C20" s="166">
        <v>0.5</v>
      </c>
      <c r="F20" s="511" t="s">
        <v>111</v>
      </c>
      <c r="G20" s="511"/>
      <c r="H20" s="140">
        <f>H19*H18*6</f>
        <v>1296</v>
      </c>
      <c r="I20" s="140">
        <f>I19*I18</f>
        <v>330</v>
      </c>
      <c r="M20" s="147" t="s">
        <v>349</v>
      </c>
      <c r="N20" s="148">
        <v>0.05</v>
      </c>
      <c r="P20" s="152"/>
      <c r="V20" s="208" t="s">
        <v>440</v>
      </c>
      <c r="W20" s="209" t="s">
        <v>439</v>
      </c>
      <c r="X20" s="210" t="s">
        <v>266</v>
      </c>
      <c r="Y20" s="209">
        <v>1</v>
      </c>
      <c r="Z20" s="209">
        <v>1</v>
      </c>
      <c r="AA20" s="209">
        <v>1</v>
      </c>
      <c r="AB20" s="209">
        <v>1</v>
      </c>
      <c r="AC20" s="209">
        <v>1</v>
      </c>
      <c r="AD20" s="209">
        <v>1</v>
      </c>
      <c r="AE20" s="211"/>
    </row>
    <row r="21" spans="2:31" ht="24.5" customHeight="1" x14ac:dyDescent="0.35">
      <c r="B21" s="152" t="s">
        <v>147</v>
      </c>
      <c r="C21" s="170">
        <f>C19*C20</f>
        <v>40320</v>
      </c>
      <c r="F21" s="508" t="s">
        <v>112</v>
      </c>
      <c r="G21" s="508"/>
      <c r="H21" s="140">
        <f>H20*30</f>
        <v>38880</v>
      </c>
      <c r="I21" s="140">
        <f>I20*30</f>
        <v>9900</v>
      </c>
      <c r="M21" s="147" t="s">
        <v>449</v>
      </c>
      <c r="N21" s="148">
        <v>0.05</v>
      </c>
      <c r="P21" s="152"/>
      <c r="V21" s="198" t="s">
        <v>441</v>
      </c>
      <c r="W21" s="152" t="s">
        <v>490</v>
      </c>
      <c r="X21" s="150" t="s">
        <v>266</v>
      </c>
      <c r="Y21" s="152">
        <v>2</v>
      </c>
      <c r="Z21" s="152">
        <v>2</v>
      </c>
      <c r="AA21" s="152">
        <v>2</v>
      </c>
      <c r="AB21" s="152">
        <v>2</v>
      </c>
      <c r="AC21" s="152">
        <v>1</v>
      </c>
      <c r="AD21" s="152">
        <v>1</v>
      </c>
      <c r="AE21" s="199"/>
    </row>
    <row r="22" spans="2:31" ht="24.5" customHeight="1" x14ac:dyDescent="0.35">
      <c r="B22" s="152" t="s">
        <v>148</v>
      </c>
      <c r="C22" s="152">
        <f>C17*C21</f>
        <v>403200</v>
      </c>
      <c r="F22" s="140" t="s">
        <v>76</v>
      </c>
      <c r="H22" s="140">
        <v>4000</v>
      </c>
      <c r="M22" s="147" t="s">
        <v>452</v>
      </c>
      <c r="N22" s="148">
        <v>0.05</v>
      </c>
      <c r="P22" s="152"/>
      <c r="V22" s="198" t="s">
        <v>442</v>
      </c>
      <c r="W22" s="152" t="s">
        <v>489</v>
      </c>
      <c r="X22" s="150" t="s">
        <v>266</v>
      </c>
      <c r="Y22" s="152">
        <v>1</v>
      </c>
      <c r="Z22" s="152">
        <v>1</v>
      </c>
      <c r="AA22" s="152">
        <v>1</v>
      </c>
      <c r="AB22" s="152">
        <v>1</v>
      </c>
      <c r="AC22" s="152">
        <v>1</v>
      </c>
      <c r="AD22" s="152">
        <v>1</v>
      </c>
      <c r="AE22" s="199"/>
    </row>
    <row r="23" spans="2:31" x14ac:dyDescent="0.35">
      <c r="B23" s="152" t="s">
        <v>149</v>
      </c>
      <c r="C23" s="170" t="e">
        <f>#REF!</f>
        <v>#REF!</v>
      </c>
      <c r="F23" s="508" t="s">
        <v>80</v>
      </c>
      <c r="G23" s="508"/>
      <c r="I23" s="140">
        <f>SUM(H21:I22)</f>
        <v>52780</v>
      </c>
      <c r="M23" s="147" t="s">
        <v>453</v>
      </c>
      <c r="N23" s="148">
        <v>0.08</v>
      </c>
      <c r="P23" s="152"/>
      <c r="V23" s="198" t="s">
        <v>443</v>
      </c>
      <c r="W23" s="152" t="s">
        <v>492</v>
      </c>
      <c r="X23" s="150" t="s">
        <v>266</v>
      </c>
      <c r="Y23" s="152">
        <v>2</v>
      </c>
      <c r="Z23" s="152">
        <v>2</v>
      </c>
      <c r="AA23" s="152">
        <v>2</v>
      </c>
      <c r="AB23" s="152">
        <v>2</v>
      </c>
      <c r="AC23" s="152">
        <v>1</v>
      </c>
      <c r="AD23" s="152">
        <v>1</v>
      </c>
      <c r="AE23" s="199"/>
    </row>
    <row r="24" spans="2:31" ht="39.5" customHeight="1" x14ac:dyDescent="0.35">
      <c r="B24" s="152" t="s">
        <v>150</v>
      </c>
      <c r="C24" s="170">
        <f>Y17</f>
        <v>1080000</v>
      </c>
      <c r="F24" s="508" t="s">
        <v>406</v>
      </c>
      <c r="G24" s="508"/>
      <c r="I24" s="140">
        <f>I23*S10</f>
        <v>305748.6755555555</v>
      </c>
      <c r="M24" s="147" t="s">
        <v>454</v>
      </c>
      <c r="N24" s="140">
        <v>3</v>
      </c>
      <c r="P24" s="152"/>
      <c r="V24" s="198" t="s">
        <v>491</v>
      </c>
      <c r="W24" s="152" t="s">
        <v>484</v>
      </c>
      <c r="X24" s="150" t="s">
        <v>273</v>
      </c>
      <c r="Y24" s="160">
        <v>800000</v>
      </c>
      <c r="Z24" s="160">
        <f>Y24</f>
        <v>800000</v>
      </c>
      <c r="AA24" s="160">
        <f t="shared" ref="AA24:AD27" si="19">(Z24*$N$23)+Z24</f>
        <v>864000</v>
      </c>
      <c r="AB24" s="160">
        <f t="shared" si="19"/>
        <v>933120</v>
      </c>
      <c r="AC24" s="160">
        <f t="shared" si="19"/>
        <v>1007769.6</v>
      </c>
      <c r="AD24" s="160">
        <f t="shared" si="19"/>
        <v>1088391.1680000001</v>
      </c>
      <c r="AE24" s="199"/>
    </row>
    <row r="25" spans="2:31" ht="39.5" customHeight="1" x14ac:dyDescent="0.35">
      <c r="B25" s="152" t="s">
        <v>151</v>
      </c>
      <c r="C25" s="170">
        <f>C42</f>
        <v>44380</v>
      </c>
      <c r="F25" s="508" t="s">
        <v>407</v>
      </c>
      <c r="G25" s="508"/>
      <c r="I25" s="140">
        <f>I23*R10</f>
        <v>2293115.0666666664</v>
      </c>
      <c r="M25" s="147" t="s">
        <v>476</v>
      </c>
      <c r="N25" s="140">
        <v>20</v>
      </c>
      <c r="P25" s="152"/>
      <c r="V25" s="198" t="s">
        <v>495</v>
      </c>
      <c r="W25" s="152" t="s">
        <v>493</v>
      </c>
      <c r="X25" s="150" t="s">
        <v>273</v>
      </c>
      <c r="Y25" s="160">
        <v>300000</v>
      </c>
      <c r="Z25" s="160">
        <f>25000*$N$34</f>
        <v>300000</v>
      </c>
      <c r="AA25" s="160">
        <f t="shared" si="19"/>
        <v>324000</v>
      </c>
      <c r="AB25" s="160">
        <f t="shared" si="19"/>
        <v>349920</v>
      </c>
      <c r="AC25" s="160">
        <f t="shared" si="19"/>
        <v>377913.59999999998</v>
      </c>
      <c r="AD25" s="160">
        <f t="shared" si="19"/>
        <v>408146.68799999997</v>
      </c>
      <c r="AE25" s="199"/>
    </row>
    <row r="26" spans="2:31" x14ac:dyDescent="0.35">
      <c r="B26" s="153"/>
      <c r="C26" s="171" t="e">
        <f>SUM(C22:C25)</f>
        <v>#REF!</v>
      </c>
      <c r="M26" s="147" t="s">
        <v>474</v>
      </c>
      <c r="N26" s="140">
        <v>7</v>
      </c>
      <c r="V26" s="198" t="s">
        <v>495</v>
      </c>
      <c r="W26" s="152" t="s">
        <v>560</v>
      </c>
      <c r="X26" s="150" t="s">
        <v>273</v>
      </c>
      <c r="Y26" s="172">
        <v>800000</v>
      </c>
      <c r="Z26" s="172">
        <f>Y26</f>
        <v>800000</v>
      </c>
      <c r="AA26" s="160">
        <f t="shared" si="19"/>
        <v>864000</v>
      </c>
      <c r="AB26" s="160">
        <f t="shared" si="19"/>
        <v>933120</v>
      </c>
      <c r="AC26" s="160">
        <f t="shared" si="19"/>
        <v>1007769.6</v>
      </c>
      <c r="AD26" s="160">
        <f t="shared" si="19"/>
        <v>1088391.1680000001</v>
      </c>
      <c r="AE26" s="199"/>
    </row>
    <row r="27" spans="2:31" ht="26" x14ac:dyDescent="0.35">
      <c r="M27" s="140" t="s">
        <v>455</v>
      </c>
      <c r="N27" s="148">
        <v>0.05</v>
      </c>
      <c r="V27" s="198" t="s">
        <v>496</v>
      </c>
      <c r="W27" s="152" t="s">
        <v>494</v>
      </c>
      <c r="X27" s="150" t="s">
        <v>273</v>
      </c>
      <c r="Y27" s="152">
        <v>400000</v>
      </c>
      <c r="Z27" s="152">
        <f>Y27</f>
        <v>400000</v>
      </c>
      <c r="AA27" s="160">
        <f t="shared" si="19"/>
        <v>432000</v>
      </c>
      <c r="AB27" s="160">
        <f t="shared" si="19"/>
        <v>466560</v>
      </c>
      <c r="AC27" s="160">
        <f t="shared" si="19"/>
        <v>503884.79999999999</v>
      </c>
      <c r="AD27" s="160">
        <f t="shared" si="19"/>
        <v>544195.58400000003</v>
      </c>
      <c r="AE27" s="199"/>
    </row>
    <row r="28" spans="2:31" ht="23.5" customHeight="1" x14ac:dyDescent="0.35">
      <c r="B28" s="510" t="s">
        <v>125</v>
      </c>
      <c r="C28" s="510"/>
      <c r="F28" s="512" t="s">
        <v>85</v>
      </c>
      <c r="G28" s="512"/>
      <c r="M28" s="147" t="s">
        <v>347</v>
      </c>
      <c r="N28" s="148">
        <v>0.1</v>
      </c>
      <c r="V28" s="212" t="s">
        <v>275</v>
      </c>
      <c r="W28" s="213" t="s">
        <v>487</v>
      </c>
      <c r="X28" s="214" t="s">
        <v>273</v>
      </c>
      <c r="Y28" s="215">
        <f>Y24*Y20+Y25*Y21+Y26*Y22+Y27*Y23</f>
        <v>3000000</v>
      </c>
      <c r="Z28" s="215">
        <f>Z24*Z20+Z25*Z21+Z26*Z22+Z27*Z23</f>
        <v>3000000</v>
      </c>
      <c r="AA28" s="215">
        <f t="shared" ref="AA28:AD28" si="20">SUM(AA24:AA27)</f>
        <v>2484000</v>
      </c>
      <c r="AB28" s="215">
        <f t="shared" si="20"/>
        <v>2682720</v>
      </c>
      <c r="AC28" s="216">
        <f t="shared" si="20"/>
        <v>2897337.5999999996</v>
      </c>
      <c r="AD28" s="216">
        <f t="shared" si="20"/>
        <v>3129124.608</v>
      </c>
      <c r="AE28" s="217"/>
    </row>
    <row r="29" spans="2:31" x14ac:dyDescent="0.35">
      <c r="B29" s="152" t="s">
        <v>169</v>
      </c>
      <c r="C29" s="153">
        <v>900000</v>
      </c>
      <c r="F29" s="152" t="s">
        <v>165</v>
      </c>
      <c r="G29" s="152">
        <v>450</v>
      </c>
      <c r="M29" s="147" t="s">
        <v>475</v>
      </c>
      <c r="N29" s="140">
        <v>10</v>
      </c>
      <c r="V29" s="194" t="s">
        <v>285</v>
      </c>
      <c r="W29" s="195" t="s">
        <v>562</v>
      </c>
      <c r="X29" s="196"/>
      <c r="Y29" s="195"/>
      <c r="Z29" s="195"/>
      <c r="AA29" s="195"/>
      <c r="AB29" s="195"/>
      <c r="AC29" s="195"/>
      <c r="AD29" s="195"/>
      <c r="AE29" s="197"/>
    </row>
    <row r="30" spans="2:31" ht="26" x14ac:dyDescent="0.35">
      <c r="B30" s="152" t="s">
        <v>170</v>
      </c>
      <c r="C30" s="152">
        <v>120</v>
      </c>
      <c r="F30" s="152" t="s">
        <v>93</v>
      </c>
      <c r="G30" s="166">
        <v>0.15</v>
      </c>
      <c r="M30" s="147" t="s">
        <v>477</v>
      </c>
      <c r="N30" s="140">
        <v>5</v>
      </c>
      <c r="V30" s="198" t="s">
        <v>286</v>
      </c>
      <c r="W30" s="142" t="s">
        <v>561</v>
      </c>
      <c r="X30" s="158" t="s">
        <v>273</v>
      </c>
      <c r="Y30" s="151">
        <v>800000</v>
      </c>
      <c r="Z30" s="151">
        <f t="shared" ref="Z30:Z36" si="21">Y30</f>
        <v>800000</v>
      </c>
      <c r="AA30" s="141">
        <v>0</v>
      </c>
      <c r="AB30" s="173">
        <v>0</v>
      </c>
      <c r="AC30" s="173">
        <v>0</v>
      </c>
      <c r="AD30" s="174">
        <v>0</v>
      </c>
      <c r="AE30" s="200"/>
    </row>
    <row r="31" spans="2:31" x14ac:dyDescent="0.35">
      <c r="B31" s="152" t="s">
        <v>171</v>
      </c>
      <c r="C31" s="152">
        <v>2</v>
      </c>
      <c r="F31" s="152" t="s">
        <v>94</v>
      </c>
      <c r="G31" s="152">
        <v>3</v>
      </c>
      <c r="M31" s="147" t="s">
        <v>479</v>
      </c>
      <c r="N31" s="140">
        <v>5</v>
      </c>
      <c r="V31" s="198" t="s">
        <v>287</v>
      </c>
      <c r="W31" s="142" t="s">
        <v>120</v>
      </c>
      <c r="X31" s="158" t="s">
        <v>273</v>
      </c>
      <c r="Y31" s="151">
        <v>800000</v>
      </c>
      <c r="Z31" s="151">
        <f t="shared" si="21"/>
        <v>800000</v>
      </c>
      <c r="AA31" s="141">
        <v>0</v>
      </c>
      <c r="AB31" s="173">
        <v>0</v>
      </c>
      <c r="AC31" s="173">
        <v>0</v>
      </c>
      <c r="AD31" s="174">
        <v>0</v>
      </c>
      <c r="AE31" s="200"/>
    </row>
    <row r="32" spans="2:31" ht="26" x14ac:dyDescent="0.35">
      <c r="B32" s="152" t="s">
        <v>172</v>
      </c>
      <c r="C32" s="152">
        <f>C29*C31/C30</f>
        <v>15000</v>
      </c>
      <c r="F32" s="163" t="s">
        <v>95</v>
      </c>
      <c r="G32" s="152">
        <v>15</v>
      </c>
      <c r="M32" s="147" t="s">
        <v>480</v>
      </c>
      <c r="N32" s="140">
        <v>1</v>
      </c>
      <c r="V32" s="198" t="s">
        <v>288</v>
      </c>
      <c r="W32" s="142" t="s">
        <v>119</v>
      </c>
      <c r="X32" s="158" t="s">
        <v>273</v>
      </c>
      <c r="Y32" s="151">
        <v>400000</v>
      </c>
      <c r="Z32" s="151">
        <f t="shared" si="21"/>
        <v>400000</v>
      </c>
      <c r="AA32" s="141">
        <v>0</v>
      </c>
      <c r="AB32" s="173">
        <v>0</v>
      </c>
      <c r="AC32" s="173">
        <v>0</v>
      </c>
      <c r="AD32" s="174">
        <v>0</v>
      </c>
      <c r="AE32" s="200"/>
    </row>
    <row r="33" spans="2:39" x14ac:dyDescent="0.35">
      <c r="B33" s="152" t="s">
        <v>126</v>
      </c>
      <c r="C33" s="152">
        <v>150</v>
      </c>
      <c r="F33" s="152" t="s">
        <v>96</v>
      </c>
      <c r="G33" s="152">
        <f>G31*4</f>
        <v>12</v>
      </c>
      <c r="M33" s="147" t="s">
        <v>482</v>
      </c>
      <c r="N33" s="140">
        <v>7</v>
      </c>
      <c r="V33" s="198" t="s">
        <v>289</v>
      </c>
      <c r="W33" s="142" t="s">
        <v>121</v>
      </c>
      <c r="X33" s="150" t="s">
        <v>266</v>
      </c>
      <c r="Y33" s="151">
        <v>5</v>
      </c>
      <c r="Z33" s="151">
        <f t="shared" si="21"/>
        <v>5</v>
      </c>
      <c r="AA33" s="141">
        <v>0</v>
      </c>
      <c r="AB33" s="173">
        <v>0</v>
      </c>
      <c r="AC33" s="173">
        <v>0</v>
      </c>
      <c r="AD33" s="174">
        <v>0</v>
      </c>
      <c r="AE33" s="200"/>
    </row>
    <row r="34" spans="2:39" x14ac:dyDescent="0.35">
      <c r="B34" s="152" t="s">
        <v>127</v>
      </c>
      <c r="C34" s="152">
        <v>166</v>
      </c>
      <c r="F34" s="152" t="s">
        <v>97</v>
      </c>
      <c r="G34" s="152">
        <f>G33*H15</f>
        <v>72</v>
      </c>
      <c r="M34" s="147" t="s">
        <v>483</v>
      </c>
      <c r="N34" s="140">
        <v>12</v>
      </c>
      <c r="V34" s="198" t="s">
        <v>290</v>
      </c>
      <c r="W34" s="142" t="s">
        <v>122</v>
      </c>
      <c r="X34" s="158" t="s">
        <v>273</v>
      </c>
      <c r="Y34" s="151">
        <v>300000</v>
      </c>
      <c r="Z34" s="151">
        <f t="shared" si="21"/>
        <v>300000</v>
      </c>
      <c r="AA34" s="141">
        <v>0</v>
      </c>
      <c r="AB34" s="173">
        <v>0</v>
      </c>
      <c r="AC34" s="173">
        <v>0</v>
      </c>
      <c r="AD34" s="174">
        <v>0</v>
      </c>
      <c r="AE34" s="199"/>
    </row>
    <row r="35" spans="2:39" x14ac:dyDescent="0.35">
      <c r="B35" s="152" t="s">
        <v>128</v>
      </c>
      <c r="C35" s="152">
        <v>120</v>
      </c>
      <c r="M35" s="147" t="s">
        <v>503</v>
      </c>
      <c r="N35" s="140">
        <v>150500</v>
      </c>
      <c r="V35" s="198" t="s">
        <v>291</v>
      </c>
      <c r="W35" s="142" t="s">
        <v>123</v>
      </c>
      <c r="X35" s="158" t="s">
        <v>273</v>
      </c>
      <c r="Y35" s="151">
        <f>Y33*Y34</f>
        <v>1500000</v>
      </c>
      <c r="Z35" s="151">
        <f t="shared" si="21"/>
        <v>1500000</v>
      </c>
      <c r="AA35" s="151">
        <f t="shared" ref="AA35:AD35" si="22">AA33*AA34</f>
        <v>0</v>
      </c>
      <c r="AB35" s="151">
        <f t="shared" si="22"/>
        <v>0</v>
      </c>
      <c r="AC35" s="151">
        <f t="shared" si="22"/>
        <v>0</v>
      </c>
      <c r="AD35" s="151">
        <f t="shared" si="22"/>
        <v>0</v>
      </c>
      <c r="AE35" s="199"/>
    </row>
    <row r="36" spans="2:39" x14ac:dyDescent="0.35">
      <c r="B36" s="152" t="s">
        <v>129</v>
      </c>
      <c r="C36" s="175">
        <f>C33-C35</f>
        <v>30</v>
      </c>
      <c r="M36" s="147" t="s">
        <v>516</v>
      </c>
      <c r="N36" s="140">
        <v>3</v>
      </c>
      <c r="V36" s="198" t="s">
        <v>292</v>
      </c>
      <c r="W36" s="142" t="s">
        <v>522</v>
      </c>
      <c r="X36" s="159" t="s">
        <v>266</v>
      </c>
      <c r="Y36" s="151">
        <v>3</v>
      </c>
      <c r="Z36" s="151">
        <f t="shared" si="21"/>
        <v>3</v>
      </c>
      <c r="AA36" s="141">
        <v>0</v>
      </c>
      <c r="AB36" s="173">
        <v>0</v>
      </c>
      <c r="AC36" s="173">
        <v>0</v>
      </c>
      <c r="AD36" s="174">
        <v>0</v>
      </c>
      <c r="AE36" s="199"/>
    </row>
    <row r="37" spans="2:39" x14ac:dyDescent="0.35">
      <c r="B37" s="152" t="s">
        <v>130</v>
      </c>
      <c r="C37" s="153">
        <f>C36*C34</f>
        <v>4980</v>
      </c>
      <c r="M37" s="147" t="s">
        <v>519</v>
      </c>
      <c r="N37" s="140">
        <v>5</v>
      </c>
      <c r="V37" s="198"/>
      <c r="W37" s="142"/>
      <c r="X37" s="158"/>
      <c r="Y37" s="151"/>
      <c r="Z37" s="151"/>
      <c r="AA37" s="151"/>
      <c r="AB37" s="151"/>
      <c r="AC37" s="151">
        <f t="shared" ref="AC37:AD37" si="23">$N$35*AC36</f>
        <v>0</v>
      </c>
      <c r="AD37" s="151">
        <f t="shared" si="23"/>
        <v>0</v>
      </c>
      <c r="AE37" s="199"/>
    </row>
    <row r="38" spans="2:39" x14ac:dyDescent="0.35">
      <c r="B38" s="152" t="s">
        <v>131</v>
      </c>
      <c r="C38" s="153">
        <v>10000</v>
      </c>
      <c r="M38" s="147" t="s">
        <v>524</v>
      </c>
      <c r="N38" s="148">
        <v>0.1</v>
      </c>
      <c r="V38" s="201" t="s">
        <v>293</v>
      </c>
      <c r="W38" s="188" t="s">
        <v>504</v>
      </c>
      <c r="X38" s="189" t="s">
        <v>273</v>
      </c>
      <c r="Y38" s="190">
        <f>Y30+Y31+Y32+Y35+Y37</f>
        <v>3500000</v>
      </c>
      <c r="Z38" s="190">
        <f>Z30+Z31+Z32+Z35+Z37</f>
        <v>3500000</v>
      </c>
      <c r="AA38" s="190">
        <f>Z38-Z124</f>
        <v>2800000</v>
      </c>
      <c r="AB38" s="190">
        <f>AA38-AA124</f>
        <v>2240000</v>
      </c>
      <c r="AC38" s="190">
        <f t="shared" ref="AC38:AD38" si="24">AC30+AC31+AC32+AC35+AC37</f>
        <v>0</v>
      </c>
      <c r="AD38" s="190">
        <f t="shared" si="24"/>
        <v>0</v>
      </c>
      <c r="AE38" s="202"/>
    </row>
    <row r="39" spans="2:39" x14ac:dyDescent="0.35">
      <c r="B39" s="152" t="s">
        <v>132</v>
      </c>
      <c r="C39" s="152">
        <v>80</v>
      </c>
      <c r="M39" s="147" t="s">
        <v>525</v>
      </c>
      <c r="N39" s="148">
        <v>0.04</v>
      </c>
      <c r="V39" s="198" t="s">
        <v>415</v>
      </c>
      <c r="W39" s="142" t="s">
        <v>416</v>
      </c>
      <c r="X39" s="158" t="s">
        <v>266</v>
      </c>
      <c r="Y39" s="151">
        <v>9</v>
      </c>
      <c r="Z39" s="151">
        <v>9</v>
      </c>
      <c r="AA39" s="141">
        <v>0</v>
      </c>
      <c r="AB39" s="173">
        <v>0</v>
      </c>
      <c r="AC39" s="173">
        <v>0</v>
      </c>
      <c r="AD39" s="174">
        <v>0</v>
      </c>
      <c r="AE39" s="218"/>
    </row>
    <row r="40" spans="2:39" x14ac:dyDescent="0.35">
      <c r="B40" s="152" t="s">
        <v>133</v>
      </c>
      <c r="C40" s="152">
        <v>6</v>
      </c>
      <c r="D40" s="140">
        <v>30</v>
      </c>
      <c r="M40" s="147" t="s">
        <v>526</v>
      </c>
      <c r="N40" s="148">
        <v>0.04</v>
      </c>
      <c r="V40" s="203" t="s">
        <v>285</v>
      </c>
      <c r="W40" s="204" t="s">
        <v>505</v>
      </c>
      <c r="X40" s="205" t="s">
        <v>273</v>
      </c>
      <c r="Y40" s="206">
        <f>Y38*Y39</f>
        <v>31500000</v>
      </c>
      <c r="Z40" s="206">
        <f>Z38*Z39</f>
        <v>31500000</v>
      </c>
      <c r="AA40" s="206">
        <f>Z40-Z103</f>
        <v>25200000</v>
      </c>
      <c r="AB40" s="206">
        <f>AA40-AA103</f>
        <v>20160000</v>
      </c>
      <c r="AC40" s="206">
        <f t="shared" ref="AC40:AD40" si="25">AC38*AC39</f>
        <v>0</v>
      </c>
      <c r="AD40" s="206">
        <f t="shared" si="25"/>
        <v>0</v>
      </c>
      <c r="AE40" s="207"/>
    </row>
    <row r="41" spans="2:39" x14ac:dyDescent="0.35">
      <c r="B41" s="152" t="s">
        <v>134</v>
      </c>
      <c r="C41" s="153">
        <f>C39*C40*30</f>
        <v>14400</v>
      </c>
      <c r="M41" s="140" t="s">
        <v>533</v>
      </c>
      <c r="N41" s="148">
        <v>0.05</v>
      </c>
      <c r="V41" s="194" t="s">
        <v>294</v>
      </c>
      <c r="W41" s="195" t="s">
        <v>311</v>
      </c>
      <c r="X41" s="196"/>
      <c r="Y41" s="195"/>
      <c r="Z41" s="195"/>
      <c r="AA41" s="195"/>
      <c r="AB41" s="195"/>
      <c r="AC41" s="195"/>
      <c r="AD41" s="195"/>
      <c r="AE41" s="197"/>
    </row>
    <row r="42" spans="2:39" ht="24.5" customHeight="1" x14ac:dyDescent="0.35">
      <c r="B42" s="153" t="s">
        <v>173</v>
      </c>
      <c r="C42" s="153">
        <f>C32+C37+C38+C41</f>
        <v>44380</v>
      </c>
      <c r="M42" s="140" t="s">
        <v>534</v>
      </c>
      <c r="N42" s="148">
        <v>0.25</v>
      </c>
      <c r="V42" s="198" t="s">
        <v>296</v>
      </c>
      <c r="W42" s="142" t="s">
        <v>303</v>
      </c>
      <c r="X42" s="158" t="s">
        <v>273</v>
      </c>
      <c r="Y42" s="151">
        <v>130000</v>
      </c>
      <c r="Z42" s="151">
        <f t="shared" ref="Z42:Z48" si="26">Y42</f>
        <v>130000</v>
      </c>
      <c r="AA42" s="151"/>
      <c r="AB42" s="151"/>
      <c r="AC42" s="173">
        <v>0</v>
      </c>
      <c r="AD42" s="174">
        <v>0</v>
      </c>
      <c r="AE42" s="199"/>
    </row>
    <row r="43" spans="2:39" x14ac:dyDescent="0.35">
      <c r="B43" s="152"/>
      <c r="C43" s="152"/>
      <c r="M43" s="140" t="s">
        <v>535</v>
      </c>
      <c r="N43" s="148">
        <v>0.25</v>
      </c>
      <c r="V43" s="198" t="s">
        <v>302</v>
      </c>
      <c r="W43" s="142" t="s">
        <v>305</v>
      </c>
      <c r="X43" s="158" t="s">
        <v>530</v>
      </c>
      <c r="Y43" s="151">
        <v>3</v>
      </c>
      <c r="Z43" s="151">
        <f t="shared" si="26"/>
        <v>3</v>
      </c>
      <c r="AA43" s="151">
        <f t="shared" ref="AA43:AB43" si="27">Z43</f>
        <v>3</v>
      </c>
      <c r="AB43" s="151">
        <f t="shared" si="27"/>
        <v>3</v>
      </c>
      <c r="AC43" s="173">
        <v>0</v>
      </c>
      <c r="AD43" s="174">
        <v>0</v>
      </c>
      <c r="AE43" s="199"/>
    </row>
    <row r="44" spans="2:39" x14ac:dyDescent="0.35">
      <c r="M44" s="140" t="s">
        <v>565</v>
      </c>
      <c r="N44" s="140">
        <v>5</v>
      </c>
      <c r="V44" s="198" t="s">
        <v>297</v>
      </c>
      <c r="W44" s="142" t="s">
        <v>306</v>
      </c>
      <c r="X44" s="158" t="s">
        <v>304</v>
      </c>
      <c r="Y44" s="160">
        <v>3</v>
      </c>
      <c r="Z44" s="160">
        <f t="shared" si="26"/>
        <v>3</v>
      </c>
      <c r="AA44" s="160"/>
      <c r="AB44" s="160"/>
      <c r="AC44" s="173">
        <v>0</v>
      </c>
      <c r="AD44" s="174">
        <v>0</v>
      </c>
      <c r="AE44" s="199"/>
    </row>
    <row r="45" spans="2:39" x14ac:dyDescent="0.35">
      <c r="M45" s="140" t="s">
        <v>568</v>
      </c>
      <c r="N45" s="140">
        <v>80</v>
      </c>
      <c r="V45" s="198" t="s">
        <v>298</v>
      </c>
      <c r="W45" s="142" t="s">
        <v>100</v>
      </c>
      <c r="X45" s="158" t="s">
        <v>266</v>
      </c>
      <c r="Y45" s="160">
        <f>Y43/Y44</f>
        <v>1</v>
      </c>
      <c r="Z45" s="160">
        <f t="shared" si="26"/>
        <v>1</v>
      </c>
      <c r="AA45" s="160"/>
      <c r="AB45" s="160"/>
      <c r="AC45" s="173">
        <v>0</v>
      </c>
      <c r="AD45" s="174">
        <v>0</v>
      </c>
      <c r="AE45" s="199"/>
    </row>
    <row r="46" spans="2:39" ht="26" x14ac:dyDescent="0.35">
      <c r="M46" s="140" t="s">
        <v>569</v>
      </c>
      <c r="N46" s="140">
        <v>600</v>
      </c>
      <c r="V46" s="198" t="s">
        <v>299</v>
      </c>
      <c r="W46" s="142" t="s">
        <v>307</v>
      </c>
      <c r="X46" s="158" t="s">
        <v>273</v>
      </c>
      <c r="Y46" s="160">
        <v>13000</v>
      </c>
      <c r="Z46" s="160">
        <f t="shared" si="26"/>
        <v>13000</v>
      </c>
      <c r="AA46" s="160"/>
      <c r="AB46" s="160"/>
      <c r="AC46" s="173">
        <v>0</v>
      </c>
      <c r="AD46" s="174">
        <v>0</v>
      </c>
      <c r="AE46" s="199"/>
    </row>
    <row r="47" spans="2:39" ht="26" x14ac:dyDescent="0.35">
      <c r="B47" s="152"/>
      <c r="C47" s="152"/>
      <c r="M47" s="140" t="s">
        <v>570</v>
      </c>
      <c r="N47" s="149">
        <f>N46*N45*N34</f>
        <v>576000</v>
      </c>
      <c r="V47" s="198" t="s">
        <v>300</v>
      </c>
      <c r="W47" s="142" t="s">
        <v>308</v>
      </c>
      <c r="X47" s="158" t="s">
        <v>273</v>
      </c>
      <c r="Y47" s="160">
        <v>6500</v>
      </c>
      <c r="Z47" s="160">
        <f t="shared" si="26"/>
        <v>6500</v>
      </c>
      <c r="AA47" s="160"/>
      <c r="AB47" s="160"/>
      <c r="AC47" s="173">
        <v>0</v>
      </c>
      <c r="AD47" s="174">
        <v>0</v>
      </c>
      <c r="AE47" s="199"/>
      <c r="AM47" s="152" t="s">
        <v>523</v>
      </c>
    </row>
    <row r="48" spans="2:39" ht="26" x14ac:dyDescent="0.35">
      <c r="B48" s="152"/>
      <c r="C48" s="152"/>
      <c r="M48" s="140" t="s">
        <v>571</v>
      </c>
      <c r="N48" s="149">
        <f>N47*9</f>
        <v>5184000</v>
      </c>
      <c r="V48" s="198" t="s">
        <v>301</v>
      </c>
      <c r="W48" s="142" t="s">
        <v>309</v>
      </c>
      <c r="X48" s="158" t="s">
        <v>273</v>
      </c>
      <c r="Y48" s="160">
        <v>1000</v>
      </c>
      <c r="Z48" s="160">
        <f t="shared" si="26"/>
        <v>1000</v>
      </c>
      <c r="AA48" s="160"/>
      <c r="AB48" s="160"/>
      <c r="AC48" s="173">
        <v>0</v>
      </c>
      <c r="AD48" s="174">
        <v>0</v>
      </c>
      <c r="AE48" s="199"/>
    </row>
    <row r="49" spans="2:31" x14ac:dyDescent="0.35">
      <c r="M49" s="140" t="s">
        <v>572</v>
      </c>
      <c r="N49" s="148">
        <v>0.1</v>
      </c>
      <c r="V49" s="219" t="s">
        <v>294</v>
      </c>
      <c r="W49" s="156" t="s">
        <v>527</v>
      </c>
      <c r="X49" s="157" t="s">
        <v>273</v>
      </c>
      <c r="Y49" s="161">
        <f>Y42+Y46+Y47+Y48</f>
        <v>150500</v>
      </c>
      <c r="Z49" s="161">
        <f>Z42+Z46+Z47+Z48</f>
        <v>150500</v>
      </c>
      <c r="AA49" s="161">
        <f t="shared" ref="AA49:AB49" si="28">AA42+AA46+AA47+AA48</f>
        <v>0</v>
      </c>
      <c r="AB49" s="161">
        <f t="shared" si="28"/>
        <v>0</v>
      </c>
      <c r="AC49" s="161">
        <f t="shared" ref="AC49:AD49" si="29">AC42+AC46+AC47+AC48</f>
        <v>0</v>
      </c>
      <c r="AD49" s="161">
        <f t="shared" si="29"/>
        <v>0</v>
      </c>
      <c r="AE49" s="199"/>
    </row>
    <row r="50" spans="2:31" s="153" customFormat="1" x14ac:dyDescent="0.35"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V50" s="201" t="s">
        <v>294</v>
      </c>
      <c r="W50" s="188" t="s">
        <v>528</v>
      </c>
      <c r="X50" s="189" t="s">
        <v>273</v>
      </c>
      <c r="Y50" s="190">
        <f>$Q$13*Y$49</f>
        <v>602000</v>
      </c>
      <c r="Z50" s="190">
        <f>$Q$13*Z$49</f>
        <v>602000</v>
      </c>
      <c r="AA50" s="190">
        <f>Z50-Z122</f>
        <v>401333.33333333337</v>
      </c>
      <c r="AB50" s="190">
        <f>AA50-AA122</f>
        <v>267555.55555555562</v>
      </c>
      <c r="AC50" s="190"/>
      <c r="AD50" s="190"/>
      <c r="AE50" s="202"/>
    </row>
    <row r="51" spans="2:31" s="153" customFormat="1" x14ac:dyDescent="0.35"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V51" s="203" t="s">
        <v>294</v>
      </c>
      <c r="W51" s="204" t="s">
        <v>529</v>
      </c>
      <c r="X51" s="205" t="s">
        <v>273</v>
      </c>
      <c r="Y51" s="206">
        <f>$P$13*Y$49</f>
        <v>3762500</v>
      </c>
      <c r="Z51" s="206">
        <f>$P$13*Z$49</f>
        <v>3762500</v>
      </c>
      <c r="AA51" s="206">
        <f>Z51-Z101</f>
        <v>2508333.333333333</v>
      </c>
      <c r="AB51" s="206">
        <f>AA51-AA101</f>
        <v>1254166.6666666663</v>
      </c>
      <c r="AC51" s="206"/>
      <c r="AD51" s="206"/>
      <c r="AE51" s="207"/>
    </row>
    <row r="52" spans="2:31" ht="21" customHeight="1" x14ac:dyDescent="0.35">
      <c r="V52" s="194" t="s">
        <v>328</v>
      </c>
      <c r="W52" s="195" t="s">
        <v>329</v>
      </c>
      <c r="X52" s="196"/>
      <c r="Y52" s="195"/>
      <c r="Z52" s="195"/>
      <c r="AA52" s="195"/>
      <c r="AB52" s="195"/>
      <c r="AC52" s="195"/>
      <c r="AD52" s="195"/>
      <c r="AE52" s="197"/>
    </row>
    <row r="53" spans="2:31" x14ac:dyDescent="0.35">
      <c r="V53" s="198" t="s">
        <v>330</v>
      </c>
      <c r="W53" s="142" t="s">
        <v>332</v>
      </c>
      <c r="X53" s="158" t="s">
        <v>273</v>
      </c>
      <c r="Y53" s="160">
        <v>900000</v>
      </c>
      <c r="Z53" s="160">
        <v>900000</v>
      </c>
      <c r="AA53" s="141">
        <v>0</v>
      </c>
      <c r="AB53" s="173">
        <v>0</v>
      </c>
      <c r="AC53" s="173">
        <v>0</v>
      </c>
      <c r="AD53" s="174">
        <v>0</v>
      </c>
      <c r="AE53" s="199"/>
    </row>
    <row r="54" spans="2:31" x14ac:dyDescent="0.35">
      <c r="V54" s="198" t="s">
        <v>331</v>
      </c>
      <c r="W54" s="142" t="s">
        <v>333</v>
      </c>
      <c r="X54" s="158" t="s">
        <v>266</v>
      </c>
      <c r="Y54" s="160">
        <v>3</v>
      </c>
      <c r="Z54" s="160">
        <v>3</v>
      </c>
      <c r="AA54" s="141">
        <v>0</v>
      </c>
      <c r="AB54" s="173">
        <v>0</v>
      </c>
      <c r="AC54" s="173">
        <v>0</v>
      </c>
      <c r="AD54" s="174">
        <v>0</v>
      </c>
      <c r="AE54" s="199"/>
    </row>
    <row r="55" spans="2:31" s="153" customFormat="1" x14ac:dyDescent="0.35"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V55" s="201" t="s">
        <v>328</v>
      </c>
      <c r="W55" s="188" t="s">
        <v>469</v>
      </c>
      <c r="X55" s="189" t="s">
        <v>273</v>
      </c>
      <c r="Y55" s="190">
        <f>Y53*Y54</f>
        <v>2700000</v>
      </c>
      <c r="Z55" s="190">
        <f>Z53*Z54</f>
        <v>2700000</v>
      </c>
      <c r="AA55" s="190">
        <f>Z55-Z123</f>
        <v>2314285.7142857141</v>
      </c>
      <c r="AB55" s="190">
        <f>AA55-AA123</f>
        <v>1983673.4693877548</v>
      </c>
      <c r="AC55" s="190">
        <f t="shared" ref="AC55:AD55" si="30">AC53*AC54</f>
        <v>0</v>
      </c>
      <c r="AD55" s="190">
        <f t="shared" si="30"/>
        <v>0</v>
      </c>
      <c r="AE55" s="202"/>
    </row>
    <row r="56" spans="2:31" s="153" customFormat="1" x14ac:dyDescent="0.35"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V56" s="203" t="s">
        <v>328</v>
      </c>
      <c r="W56" s="204" t="s">
        <v>470</v>
      </c>
      <c r="X56" s="205" t="s">
        <v>273</v>
      </c>
      <c r="Y56" s="206">
        <f>Y55*$Y$39</f>
        <v>24300000</v>
      </c>
      <c r="Z56" s="206">
        <f>Z55*$Y$39</f>
        <v>24300000</v>
      </c>
      <c r="AA56" s="206">
        <f>Z56-Z102</f>
        <v>20828571.428571429</v>
      </c>
      <c r="AB56" s="206">
        <f>AA56-AA102</f>
        <v>17357142.857142858</v>
      </c>
      <c r="AC56" s="206">
        <f t="shared" ref="AC56:AD56" si="31">AC55*$Y$39</f>
        <v>0</v>
      </c>
      <c r="AD56" s="206">
        <f t="shared" si="31"/>
        <v>0</v>
      </c>
      <c r="AE56" s="207"/>
    </row>
    <row r="57" spans="2:31" s="153" customFormat="1" x14ac:dyDescent="0.35"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V57" s="220" t="s">
        <v>478</v>
      </c>
      <c r="W57" s="221" t="s">
        <v>510</v>
      </c>
      <c r="X57" s="222" t="s">
        <v>273</v>
      </c>
      <c r="Y57" s="223">
        <v>50000</v>
      </c>
      <c r="Z57" s="223">
        <v>50000</v>
      </c>
      <c r="AA57" s="223">
        <v>0</v>
      </c>
      <c r="AB57" s="223">
        <v>0</v>
      </c>
      <c r="AC57" s="223">
        <v>0</v>
      </c>
      <c r="AD57" s="223">
        <v>0</v>
      </c>
      <c r="AE57" s="224"/>
    </row>
    <row r="58" spans="2:31" s="153" customFormat="1" x14ac:dyDescent="0.35"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76"/>
      <c r="Q58" s="138"/>
      <c r="R58" s="138"/>
      <c r="S58" s="138"/>
      <c r="T58" s="138"/>
      <c r="V58" s="203" t="s">
        <v>478</v>
      </c>
      <c r="W58" s="204" t="s">
        <v>511</v>
      </c>
      <c r="X58" s="205" t="s">
        <v>273</v>
      </c>
      <c r="Y58" s="206">
        <f>Y57*$Y$18</f>
        <v>450000</v>
      </c>
      <c r="Z58" s="206">
        <f>Z57*$Y$18</f>
        <v>450000</v>
      </c>
      <c r="AA58" s="206">
        <f t="shared" ref="AA58:AD58" si="32">AA57*$Y$18</f>
        <v>0</v>
      </c>
      <c r="AB58" s="206">
        <f t="shared" si="32"/>
        <v>0</v>
      </c>
      <c r="AC58" s="206">
        <f t="shared" si="32"/>
        <v>0</v>
      </c>
      <c r="AD58" s="206">
        <f t="shared" si="32"/>
        <v>0</v>
      </c>
      <c r="AE58" s="207"/>
    </row>
    <row r="59" spans="2:31" x14ac:dyDescent="0.35">
      <c r="V59" s="225" t="s">
        <v>497</v>
      </c>
      <c r="W59" s="226" t="s">
        <v>509</v>
      </c>
      <c r="X59" s="227" t="s">
        <v>273</v>
      </c>
      <c r="Y59" s="228">
        <v>500000</v>
      </c>
      <c r="Z59" s="228">
        <v>500000</v>
      </c>
      <c r="AA59" s="228">
        <v>0</v>
      </c>
      <c r="AB59" s="228">
        <v>0</v>
      </c>
      <c r="AC59" s="226">
        <v>0</v>
      </c>
      <c r="AD59" s="226">
        <v>0</v>
      </c>
      <c r="AE59" s="229"/>
    </row>
    <row r="60" spans="2:31" x14ac:dyDescent="0.35">
      <c r="V60" s="225" t="s">
        <v>508</v>
      </c>
      <c r="W60" s="226" t="s">
        <v>518</v>
      </c>
      <c r="X60" s="227" t="s">
        <v>273</v>
      </c>
      <c r="Y60" s="228">
        <v>500000</v>
      </c>
      <c r="Z60" s="228">
        <v>500000</v>
      </c>
      <c r="AA60" s="228">
        <v>0</v>
      </c>
      <c r="AB60" s="228">
        <v>0</v>
      </c>
      <c r="AC60" s="226">
        <v>0</v>
      </c>
      <c r="AD60" s="226">
        <v>0</v>
      </c>
      <c r="AE60" s="229"/>
    </row>
    <row r="61" spans="2:31" ht="13.5" thickBot="1" x14ac:dyDescent="0.4">
      <c r="V61" s="194" t="s">
        <v>517</v>
      </c>
      <c r="W61" s="195" t="s">
        <v>498</v>
      </c>
      <c r="X61" s="196" t="s">
        <v>273</v>
      </c>
      <c r="Y61" s="270">
        <v>5000000</v>
      </c>
      <c r="Z61" s="270">
        <v>5000000</v>
      </c>
      <c r="AA61" s="270">
        <v>0</v>
      </c>
      <c r="AB61" s="270">
        <v>0</v>
      </c>
      <c r="AC61" s="195">
        <v>0</v>
      </c>
      <c r="AD61" s="195">
        <v>0</v>
      </c>
      <c r="AE61" s="197"/>
    </row>
    <row r="62" spans="2:31" ht="15.5" x14ac:dyDescent="0.35">
      <c r="V62" s="265">
        <v>1</v>
      </c>
      <c r="W62" s="266" t="s">
        <v>428</v>
      </c>
      <c r="X62" s="267" t="s">
        <v>273</v>
      </c>
      <c r="Y62" s="268">
        <f>SUM(Y38+Y49+Y55+Y57+Y61+Y50)</f>
        <v>12002500</v>
      </c>
      <c r="Z62" s="268">
        <f>SUM(Z38+Z49+Z55+Z57+Z61+Z50)</f>
        <v>12002500</v>
      </c>
      <c r="AA62" s="268">
        <f>SUM(AA38+AA49+AA55+AA57+AA61)</f>
        <v>5114285.7142857146</v>
      </c>
      <c r="AB62" s="268">
        <f>SUM(AB38+AB49+AB55+AB57+AB61)</f>
        <v>4223673.4693877548</v>
      </c>
      <c r="AC62" s="268">
        <f>SUM(AC38+AC49+AC55+AC57+AC61)</f>
        <v>0</v>
      </c>
      <c r="AD62" s="268">
        <f>SUM(AD38+AD49+AD55+AD57+AD61)</f>
        <v>0</v>
      </c>
      <c r="AE62" s="269"/>
    </row>
    <row r="63" spans="2:31" ht="16" thickBot="1" x14ac:dyDescent="0.4">
      <c r="V63" s="241">
        <v>1</v>
      </c>
      <c r="W63" s="242" t="s">
        <v>429</v>
      </c>
      <c r="X63" s="243" t="s">
        <v>273</v>
      </c>
      <c r="Y63" s="244">
        <f>SUM(Y40+Y56+Y58+Y61+Y59+Y60+Y51)</f>
        <v>66012500</v>
      </c>
      <c r="Z63" s="244">
        <f>SUM(Z40+Z56+Z58+Z61+Z59+Z60+Z51)</f>
        <v>66012500</v>
      </c>
      <c r="AA63" s="244">
        <f t="shared" ref="AA63:AB63" si="33">SUM(AA40+AA56+AA58+AA61+AA59+AA60+AA51)</f>
        <v>48536904.761904769</v>
      </c>
      <c r="AB63" s="244">
        <f t="shared" si="33"/>
        <v>38771309.523809522</v>
      </c>
      <c r="AC63" s="244">
        <f>SUM(AC40+AC49+AC56+AC58+AC61+AC59+AC60)</f>
        <v>0</v>
      </c>
      <c r="AD63" s="244">
        <f>SUM(AD40+AD49+AD56+AD58+AD61+AD59+AD60)</f>
        <v>0</v>
      </c>
      <c r="AE63" s="245"/>
    </row>
    <row r="64" spans="2:31" ht="15.5" x14ac:dyDescent="0.35">
      <c r="V64" s="271">
        <v>2</v>
      </c>
      <c r="W64" s="235" t="s">
        <v>310</v>
      </c>
      <c r="X64" s="234"/>
      <c r="Y64" s="235"/>
      <c r="Z64" s="235"/>
      <c r="AA64" s="235"/>
      <c r="AB64" s="235"/>
      <c r="AC64" s="235"/>
      <c r="AD64" s="235"/>
      <c r="AE64" s="272"/>
    </row>
    <row r="65" spans="2:31" ht="22" customHeight="1" x14ac:dyDescent="0.35">
      <c r="V65" s="246" t="s">
        <v>312</v>
      </c>
      <c r="W65" s="247" t="s">
        <v>313</v>
      </c>
      <c r="X65" s="248"/>
      <c r="Y65" s="249"/>
      <c r="Z65" s="249"/>
      <c r="AA65" s="248"/>
      <c r="AB65" s="248"/>
      <c r="AC65" s="248"/>
      <c r="AD65" s="248"/>
      <c r="AE65" s="250"/>
    </row>
    <row r="66" spans="2:31" ht="22" customHeight="1" x14ac:dyDescent="0.35">
      <c r="V66" s="201" t="s">
        <v>426</v>
      </c>
      <c r="W66" s="188" t="s">
        <v>537</v>
      </c>
      <c r="X66" s="189" t="s">
        <v>266</v>
      </c>
      <c r="Y66" s="190">
        <v>5</v>
      </c>
      <c r="Z66" s="190">
        <v>5</v>
      </c>
      <c r="AA66" s="190">
        <f>Z66*$N$43+Z66</f>
        <v>6.25</v>
      </c>
      <c r="AB66" s="190">
        <f>AA66*$N$43+AA66</f>
        <v>7.8125</v>
      </c>
      <c r="AC66" s="190"/>
      <c r="AD66" s="190"/>
      <c r="AE66" s="202"/>
    </row>
    <row r="67" spans="2:31" ht="22" customHeight="1" x14ac:dyDescent="0.35">
      <c r="V67" s="254" t="s">
        <v>427</v>
      </c>
      <c r="W67" s="185" t="s">
        <v>539</v>
      </c>
      <c r="X67" s="186" t="s">
        <v>266</v>
      </c>
      <c r="Y67" s="187">
        <v>25</v>
      </c>
      <c r="Z67" s="187">
        <v>25</v>
      </c>
      <c r="AA67" s="187">
        <f>Z67*$N$43+Z67</f>
        <v>31.25</v>
      </c>
      <c r="AB67" s="187">
        <f>AA67*$N$43+AA67</f>
        <v>39.0625</v>
      </c>
      <c r="AC67" s="187"/>
      <c r="AD67" s="187"/>
      <c r="AE67" s="255"/>
    </row>
    <row r="68" spans="2:31" ht="22" customHeight="1" x14ac:dyDescent="0.35">
      <c r="V68" s="198" t="s">
        <v>536</v>
      </c>
      <c r="W68" s="147" t="s">
        <v>532</v>
      </c>
      <c r="X68" s="158" t="s">
        <v>273</v>
      </c>
      <c r="Y68" s="151">
        <f>I23</f>
        <v>52780</v>
      </c>
      <c r="Z68" s="151">
        <f>I23</f>
        <v>52780</v>
      </c>
      <c r="AA68" s="168">
        <f>(Z68*$N$22)+Z68</f>
        <v>55419</v>
      </c>
      <c r="AB68" s="168">
        <f>(AA68*$N$22)+AA68</f>
        <v>58189.95</v>
      </c>
      <c r="AC68" s="168">
        <f>(AB68*$N$22)+AB68</f>
        <v>61099.447499999995</v>
      </c>
      <c r="AD68" s="168">
        <f>(AC68*$N$22)+AC68</f>
        <v>64154.419874999992</v>
      </c>
      <c r="AE68" s="199"/>
    </row>
    <row r="69" spans="2:31" x14ac:dyDescent="0.35">
      <c r="V69" s="201" t="s">
        <v>538</v>
      </c>
      <c r="W69" s="188" t="s">
        <v>406</v>
      </c>
      <c r="X69" s="189" t="s">
        <v>273</v>
      </c>
      <c r="Y69" s="190">
        <f t="shared" ref="Y69:AB70" si="34">Y$68*Y66*$N$34</f>
        <v>3166800</v>
      </c>
      <c r="Z69" s="190">
        <f t="shared" si="34"/>
        <v>3166800</v>
      </c>
      <c r="AA69" s="190">
        <f t="shared" si="34"/>
        <v>4156425</v>
      </c>
      <c r="AB69" s="190">
        <f t="shared" si="34"/>
        <v>5455307.8125</v>
      </c>
      <c r="AC69" s="190">
        <f>AC$68*$S$13*$N$34</f>
        <v>5865546.959999999</v>
      </c>
      <c r="AD69" s="190">
        <f>AD$68*$S$13*$N$34</f>
        <v>6158824.3079999993</v>
      </c>
      <c r="AE69" s="202"/>
    </row>
    <row r="70" spans="2:31" x14ac:dyDescent="0.35">
      <c r="V70" s="254" t="s">
        <v>312</v>
      </c>
      <c r="W70" s="185" t="s">
        <v>407</v>
      </c>
      <c r="X70" s="186" t="s">
        <v>273</v>
      </c>
      <c r="Y70" s="187">
        <f t="shared" si="34"/>
        <v>15834000</v>
      </c>
      <c r="Z70" s="187">
        <f t="shared" si="34"/>
        <v>15834000</v>
      </c>
      <c r="AA70" s="187">
        <f t="shared" si="34"/>
        <v>20782125</v>
      </c>
      <c r="AB70" s="187">
        <f t="shared" si="34"/>
        <v>27276539.0625</v>
      </c>
      <c r="AC70" s="187">
        <f>AC$68*$R$13*$N$34</f>
        <v>36659668.499999993</v>
      </c>
      <c r="AD70" s="187">
        <f>AD$68*$R$13*$N$34</f>
        <v>38492651.924999997</v>
      </c>
      <c r="AE70" s="255"/>
    </row>
    <row r="71" spans="2:31" x14ac:dyDescent="0.35">
      <c r="V71" s="246" t="s">
        <v>326</v>
      </c>
      <c r="W71" s="247" t="s">
        <v>327</v>
      </c>
      <c r="X71" s="248"/>
      <c r="Y71" s="249"/>
      <c r="Z71" s="249"/>
      <c r="AA71" s="248"/>
      <c r="AB71" s="248"/>
      <c r="AC71" s="248"/>
      <c r="AD71" s="248"/>
      <c r="AE71" s="250"/>
    </row>
    <row r="72" spans="2:31" x14ac:dyDescent="0.35">
      <c r="V72" s="256" t="s">
        <v>335</v>
      </c>
      <c r="W72" s="160" t="s">
        <v>334</v>
      </c>
      <c r="X72" s="151" t="s">
        <v>273</v>
      </c>
      <c r="Y72" s="160">
        <f>$C$36*$C$34</f>
        <v>4980</v>
      </c>
      <c r="Z72" s="160">
        <f>$C$36*$C$34</f>
        <v>4980</v>
      </c>
      <c r="AA72" s="168">
        <f>(Z72*$N$41)+Z72</f>
        <v>5229</v>
      </c>
      <c r="AB72" s="168">
        <f>(AA72*$N$41+AA72)</f>
        <v>5490.45</v>
      </c>
      <c r="AE72" s="199"/>
    </row>
    <row r="73" spans="2:31" x14ac:dyDescent="0.35">
      <c r="V73" s="256" t="s">
        <v>336</v>
      </c>
      <c r="W73" s="160" t="s">
        <v>337</v>
      </c>
      <c r="X73" s="151" t="s">
        <v>273</v>
      </c>
      <c r="Y73" s="160">
        <v>10000</v>
      </c>
      <c r="Z73" s="160">
        <v>10000</v>
      </c>
      <c r="AA73" s="160">
        <f t="shared" ref="AA73:AB75" si="35">Z73*$N$41+Z73</f>
        <v>10500</v>
      </c>
      <c r="AB73" s="160">
        <f t="shared" si="35"/>
        <v>11025</v>
      </c>
      <c r="AE73" s="199"/>
    </row>
    <row r="74" spans="2:31" x14ac:dyDescent="0.35">
      <c r="V74" s="256" t="s">
        <v>338</v>
      </c>
      <c r="W74" s="160" t="s">
        <v>339</v>
      </c>
      <c r="X74" s="151" t="s">
        <v>273</v>
      </c>
      <c r="Y74" s="160">
        <v>80</v>
      </c>
      <c r="Z74" s="160">
        <v>80</v>
      </c>
      <c r="AA74" s="160">
        <f t="shared" si="35"/>
        <v>84</v>
      </c>
      <c r="AB74" s="160">
        <f t="shared" si="35"/>
        <v>88.2</v>
      </c>
      <c r="AE74" s="199"/>
    </row>
    <row r="75" spans="2:31" x14ac:dyDescent="0.35">
      <c r="V75" s="256" t="s">
        <v>340</v>
      </c>
      <c r="W75" s="160" t="s">
        <v>341</v>
      </c>
      <c r="X75" s="151" t="s">
        <v>273</v>
      </c>
      <c r="Y75" s="160">
        <f>$C$39*$C$40*$D$40</f>
        <v>14400</v>
      </c>
      <c r="Z75" s="160">
        <f>$C$39*$C$40*$D$40</f>
        <v>14400</v>
      </c>
      <c r="AA75" s="160">
        <f t="shared" si="35"/>
        <v>15120</v>
      </c>
      <c r="AB75" s="160">
        <f t="shared" si="35"/>
        <v>15876</v>
      </c>
      <c r="AE75" s="199"/>
    </row>
    <row r="76" spans="2:31" s="153" customFormat="1" x14ac:dyDescent="0.35"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V76" s="201" t="s">
        <v>326</v>
      </c>
      <c r="W76" s="188" t="s">
        <v>546</v>
      </c>
      <c r="X76" s="189" t="s">
        <v>273</v>
      </c>
      <c r="Y76" s="190">
        <f>SUM(Y72+Y73+Y75)*$N$34</f>
        <v>352560</v>
      </c>
      <c r="Z76" s="190">
        <f>SUM(Z72+Z73+Z75)*$N$34</f>
        <v>352560</v>
      </c>
      <c r="AA76" s="190">
        <f>SUM(AA72+AA73+AA75)*$N$34</f>
        <v>370188</v>
      </c>
      <c r="AB76" s="190">
        <f>SUM(AB72+AB73+AB75)*$N$34</f>
        <v>388697.4</v>
      </c>
      <c r="AC76" s="190"/>
      <c r="AD76" s="190"/>
      <c r="AE76" s="202"/>
    </row>
    <row r="77" spans="2:31" s="153" customFormat="1" x14ac:dyDescent="0.35"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V77" s="203" t="s">
        <v>326</v>
      </c>
      <c r="W77" s="204" t="s">
        <v>393</v>
      </c>
      <c r="X77" s="205" t="s">
        <v>273</v>
      </c>
      <c r="Y77" s="206">
        <f>Y76*$Y$39</f>
        <v>3173040</v>
      </c>
      <c r="Z77" s="206">
        <f>Z76*$Y$39</f>
        <v>3173040</v>
      </c>
      <c r="AA77" s="206">
        <f t="shared" ref="AA77:AB77" si="36">AA76*$Y$39</f>
        <v>3331692</v>
      </c>
      <c r="AB77" s="206">
        <f t="shared" si="36"/>
        <v>3498276.6</v>
      </c>
      <c r="AC77" s="206"/>
      <c r="AD77" s="206"/>
      <c r="AE77" s="207"/>
    </row>
    <row r="78" spans="2:31" s="153" customFormat="1" x14ac:dyDescent="0.35"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V78" s="257" t="s">
        <v>342</v>
      </c>
      <c r="W78" s="258" t="s">
        <v>506</v>
      </c>
      <c r="X78" s="259" t="s">
        <v>273</v>
      </c>
      <c r="Y78" s="260">
        <v>10000000</v>
      </c>
      <c r="Z78" s="260">
        <v>10000000</v>
      </c>
      <c r="AA78" s="261">
        <f>(Z78*$N$38)+Z78</f>
        <v>11000000</v>
      </c>
      <c r="AB78" s="261">
        <f>(AA78*$N$38)+AA78</f>
        <v>12100000</v>
      </c>
      <c r="AC78" s="261">
        <f>(AB78*$N$38)+AB78</f>
        <v>13310000</v>
      </c>
      <c r="AD78" s="261">
        <f>(AC78*$N$38)+AC78</f>
        <v>14641000</v>
      </c>
      <c r="AE78" s="262"/>
    </row>
    <row r="79" spans="2:31" s="153" customFormat="1" x14ac:dyDescent="0.35"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V79" s="263" t="s">
        <v>342</v>
      </c>
      <c r="W79" s="191" t="s">
        <v>507</v>
      </c>
      <c r="X79" s="189" t="s">
        <v>273</v>
      </c>
      <c r="Y79" s="190">
        <f>Y$78*17%</f>
        <v>1700000.0000000002</v>
      </c>
      <c r="Z79" s="190">
        <f>Z$78*17%</f>
        <v>1700000.0000000002</v>
      </c>
      <c r="AA79" s="190">
        <f t="shared" ref="AA79:AD79" si="37">AA$78*17%</f>
        <v>1870000.0000000002</v>
      </c>
      <c r="AB79" s="190">
        <f t="shared" si="37"/>
        <v>2057000.0000000002</v>
      </c>
      <c r="AC79" s="190">
        <f t="shared" si="37"/>
        <v>2262700</v>
      </c>
      <c r="AD79" s="190">
        <f t="shared" si="37"/>
        <v>2488970</v>
      </c>
      <c r="AE79" s="264"/>
    </row>
    <row r="80" spans="2:31" s="153" customFormat="1" x14ac:dyDescent="0.35"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V80" s="201" t="s">
        <v>564</v>
      </c>
      <c r="W80" s="188" t="s">
        <v>566</v>
      </c>
      <c r="X80" s="189" t="s">
        <v>273</v>
      </c>
      <c r="Y80" s="190">
        <f>Y$90*$N$34*$N$44</f>
        <v>1693440</v>
      </c>
      <c r="Z80" s="190">
        <f t="shared" ref="Z80:AB80" si="38">Z$90*$N$34*$N$44</f>
        <v>1693440</v>
      </c>
      <c r="AA80" s="190">
        <f t="shared" si="38"/>
        <v>2116800</v>
      </c>
      <c r="AB80" s="190">
        <f t="shared" si="38"/>
        <v>2646000</v>
      </c>
      <c r="AC80" s="190"/>
      <c r="AD80" s="190"/>
      <c r="AE80" s="202"/>
    </row>
    <row r="81" spans="2:34" s="153" customFormat="1" ht="13.5" thickBot="1" x14ac:dyDescent="0.4">
      <c r="B81" s="306"/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V81" s="254" t="s">
        <v>564</v>
      </c>
      <c r="W81" s="185" t="s">
        <v>567</v>
      </c>
      <c r="X81" s="186" t="s">
        <v>273</v>
      </c>
      <c r="Y81" s="187">
        <f>Y$89*$N$34*$N$44</f>
        <v>12700800</v>
      </c>
      <c r="Z81" s="187">
        <f t="shared" ref="Z81:AB81" si="39">Z$89*$N$34*$N$44</f>
        <v>12700800</v>
      </c>
      <c r="AA81" s="187">
        <f t="shared" si="39"/>
        <v>15876000</v>
      </c>
      <c r="AB81" s="187">
        <f t="shared" si="39"/>
        <v>19845000</v>
      </c>
      <c r="AC81" s="187"/>
      <c r="AD81" s="187"/>
      <c r="AE81" s="255"/>
    </row>
    <row r="82" spans="2:34" ht="15.5" x14ac:dyDescent="0.35">
      <c r="V82" s="265">
        <v>2</v>
      </c>
      <c r="W82" s="266" t="s">
        <v>430</v>
      </c>
      <c r="X82" s="267" t="s">
        <v>273</v>
      </c>
      <c r="Y82" s="268">
        <f>SUM(Y69+Y76+Y17+Y28+Y79+Y80)</f>
        <v>10992800</v>
      </c>
      <c r="Z82" s="268">
        <f t="shared" ref="Z82:AB82" si="40">SUM(Z69+Z76+Z17+Z28+Z79+Z80)</f>
        <v>10992800</v>
      </c>
      <c r="AA82" s="268">
        <f t="shared" si="40"/>
        <v>12414913</v>
      </c>
      <c r="AB82" s="268">
        <f t="shared" si="40"/>
        <v>15090193.9625</v>
      </c>
      <c r="AC82" s="268">
        <f>SUM(AC69+AC76+AC17+AC28+AC79)</f>
        <v>12275819.559999999</v>
      </c>
      <c r="AD82" s="268">
        <f>SUM(AD69+AD76+AD17+AD28+AD79)</f>
        <v>13089665.665999999</v>
      </c>
      <c r="AE82" s="269"/>
    </row>
    <row r="83" spans="2:34" ht="16" thickBot="1" x14ac:dyDescent="0.4">
      <c r="B83" s="156"/>
      <c r="C83" s="177"/>
      <c r="V83" s="241">
        <v>2</v>
      </c>
      <c r="W83" s="242" t="s">
        <v>431</v>
      </c>
      <c r="X83" s="243" t="s">
        <v>273</v>
      </c>
      <c r="Y83" s="244">
        <f>SUM(Y70+Y77+Y19+Y28+Y78+Y81+N48)</f>
        <v>59611840</v>
      </c>
      <c r="Z83" s="244">
        <f>SUM(Z70+Z77+Z19+Z28+Z78+Z81+N48)</f>
        <v>59611840</v>
      </c>
      <c r="AA83" s="244">
        <f>SUM(AA70+AA77+AA19+AA28+AA78+AA81+N48)</f>
        <v>71415317</v>
      </c>
      <c r="AB83" s="244">
        <f>SUM(AB70+AB77+AB19+AB28+AB78+AB81+N48)</f>
        <v>87330754.412499994</v>
      </c>
      <c r="AC83" s="244">
        <f>SUM(AC70+AC77+AC19+AC28+AC78)</f>
        <v>64119121.099999994</v>
      </c>
      <c r="AD83" s="244">
        <f>SUM(AD70+AD77+AD19+AD28+AD78)</f>
        <v>68077497.282999992</v>
      </c>
      <c r="AE83" s="245"/>
    </row>
    <row r="84" spans="2:34" s="143" customFormat="1" ht="18.5" customHeight="1" x14ac:dyDescent="0.35">
      <c r="B84" s="162"/>
      <c r="C84" s="273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7"/>
      <c r="Q84" s="164"/>
      <c r="R84" s="164"/>
      <c r="S84" s="164"/>
      <c r="T84" s="164"/>
      <c r="V84" s="251" t="s">
        <v>344</v>
      </c>
      <c r="W84" s="252" t="s">
        <v>547</v>
      </c>
      <c r="X84" s="253"/>
      <c r="Y84" s="252"/>
      <c r="Z84" s="252"/>
      <c r="AA84" s="252"/>
      <c r="AB84" s="252"/>
      <c r="AC84" s="252"/>
      <c r="AD84" s="252"/>
      <c r="AE84" s="274"/>
    </row>
    <row r="85" spans="2:34" x14ac:dyDescent="0.35">
      <c r="B85" s="142"/>
      <c r="C85" s="166"/>
      <c r="P85" s="165"/>
      <c r="V85" s="246" t="s">
        <v>200</v>
      </c>
      <c r="W85" s="247" t="s">
        <v>374</v>
      </c>
      <c r="X85" s="248"/>
      <c r="Y85" s="280"/>
      <c r="Z85" s="280"/>
      <c r="AA85" s="281"/>
      <c r="AB85" s="281"/>
      <c r="AC85" s="281"/>
      <c r="AD85" s="281"/>
      <c r="AE85" s="250"/>
    </row>
    <row r="86" spans="2:34" x14ac:dyDescent="0.35">
      <c r="B86" s="142"/>
      <c r="C86" s="166"/>
      <c r="P86" s="165"/>
      <c r="V86" s="198" t="s">
        <v>262</v>
      </c>
      <c r="W86" s="142" t="s">
        <v>165</v>
      </c>
      <c r="X86" s="150" t="s">
        <v>266</v>
      </c>
      <c r="Y86" s="151">
        <v>420</v>
      </c>
      <c r="Z86" s="151">
        <v>420</v>
      </c>
      <c r="AA86" s="168">
        <f>(Z86*$N$39)+Z86</f>
        <v>436.8</v>
      </c>
      <c r="AB86" s="168">
        <f>(AA86*$N$39)+AA86</f>
        <v>454.27199999999999</v>
      </c>
      <c r="AC86" s="168">
        <f>(AB86*$N$39)+AB86</f>
        <v>472.44288</v>
      </c>
      <c r="AD86" s="168">
        <f>(AC86*$N$39)+AC86</f>
        <v>491.3405952</v>
      </c>
      <c r="AE86" s="199"/>
    </row>
    <row r="87" spans="2:34" x14ac:dyDescent="0.35">
      <c r="P87" s="165"/>
      <c r="V87" s="198" t="s">
        <v>358</v>
      </c>
      <c r="W87" s="142" t="s">
        <v>93</v>
      </c>
      <c r="X87" s="150" t="s">
        <v>343</v>
      </c>
      <c r="Y87" s="166">
        <v>0.15</v>
      </c>
      <c r="Z87" s="166">
        <v>0.15</v>
      </c>
      <c r="AA87" s="166">
        <v>0.15</v>
      </c>
      <c r="AB87" s="166">
        <v>0.15</v>
      </c>
      <c r="AC87" s="166">
        <v>0.15</v>
      </c>
      <c r="AD87" s="166">
        <v>0.15</v>
      </c>
      <c r="AE87" s="199"/>
    </row>
    <row r="88" spans="2:34" s="153" customFormat="1" x14ac:dyDescent="0.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40"/>
      <c r="O88" s="138"/>
      <c r="P88" s="146"/>
      <c r="Q88" s="138"/>
      <c r="R88" s="138"/>
      <c r="S88" s="138"/>
      <c r="T88" s="138"/>
      <c r="V88" s="198" t="s">
        <v>263</v>
      </c>
      <c r="W88" s="142" t="s">
        <v>94</v>
      </c>
      <c r="X88" s="150" t="s">
        <v>266</v>
      </c>
      <c r="Y88" s="152">
        <v>3</v>
      </c>
      <c r="Z88" s="152">
        <v>3</v>
      </c>
      <c r="AA88" s="152">
        <v>3</v>
      </c>
      <c r="AB88" s="152">
        <v>3</v>
      </c>
      <c r="AC88" s="152">
        <v>3</v>
      </c>
      <c r="AD88" s="152">
        <v>3</v>
      </c>
      <c r="AE88" s="199"/>
    </row>
    <row r="89" spans="2:34" s="153" customFormat="1" x14ac:dyDescent="0.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40"/>
      <c r="O89" s="138"/>
      <c r="P89" s="146"/>
      <c r="Q89" s="138"/>
      <c r="R89" s="138"/>
      <c r="S89" s="138"/>
      <c r="T89" s="138"/>
      <c r="V89" s="198" t="s">
        <v>264</v>
      </c>
      <c r="W89" s="142" t="s">
        <v>437</v>
      </c>
      <c r="X89" s="150" t="s">
        <v>266</v>
      </c>
      <c r="Y89" s="168">
        <f>$N$10/$N$33*$H$15*$D$40</f>
        <v>211680</v>
      </c>
      <c r="Z89" s="168">
        <f>$N$10/$N$33*$H$15*$D$40</f>
        <v>211680</v>
      </c>
      <c r="AA89" s="168">
        <f>Z89*$N$42+Z89</f>
        <v>264600</v>
      </c>
      <c r="AB89" s="168">
        <f>AA89*$N$42+AA89</f>
        <v>330750</v>
      </c>
      <c r="AC89" s="168">
        <f t="shared" ref="AC89:AD89" si="41">$N$10/$N$33*$H$15*$D$40</f>
        <v>211680</v>
      </c>
      <c r="AD89" s="168">
        <f t="shared" si="41"/>
        <v>211680</v>
      </c>
      <c r="AE89" s="199"/>
    </row>
    <row r="90" spans="2:34" x14ac:dyDescent="0.35">
      <c r="P90" s="165"/>
      <c r="V90" s="198" t="s">
        <v>267</v>
      </c>
      <c r="W90" s="142" t="s">
        <v>438</v>
      </c>
      <c r="X90" s="150" t="s">
        <v>266</v>
      </c>
      <c r="Y90" s="168">
        <f>$O$10/$N$33*$H$15*$D$40</f>
        <v>28224</v>
      </c>
      <c r="Z90" s="168">
        <f>$O$10/$N$33*$H$15*$D$40</f>
        <v>28224</v>
      </c>
      <c r="AA90" s="168">
        <f>Z90*$N$42+Z90</f>
        <v>35280</v>
      </c>
      <c r="AB90" s="168">
        <f>AA90*$N$42+AA90</f>
        <v>44100</v>
      </c>
      <c r="AC90" s="168">
        <f t="shared" ref="AC90:AD90" si="42">$O$10/$N$33*$H$15*$D$40</f>
        <v>28224</v>
      </c>
      <c r="AD90" s="168">
        <f t="shared" si="42"/>
        <v>28224</v>
      </c>
      <c r="AE90" s="218"/>
    </row>
    <row r="91" spans="2:34" x14ac:dyDescent="0.35">
      <c r="V91" s="201" t="s">
        <v>268</v>
      </c>
      <c r="W91" s="188" t="s">
        <v>435</v>
      </c>
      <c r="X91" s="189" t="s">
        <v>273</v>
      </c>
      <c r="Y91" s="190">
        <f t="shared" ref="Y91:AD91" si="43">Y$90*Y$86*Y$87*$N$34</f>
        <v>21337344</v>
      </c>
      <c r="Z91" s="190">
        <f t="shared" si="43"/>
        <v>21337344</v>
      </c>
      <c r="AA91" s="190">
        <f t="shared" si="43"/>
        <v>27738547.200000003</v>
      </c>
      <c r="AB91" s="190">
        <f t="shared" si="43"/>
        <v>36060111.359999999</v>
      </c>
      <c r="AC91" s="190">
        <f t="shared" si="43"/>
        <v>24001610.121215999</v>
      </c>
      <c r="AD91" s="190">
        <f t="shared" si="43"/>
        <v>24961674.526064638</v>
      </c>
      <c r="AE91" s="202"/>
      <c r="AH91" s="310"/>
    </row>
    <row r="92" spans="2:34" x14ac:dyDescent="0.35">
      <c r="V92" s="203" t="s">
        <v>269</v>
      </c>
      <c r="W92" s="204" t="s">
        <v>563</v>
      </c>
      <c r="X92" s="205" t="s">
        <v>273</v>
      </c>
      <c r="Y92" s="206">
        <f t="shared" ref="Y92:AD92" si="44">Y$89*Y$86*Y$87*$N$34</f>
        <v>160030080</v>
      </c>
      <c r="Z92" s="206">
        <f t="shared" si="44"/>
        <v>160030080</v>
      </c>
      <c r="AA92" s="206">
        <f t="shared" si="44"/>
        <v>208039104</v>
      </c>
      <c r="AB92" s="206">
        <f t="shared" si="44"/>
        <v>270450835.19999999</v>
      </c>
      <c r="AC92" s="206">
        <f t="shared" si="44"/>
        <v>180012075.90912002</v>
      </c>
      <c r="AD92" s="206">
        <f t="shared" si="44"/>
        <v>187212558.94548482</v>
      </c>
      <c r="AE92" s="207"/>
      <c r="AH92" s="310"/>
    </row>
    <row r="93" spans="2:34" x14ac:dyDescent="0.35">
      <c r="V93" s="246" t="s">
        <v>201</v>
      </c>
      <c r="W93" s="247" t="s">
        <v>351</v>
      </c>
      <c r="X93" s="248"/>
      <c r="Y93" s="280"/>
      <c r="Z93" s="280"/>
      <c r="AA93" s="281"/>
      <c r="AB93" s="281"/>
      <c r="AC93" s="281"/>
      <c r="AD93" s="281"/>
      <c r="AE93" s="250"/>
    </row>
    <row r="94" spans="2:34" x14ac:dyDescent="0.35">
      <c r="V94" s="219" t="s">
        <v>459</v>
      </c>
      <c r="W94" s="156" t="s">
        <v>456</v>
      </c>
      <c r="X94" s="150" t="s">
        <v>273</v>
      </c>
      <c r="Y94" s="152">
        <v>70</v>
      </c>
      <c r="Z94" s="152">
        <v>70</v>
      </c>
      <c r="AA94" s="170">
        <f>(Z94*$N$40)+Z94</f>
        <v>72.8</v>
      </c>
      <c r="AB94" s="170">
        <f>(AA94*(1+$N$40))</f>
        <v>75.712000000000003</v>
      </c>
      <c r="AC94" s="170">
        <f>(AB94*(1+$N$40))</f>
        <v>78.740480000000005</v>
      </c>
      <c r="AD94" s="170">
        <f>(AC94*(1+$N$40))</f>
        <v>81.890099200000009</v>
      </c>
      <c r="AE94" s="199"/>
    </row>
    <row r="95" spans="2:34" x14ac:dyDescent="0.35">
      <c r="V95" s="201" t="s">
        <v>460</v>
      </c>
      <c r="W95" s="188" t="s">
        <v>457</v>
      </c>
      <c r="X95" s="189" t="s">
        <v>273</v>
      </c>
      <c r="Y95" s="190">
        <f>Y$90*Y$94*$N$34</f>
        <v>23708160</v>
      </c>
      <c r="Z95" s="190">
        <f>Y$90*Y$94*$N$34</f>
        <v>23708160</v>
      </c>
      <c r="AA95" s="190">
        <f>Z$90*Z$94*$N$34</f>
        <v>23708160</v>
      </c>
      <c r="AB95" s="190">
        <f>AA$90*AA$94*$N$34</f>
        <v>30820608</v>
      </c>
      <c r="AC95" s="190">
        <f>AB$90*AB$94*$N$34</f>
        <v>40066790.400000006</v>
      </c>
      <c r="AD95" s="190">
        <f>AC$90*AC$94*$N$34</f>
        <v>26668455.690240003</v>
      </c>
      <c r="AE95" s="202"/>
    </row>
    <row r="96" spans="2:34" ht="13.5" thickBot="1" x14ac:dyDescent="0.4">
      <c r="V96" s="254" t="s">
        <v>461</v>
      </c>
      <c r="W96" s="185" t="s">
        <v>458</v>
      </c>
      <c r="X96" s="186" t="s">
        <v>273</v>
      </c>
      <c r="Y96" s="187">
        <f>Y$89*Y$94*$N$34</f>
        <v>177811200</v>
      </c>
      <c r="Z96" s="187">
        <f>Y$89*Y$94*$N$34</f>
        <v>177811200</v>
      </c>
      <c r="AA96" s="187">
        <f>Z$89*Z$94*$N$34</f>
        <v>177811200</v>
      </c>
      <c r="AB96" s="187">
        <f>AA$89*AA$94*$N$34</f>
        <v>231154560</v>
      </c>
      <c r="AC96" s="187">
        <f>AB$89*AB$94*$N$34</f>
        <v>300500928</v>
      </c>
      <c r="AD96" s="187">
        <f>AC$89*AC$94*$N$34</f>
        <v>200013417.67680001</v>
      </c>
      <c r="AE96" s="255"/>
    </row>
    <row r="97" spans="2:36" x14ac:dyDescent="0.35">
      <c r="V97" s="275" t="s">
        <v>202</v>
      </c>
      <c r="W97" s="276" t="s">
        <v>375</v>
      </c>
      <c r="X97" s="277"/>
      <c r="Y97" s="282"/>
      <c r="Z97" s="282"/>
      <c r="AA97" s="278"/>
      <c r="AB97" s="278"/>
      <c r="AC97" s="278"/>
      <c r="AD97" s="278"/>
      <c r="AE97" s="279"/>
    </row>
    <row r="98" spans="2:36" s="153" customFormat="1" ht="15.5" x14ac:dyDescent="0.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V98" s="236" t="s">
        <v>462</v>
      </c>
      <c r="W98" s="237" t="s">
        <v>464</v>
      </c>
      <c r="X98" s="238" t="s">
        <v>273</v>
      </c>
      <c r="Y98" s="239">
        <f>SUM(Y91+Y95)</f>
        <v>45045504</v>
      </c>
      <c r="Z98" s="239">
        <f>SUM(Z91+Z95)</f>
        <v>45045504</v>
      </c>
      <c r="AA98" s="239">
        <f t="shared" ref="AA98:AD98" si="45">SUM(AA91+AA95)</f>
        <v>51446707.200000003</v>
      </c>
      <c r="AB98" s="239">
        <f t="shared" si="45"/>
        <v>66880719.359999999</v>
      </c>
      <c r="AC98" s="239">
        <f t="shared" si="45"/>
        <v>64068400.521216005</v>
      </c>
      <c r="AD98" s="239">
        <f t="shared" si="45"/>
        <v>51630130.216304645</v>
      </c>
      <c r="AE98" s="240"/>
    </row>
    <row r="99" spans="2:36" ht="16" thickBot="1" x14ac:dyDescent="0.4">
      <c r="V99" s="241" t="s">
        <v>463</v>
      </c>
      <c r="W99" s="242" t="s">
        <v>465</v>
      </c>
      <c r="X99" s="243" t="s">
        <v>273</v>
      </c>
      <c r="Y99" s="244">
        <f>SUM(Y92+Y96)</f>
        <v>337841280</v>
      </c>
      <c r="Z99" s="244">
        <f>SUM(Z92+Z96)</f>
        <v>337841280</v>
      </c>
      <c r="AA99" s="244">
        <f t="shared" ref="AA99:AD99" si="46">SUM(AA92+AA96)</f>
        <v>385850304</v>
      </c>
      <c r="AB99" s="244">
        <f t="shared" si="46"/>
        <v>501605395.19999999</v>
      </c>
      <c r="AC99" s="244">
        <f t="shared" si="46"/>
        <v>480513003.90912002</v>
      </c>
      <c r="AD99" s="244">
        <f t="shared" si="46"/>
        <v>387225976.62228483</v>
      </c>
      <c r="AE99" s="245"/>
    </row>
    <row r="100" spans="2:36" ht="15.5" x14ac:dyDescent="0.35">
      <c r="V100" s="288" t="s">
        <v>345</v>
      </c>
      <c r="W100" s="289" t="s">
        <v>466</v>
      </c>
      <c r="X100" s="290" t="s">
        <v>273</v>
      </c>
      <c r="Y100" s="291">
        <f>Y99-Y83-Y63</f>
        <v>212216940</v>
      </c>
      <c r="Z100" s="291">
        <f>Z99-Z83-Z63</f>
        <v>212216940</v>
      </c>
      <c r="AA100" s="291">
        <f>AA99-AA83-AA63</f>
        <v>265898082.23809522</v>
      </c>
      <c r="AB100" s="291">
        <f>AB99-AB83-AB63</f>
        <v>375503331.26369047</v>
      </c>
      <c r="AC100" s="291">
        <f>AC99-AC83-AC61</f>
        <v>416393882.80912006</v>
      </c>
      <c r="AD100" s="291">
        <f>AD99-AD83-AD61</f>
        <v>319148479.33928484</v>
      </c>
      <c r="AE100" s="292"/>
      <c r="AG100" s="168"/>
      <c r="AH100" s="168"/>
      <c r="AI100" s="168"/>
      <c r="AJ100" s="168"/>
    </row>
    <row r="101" spans="2:36" x14ac:dyDescent="0.35">
      <c r="V101" s="246" t="s">
        <v>352</v>
      </c>
      <c r="W101" s="247" t="s">
        <v>467</v>
      </c>
      <c r="X101" s="248" t="s">
        <v>273</v>
      </c>
      <c r="Y101" s="293">
        <f>(Y$51/Y$43)</f>
        <v>1254166.6666666667</v>
      </c>
      <c r="Z101" s="293">
        <f>(Z$51/Z$43)</f>
        <v>1254166.6666666667</v>
      </c>
      <c r="AA101" s="293">
        <f>(Z$51/AA$43)</f>
        <v>1254166.6666666667</v>
      </c>
      <c r="AB101" s="293">
        <f>(Z$51/AB$43)</f>
        <v>1254166.6666666667</v>
      </c>
      <c r="AC101" s="281"/>
      <c r="AD101" s="281"/>
      <c r="AE101" s="250"/>
    </row>
    <row r="102" spans="2:36" x14ac:dyDescent="0.35">
      <c r="V102" s="219" t="s">
        <v>548</v>
      </c>
      <c r="W102" s="156" t="s">
        <v>468</v>
      </c>
      <c r="X102" s="150" t="s">
        <v>273</v>
      </c>
      <c r="Y102" s="168">
        <f>(Y56/$N$26)</f>
        <v>3471428.5714285714</v>
      </c>
      <c r="Z102" s="168">
        <f>(Z56/$N$26)</f>
        <v>3471428.5714285714</v>
      </c>
      <c r="AA102" s="168">
        <f>(Z$56/$N$26)</f>
        <v>3471428.5714285714</v>
      </c>
      <c r="AB102" s="168">
        <f>(Z$56/$N$26)</f>
        <v>3471428.5714285714</v>
      </c>
      <c r="AE102" s="199"/>
    </row>
    <row r="103" spans="2:36" x14ac:dyDescent="0.35">
      <c r="V103" s="219" t="s">
        <v>549</v>
      </c>
      <c r="W103" s="156" t="s">
        <v>531</v>
      </c>
      <c r="X103" s="150" t="s">
        <v>273</v>
      </c>
      <c r="Y103" s="168">
        <f>(Y$40/$N$30)</f>
        <v>6300000</v>
      </c>
      <c r="Z103" s="168">
        <f>(Z$40/$N$30)</f>
        <v>6300000</v>
      </c>
      <c r="AA103" s="168">
        <f t="shared" ref="AA103:AB103" si="47">(AA$40/$N$30)</f>
        <v>5040000</v>
      </c>
      <c r="AB103" s="168">
        <f t="shared" si="47"/>
        <v>4032000</v>
      </c>
      <c r="AE103" s="199"/>
    </row>
    <row r="104" spans="2:36" x14ac:dyDescent="0.35">
      <c r="V104" s="219" t="s">
        <v>550</v>
      </c>
      <c r="W104" s="156" t="s">
        <v>512</v>
      </c>
      <c r="X104" s="150" t="s">
        <v>273</v>
      </c>
      <c r="Y104" s="168">
        <f>(Y$58/$N$32)</f>
        <v>450000</v>
      </c>
      <c r="Z104" s="168">
        <f>(Z$58/$N$32)</f>
        <v>450000</v>
      </c>
      <c r="AA104" s="168">
        <f>(AA$58/$N$32)</f>
        <v>0</v>
      </c>
      <c r="AB104" s="168">
        <f>(AB$58/$N$32)</f>
        <v>0</v>
      </c>
      <c r="AE104" s="199"/>
    </row>
    <row r="105" spans="2:36" x14ac:dyDescent="0.35">
      <c r="V105" s="219" t="s">
        <v>551</v>
      </c>
      <c r="W105" s="156" t="s">
        <v>513</v>
      </c>
      <c r="X105" s="150" t="s">
        <v>273</v>
      </c>
      <c r="Y105" s="168">
        <v>500000</v>
      </c>
      <c r="Z105" s="168">
        <v>500000</v>
      </c>
      <c r="AA105" s="173">
        <v>0</v>
      </c>
      <c r="AB105" s="173">
        <v>0</v>
      </c>
      <c r="AE105" s="199"/>
    </row>
    <row r="106" spans="2:36" ht="13.5" thickBot="1" x14ac:dyDescent="0.4">
      <c r="V106" s="219" t="s">
        <v>552</v>
      </c>
      <c r="W106" s="156" t="s">
        <v>520</v>
      </c>
      <c r="X106" s="150" t="s">
        <v>273</v>
      </c>
      <c r="Y106" s="168">
        <v>500000</v>
      </c>
      <c r="Z106" s="168">
        <v>500000</v>
      </c>
      <c r="AA106" s="173">
        <v>0</v>
      </c>
      <c r="AB106" s="173">
        <v>0</v>
      </c>
      <c r="AE106" s="199"/>
    </row>
    <row r="107" spans="2:36" ht="16" thickBot="1" x14ac:dyDescent="0.4">
      <c r="V107" s="283" t="s">
        <v>352</v>
      </c>
      <c r="W107" s="284" t="s">
        <v>471</v>
      </c>
      <c r="X107" s="285" t="s">
        <v>273</v>
      </c>
      <c r="Y107" s="286">
        <f>SUM(Y101:Y106)</f>
        <v>12475595.238095239</v>
      </c>
      <c r="Z107" s="286">
        <f>SUM(Z101:Z106)</f>
        <v>12475595.238095239</v>
      </c>
      <c r="AA107" s="294">
        <f t="shared" ref="AA107:AD107" si="48">SUM(AA101:AA106)</f>
        <v>9765595.2380952388</v>
      </c>
      <c r="AB107" s="294">
        <f t="shared" si="48"/>
        <v>8757595.2380952388</v>
      </c>
      <c r="AC107" s="286">
        <f t="shared" si="48"/>
        <v>0</v>
      </c>
      <c r="AD107" s="286">
        <f t="shared" si="48"/>
        <v>0</v>
      </c>
      <c r="AE107" s="287"/>
      <c r="AG107" s="414"/>
      <c r="AH107" s="414"/>
      <c r="AI107" s="414"/>
      <c r="AJ107" s="414"/>
    </row>
    <row r="108" spans="2:36" x14ac:dyDescent="0.35">
      <c r="V108" s="246" t="s">
        <v>353</v>
      </c>
      <c r="W108" s="247" t="s">
        <v>472</v>
      </c>
      <c r="X108" s="248" t="s">
        <v>273</v>
      </c>
      <c r="Y108" s="293">
        <f>(Y$51/$Y$43)</f>
        <v>1254166.6666666667</v>
      </c>
      <c r="Z108" s="293">
        <f t="shared" ref="Z108:AB108" si="49">(Z$51/$Y$43)</f>
        <v>1254166.6666666667</v>
      </c>
      <c r="AA108" s="293">
        <f t="shared" si="49"/>
        <v>836111.11111111101</v>
      </c>
      <c r="AB108" s="293">
        <f t="shared" si="49"/>
        <v>418055.55555555545</v>
      </c>
      <c r="AC108" s="281"/>
      <c r="AD108" s="281"/>
      <c r="AE108" s="250"/>
    </row>
    <row r="109" spans="2:36" x14ac:dyDescent="0.35">
      <c r="V109" s="219" t="s">
        <v>553</v>
      </c>
      <c r="W109" s="156" t="s">
        <v>473</v>
      </c>
      <c r="X109" s="150" t="s">
        <v>273</v>
      </c>
      <c r="Y109" s="168">
        <f>(Y$63/$N$29)</f>
        <v>6601250</v>
      </c>
      <c r="Z109" s="168">
        <f t="shared" ref="Z109:AB109" si="50">(Z$63/$N$29)</f>
        <v>6601250</v>
      </c>
      <c r="AA109" s="168">
        <f t="shared" si="50"/>
        <v>4853690.4761904767</v>
      </c>
      <c r="AB109" s="168">
        <f t="shared" si="50"/>
        <v>3877130.9523809524</v>
      </c>
      <c r="AE109" s="199"/>
    </row>
    <row r="110" spans="2:36" x14ac:dyDescent="0.35">
      <c r="V110" s="219" t="s">
        <v>554</v>
      </c>
      <c r="W110" s="156" t="s">
        <v>558</v>
      </c>
      <c r="X110" s="150" t="s">
        <v>273</v>
      </c>
      <c r="Y110" s="168">
        <f>(Y$40/$N$25)</f>
        <v>1575000</v>
      </c>
      <c r="Z110" s="168">
        <f t="shared" ref="Z110:AB110" si="51">(Z$40/$N$25)</f>
        <v>1575000</v>
      </c>
      <c r="AA110" s="168">
        <f t="shared" si="51"/>
        <v>1260000</v>
      </c>
      <c r="AB110" s="168">
        <f t="shared" si="51"/>
        <v>1008000</v>
      </c>
      <c r="AE110" s="199"/>
    </row>
    <row r="111" spans="2:36" x14ac:dyDescent="0.35">
      <c r="V111" s="219" t="s">
        <v>555</v>
      </c>
      <c r="W111" s="156" t="s">
        <v>514</v>
      </c>
      <c r="X111" s="150" t="s">
        <v>273</v>
      </c>
      <c r="Y111" s="168">
        <f>(Y$58/$N$31)</f>
        <v>90000</v>
      </c>
      <c r="Z111" s="168">
        <f t="shared" ref="Z111:AB111" si="52">(Z$58/$N$31)</f>
        <v>90000</v>
      </c>
      <c r="AA111" s="168">
        <f t="shared" si="52"/>
        <v>0</v>
      </c>
      <c r="AB111" s="168">
        <f t="shared" si="52"/>
        <v>0</v>
      </c>
      <c r="AE111" s="199"/>
    </row>
    <row r="112" spans="2:36" x14ac:dyDescent="0.35">
      <c r="V112" s="219" t="s">
        <v>556</v>
      </c>
      <c r="W112" s="156" t="s">
        <v>515</v>
      </c>
      <c r="X112" s="150" t="s">
        <v>273</v>
      </c>
      <c r="Y112" s="168">
        <f>(Y$59/$N$36)</f>
        <v>166666.66666666666</v>
      </c>
      <c r="Z112" s="168">
        <f t="shared" ref="Z112:AB112" si="53">(Z$59/$N$36)</f>
        <v>166666.66666666666</v>
      </c>
      <c r="AA112" s="168">
        <f t="shared" si="53"/>
        <v>0</v>
      </c>
      <c r="AB112" s="168">
        <f t="shared" si="53"/>
        <v>0</v>
      </c>
      <c r="AE112" s="199"/>
    </row>
    <row r="113" spans="2:36" ht="13.5" thickBot="1" x14ac:dyDescent="0.4">
      <c r="V113" s="219" t="s">
        <v>557</v>
      </c>
      <c r="W113" s="156" t="s">
        <v>521</v>
      </c>
      <c r="X113" s="150" t="s">
        <v>273</v>
      </c>
      <c r="Y113" s="168">
        <f>(Y$60/$N$37)</f>
        <v>100000</v>
      </c>
      <c r="Z113" s="168">
        <f t="shared" ref="Z113:AB113" si="54">(Z$60/$N$37)</f>
        <v>100000</v>
      </c>
      <c r="AA113" s="168">
        <f t="shared" si="54"/>
        <v>0</v>
      </c>
      <c r="AB113" s="168">
        <f t="shared" si="54"/>
        <v>0</v>
      </c>
      <c r="AE113" s="199"/>
    </row>
    <row r="114" spans="2:36" ht="16" thickBot="1" x14ac:dyDescent="0.4">
      <c r="V114" s="283" t="s">
        <v>353</v>
      </c>
      <c r="W114" s="284" t="s">
        <v>481</v>
      </c>
      <c r="X114" s="285" t="s">
        <v>273</v>
      </c>
      <c r="Y114" s="286">
        <f>SUM(Y108:Y113)</f>
        <v>9787083.333333334</v>
      </c>
      <c r="Z114" s="286">
        <f>SUM(Z108:Z113)</f>
        <v>9787083.333333334</v>
      </c>
      <c r="AA114" s="294">
        <f t="shared" ref="AA114:AD114" si="55">SUM(AA108:AA113)</f>
        <v>6949801.5873015877</v>
      </c>
      <c r="AB114" s="294">
        <f t="shared" si="55"/>
        <v>5303186.5079365075</v>
      </c>
      <c r="AC114" s="286">
        <f t="shared" si="55"/>
        <v>0</v>
      </c>
      <c r="AD114" s="286">
        <f t="shared" si="55"/>
        <v>0</v>
      </c>
      <c r="AE114" s="287"/>
      <c r="AG114" s="414"/>
      <c r="AH114" s="414"/>
      <c r="AI114" s="414"/>
      <c r="AJ114" s="414"/>
    </row>
    <row r="115" spans="2:36" ht="16" thickBot="1" x14ac:dyDescent="0.4">
      <c r="V115" s="283" t="s">
        <v>354</v>
      </c>
      <c r="W115" s="284" t="s">
        <v>346</v>
      </c>
      <c r="X115" s="285" t="s">
        <v>273</v>
      </c>
      <c r="Y115" s="286">
        <f>Y100-Y107-Y114</f>
        <v>189954261.42857143</v>
      </c>
      <c r="Z115" s="286">
        <f>Z100-Z107-Z114</f>
        <v>189954261.42857143</v>
      </c>
      <c r="AA115" s="294">
        <f>AA100-AA101-AA108</f>
        <v>263807804.46031746</v>
      </c>
      <c r="AB115" s="294">
        <f>AB100-AB101-AB108</f>
        <v>373831109.0414682</v>
      </c>
      <c r="AC115" s="295">
        <f>AC100-AC101-AC108</f>
        <v>416393882.80912006</v>
      </c>
      <c r="AD115" s="295">
        <f>AD100-AD101-AD108</f>
        <v>319148479.33928484</v>
      </c>
      <c r="AE115" s="287"/>
      <c r="AG115" s="168"/>
      <c r="AH115" s="168"/>
      <c r="AI115" s="168"/>
      <c r="AJ115" s="168"/>
    </row>
    <row r="116" spans="2:36" ht="16" thickBot="1" x14ac:dyDescent="0.4">
      <c r="V116" s="283" t="s">
        <v>355</v>
      </c>
      <c r="W116" s="284" t="s">
        <v>347</v>
      </c>
      <c r="X116" s="285" t="s">
        <v>273</v>
      </c>
      <c r="Y116" s="286">
        <f>$Y$107*$N$28</f>
        <v>1247559.523809524</v>
      </c>
      <c r="Z116" s="286">
        <f>$Y$107*$N$28</f>
        <v>1247559.523809524</v>
      </c>
      <c r="AA116" s="294">
        <f>$Y$107*$N$28</f>
        <v>1247559.523809524</v>
      </c>
      <c r="AB116" s="294">
        <f>$Y$107*$N$28</f>
        <v>1247559.523809524</v>
      </c>
      <c r="AC116" s="295"/>
      <c r="AD116" s="295"/>
      <c r="AE116" s="287"/>
      <c r="AG116" s="310"/>
    </row>
    <row r="117" spans="2:36" ht="16" thickBot="1" x14ac:dyDescent="0.4">
      <c r="V117" s="283" t="s">
        <v>356</v>
      </c>
      <c r="W117" s="284" t="s">
        <v>348</v>
      </c>
      <c r="X117" s="285" t="s">
        <v>273</v>
      </c>
      <c r="Y117" s="286">
        <f>Y115-Y116</f>
        <v>188706701.90476191</v>
      </c>
      <c r="Z117" s="286">
        <f>Z115-Z116</f>
        <v>188706701.90476191</v>
      </c>
      <c r="AA117" s="294">
        <f t="shared" ref="AA117:AD117" si="56">AA115-AA116</f>
        <v>262560244.93650794</v>
      </c>
      <c r="AB117" s="294">
        <f t="shared" si="56"/>
        <v>372583549.51765865</v>
      </c>
      <c r="AC117" s="295">
        <f t="shared" si="56"/>
        <v>416393882.80912006</v>
      </c>
      <c r="AD117" s="295">
        <f t="shared" si="56"/>
        <v>319148479.33928484</v>
      </c>
      <c r="AE117" s="287"/>
      <c r="AG117" s="168"/>
      <c r="AH117" s="168"/>
      <c r="AI117" s="168"/>
      <c r="AJ117" s="168"/>
    </row>
    <row r="118" spans="2:36" ht="16" thickBot="1" x14ac:dyDescent="0.4">
      <c r="V118" s="283" t="s">
        <v>357</v>
      </c>
      <c r="W118" s="284" t="s">
        <v>349</v>
      </c>
      <c r="X118" s="285" t="s">
        <v>273</v>
      </c>
      <c r="Y118" s="286">
        <f>$Y$99*$N$20</f>
        <v>16892064</v>
      </c>
      <c r="Z118" s="286">
        <f>$Y$99*$N$20</f>
        <v>16892064</v>
      </c>
      <c r="AA118" s="294">
        <f>$Y$99*$N$20</f>
        <v>16892064</v>
      </c>
      <c r="AB118" s="294">
        <f>$Y$99*$N$20</f>
        <v>16892064</v>
      </c>
      <c r="AC118" s="295"/>
      <c r="AD118" s="295"/>
      <c r="AE118" s="287"/>
      <c r="AG118" s="310"/>
    </row>
    <row r="119" spans="2:36" s="153" customFormat="1" ht="16" thickBot="1" x14ac:dyDescent="0.4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V119" s="283" t="s">
        <v>258</v>
      </c>
      <c r="W119" s="284" t="s">
        <v>350</v>
      </c>
      <c r="X119" s="285" t="s">
        <v>273</v>
      </c>
      <c r="Y119" s="286">
        <f>Y117-Y118</f>
        <v>171814637.90476191</v>
      </c>
      <c r="Z119" s="286">
        <f>Z117-Z118</f>
        <v>171814637.90476191</v>
      </c>
      <c r="AA119" s="294">
        <f t="shared" ref="AA119:AD119" si="57">AA117-AA118</f>
        <v>245668180.93650794</v>
      </c>
      <c r="AB119" s="294">
        <f t="shared" si="57"/>
        <v>355691485.51765865</v>
      </c>
      <c r="AC119" s="295">
        <f t="shared" si="57"/>
        <v>416393882.80912006</v>
      </c>
      <c r="AD119" s="295">
        <f t="shared" si="57"/>
        <v>319148479.33928484</v>
      </c>
      <c r="AE119" s="287"/>
      <c r="AG119" s="415"/>
      <c r="AH119" s="415"/>
      <c r="AI119" s="415"/>
      <c r="AJ119" s="415"/>
    </row>
    <row r="120" spans="2:36" ht="13.5" thickBot="1" x14ac:dyDescent="0.4"/>
    <row r="121" spans="2:36" ht="15.5" x14ac:dyDescent="0.35">
      <c r="V121" s="192" t="s">
        <v>345</v>
      </c>
      <c r="W121" s="193" t="s">
        <v>559</v>
      </c>
      <c r="X121" s="296" t="s">
        <v>273</v>
      </c>
      <c r="Y121" s="297">
        <f>Y98-Y82-Y62</f>
        <v>22050204</v>
      </c>
      <c r="Z121" s="297">
        <f>Z98-Z82-Z62</f>
        <v>22050204</v>
      </c>
      <c r="AA121" s="297">
        <f>AA98-AA82-AA62</f>
        <v>33917508.485714287</v>
      </c>
      <c r="AB121" s="297">
        <f>AB98-AB82-AB62</f>
        <v>47566851.928112246</v>
      </c>
      <c r="AC121" s="297"/>
      <c r="AD121" s="297"/>
      <c r="AE121" s="298"/>
    </row>
    <row r="122" spans="2:36" x14ac:dyDescent="0.35">
      <c r="V122" s="246" t="s">
        <v>352</v>
      </c>
      <c r="W122" s="247" t="s">
        <v>467</v>
      </c>
      <c r="X122" s="248" t="s">
        <v>273</v>
      </c>
      <c r="Y122" s="293">
        <f>(Y$50/Y$43)</f>
        <v>200666.66666666666</v>
      </c>
      <c r="Z122" s="293">
        <f t="shared" ref="Z122:AB122" si="58">(Z$50/Z$43)</f>
        <v>200666.66666666666</v>
      </c>
      <c r="AA122" s="293">
        <f t="shared" si="58"/>
        <v>133777.77777777778</v>
      </c>
      <c r="AB122" s="293">
        <f t="shared" si="58"/>
        <v>89185.185185185212</v>
      </c>
      <c r="AC122" s="281"/>
      <c r="AD122" s="281"/>
      <c r="AE122" s="250"/>
    </row>
    <row r="123" spans="2:36" x14ac:dyDescent="0.35">
      <c r="V123" s="219" t="s">
        <v>548</v>
      </c>
      <c r="W123" s="156" t="s">
        <v>468</v>
      </c>
      <c r="X123" s="150" t="s">
        <v>273</v>
      </c>
      <c r="Y123" s="168">
        <f>(Y55/$N$26)</f>
        <v>385714.28571428574</v>
      </c>
      <c r="Z123" s="168">
        <f>(Z55/$N$26)</f>
        <v>385714.28571428574</v>
      </c>
      <c r="AA123" s="168">
        <f>(AA55/$N$26)</f>
        <v>330612.24489795917</v>
      </c>
      <c r="AB123" s="168">
        <f>(AB55/$N$26)</f>
        <v>283381.92419825069</v>
      </c>
      <c r="AE123" s="199"/>
    </row>
    <row r="124" spans="2:36" x14ac:dyDescent="0.35">
      <c r="V124" s="219" t="s">
        <v>549</v>
      </c>
      <c r="W124" s="156" t="s">
        <v>531</v>
      </c>
      <c r="X124" s="150" t="s">
        <v>273</v>
      </c>
      <c r="Y124" s="168">
        <f>(Y$38/$N$30)</f>
        <v>700000</v>
      </c>
      <c r="Z124" s="168">
        <f t="shared" ref="Z124:AB124" si="59">(Z$38/$N$30)</f>
        <v>700000</v>
      </c>
      <c r="AA124" s="168">
        <f t="shared" si="59"/>
        <v>560000</v>
      </c>
      <c r="AB124" s="168">
        <f t="shared" si="59"/>
        <v>448000</v>
      </c>
      <c r="AE124" s="199"/>
    </row>
    <row r="125" spans="2:36" x14ac:dyDescent="0.35">
      <c r="V125" s="219" t="s">
        <v>550</v>
      </c>
      <c r="W125" s="156" t="s">
        <v>512</v>
      </c>
      <c r="X125" s="150" t="s">
        <v>273</v>
      </c>
      <c r="Y125" s="168">
        <f>(Y$57/$N$32)</f>
        <v>50000</v>
      </c>
      <c r="Z125" s="168">
        <f t="shared" ref="Z125:AB125" si="60">(Z$57/$N$32)</f>
        <v>50000</v>
      </c>
      <c r="AA125" s="168">
        <f t="shared" si="60"/>
        <v>0</v>
      </c>
      <c r="AB125" s="168">
        <f t="shared" si="60"/>
        <v>0</v>
      </c>
      <c r="AE125" s="199"/>
    </row>
    <row r="126" spans="2:36" x14ac:dyDescent="0.35">
      <c r="V126" s="219" t="s">
        <v>551</v>
      </c>
      <c r="W126" s="156" t="s">
        <v>513</v>
      </c>
      <c r="X126" s="150" t="s">
        <v>273</v>
      </c>
      <c r="Y126" s="168">
        <v>500000</v>
      </c>
      <c r="Z126" s="168">
        <v>500000</v>
      </c>
      <c r="AA126" s="173">
        <v>0</v>
      </c>
      <c r="AB126" s="173">
        <v>0</v>
      </c>
      <c r="AE126" s="199"/>
    </row>
    <row r="127" spans="2:36" ht="13.5" thickBot="1" x14ac:dyDescent="0.4">
      <c r="V127" s="219" t="s">
        <v>552</v>
      </c>
      <c r="W127" s="156" t="s">
        <v>520</v>
      </c>
      <c r="X127" s="150" t="s">
        <v>273</v>
      </c>
      <c r="Y127" s="168">
        <v>500000</v>
      </c>
      <c r="Z127" s="168">
        <v>500000</v>
      </c>
      <c r="AA127" s="173">
        <v>0</v>
      </c>
      <c r="AB127" s="173">
        <v>0</v>
      </c>
      <c r="AE127" s="199"/>
    </row>
    <row r="128" spans="2:36" ht="16" thickBot="1" x14ac:dyDescent="0.4">
      <c r="V128" s="299" t="s">
        <v>352</v>
      </c>
      <c r="W128" s="300" t="s">
        <v>471</v>
      </c>
      <c r="X128" s="301" t="s">
        <v>273</v>
      </c>
      <c r="Y128" s="302">
        <f>SUM(Y122:Y127)</f>
        <v>2336380.9523809524</v>
      </c>
      <c r="Z128" s="302">
        <f t="shared" ref="Z128:AB128" si="61">SUM(Z122:Z127)</f>
        <v>2336380.9523809524</v>
      </c>
      <c r="AA128" s="302">
        <f t="shared" si="61"/>
        <v>1024390.0226757369</v>
      </c>
      <c r="AB128" s="302">
        <f t="shared" si="61"/>
        <v>820567.10938343592</v>
      </c>
      <c r="AC128" s="302"/>
      <c r="AD128" s="302"/>
      <c r="AE128" s="303"/>
    </row>
    <row r="129" spans="22:31" x14ac:dyDescent="0.35">
      <c r="V129" s="246" t="s">
        <v>353</v>
      </c>
      <c r="W129" s="247" t="s">
        <v>472</v>
      </c>
      <c r="X129" s="248" t="s">
        <v>273</v>
      </c>
      <c r="Y129" s="293">
        <f>(Y$50/$Y$43)</f>
        <v>200666.66666666666</v>
      </c>
      <c r="Z129" s="293">
        <f t="shared" ref="Z129:AB129" si="62">(Z$50/$Y$43)</f>
        <v>200666.66666666666</v>
      </c>
      <c r="AA129" s="293">
        <f t="shared" si="62"/>
        <v>133777.77777777778</v>
      </c>
      <c r="AB129" s="293">
        <f t="shared" si="62"/>
        <v>89185.185185185212</v>
      </c>
      <c r="AC129" s="281"/>
      <c r="AD129" s="281"/>
      <c r="AE129" s="250"/>
    </row>
    <row r="130" spans="22:31" x14ac:dyDescent="0.35">
      <c r="V130" s="219" t="s">
        <v>553</v>
      </c>
      <c r="W130" s="156" t="s">
        <v>473</v>
      </c>
      <c r="X130" s="150" t="s">
        <v>273</v>
      </c>
      <c r="Y130" s="168">
        <f>(Y$62/$N$29)</f>
        <v>1200250</v>
      </c>
      <c r="Z130" s="168">
        <f t="shared" ref="Z130:AB130" si="63">(Z$62/$N$29)</f>
        <v>1200250</v>
      </c>
      <c r="AA130" s="168">
        <f t="shared" si="63"/>
        <v>511428.57142857148</v>
      </c>
      <c r="AB130" s="168">
        <f t="shared" si="63"/>
        <v>422367.3469387755</v>
      </c>
      <c r="AE130" s="199"/>
    </row>
    <row r="131" spans="22:31" x14ac:dyDescent="0.35">
      <c r="V131" s="219" t="s">
        <v>554</v>
      </c>
      <c r="W131" s="156" t="s">
        <v>558</v>
      </c>
      <c r="X131" s="150" t="s">
        <v>273</v>
      </c>
      <c r="Y131" s="168">
        <f>(Y$38/$N$25)</f>
        <v>175000</v>
      </c>
      <c r="Z131" s="168">
        <f t="shared" ref="Z131:AB131" si="64">(Z$38/$N$25)</f>
        <v>175000</v>
      </c>
      <c r="AA131" s="168">
        <f t="shared" si="64"/>
        <v>140000</v>
      </c>
      <c r="AB131" s="168">
        <f t="shared" si="64"/>
        <v>112000</v>
      </c>
      <c r="AE131" s="199"/>
    </row>
    <row r="132" spans="22:31" x14ac:dyDescent="0.35">
      <c r="V132" s="219" t="s">
        <v>555</v>
      </c>
      <c r="W132" s="156" t="s">
        <v>514</v>
      </c>
      <c r="X132" s="150" t="s">
        <v>273</v>
      </c>
      <c r="Y132" s="168">
        <f>(Y$57/$N$31)</f>
        <v>10000</v>
      </c>
      <c r="Z132" s="168">
        <f t="shared" ref="Z132:AB132" si="65">(Z$57/$N$31)</f>
        <v>10000</v>
      </c>
      <c r="AA132" s="168">
        <f t="shared" si="65"/>
        <v>0</v>
      </c>
      <c r="AB132" s="168">
        <f t="shared" si="65"/>
        <v>0</v>
      </c>
      <c r="AE132" s="199"/>
    </row>
    <row r="133" spans="22:31" x14ac:dyDescent="0.35">
      <c r="V133" s="219" t="s">
        <v>556</v>
      </c>
      <c r="W133" s="156" t="s">
        <v>515</v>
      </c>
      <c r="X133" s="150" t="s">
        <v>273</v>
      </c>
      <c r="Y133" s="168">
        <v>0</v>
      </c>
      <c r="Z133" s="168">
        <v>0</v>
      </c>
      <c r="AA133" s="173">
        <v>0</v>
      </c>
      <c r="AB133" s="173">
        <v>0</v>
      </c>
      <c r="AE133" s="199"/>
    </row>
    <row r="134" spans="22:31" ht="13.5" thickBot="1" x14ac:dyDescent="0.4">
      <c r="V134" s="219" t="s">
        <v>557</v>
      </c>
      <c r="W134" s="156" t="s">
        <v>521</v>
      </c>
      <c r="X134" s="150" t="s">
        <v>273</v>
      </c>
      <c r="Y134" s="168">
        <v>0</v>
      </c>
      <c r="Z134" s="168">
        <v>0</v>
      </c>
      <c r="AA134" s="173">
        <v>0</v>
      </c>
      <c r="AB134" s="173">
        <v>0</v>
      </c>
      <c r="AE134" s="199"/>
    </row>
    <row r="135" spans="22:31" ht="16" thickBot="1" x14ac:dyDescent="0.4">
      <c r="V135" s="299" t="s">
        <v>353</v>
      </c>
      <c r="W135" s="300" t="s">
        <v>481</v>
      </c>
      <c r="X135" s="301" t="s">
        <v>273</v>
      </c>
      <c r="Y135" s="302">
        <f>SUM(Y129:Y134)</f>
        <v>1585916.6666666667</v>
      </c>
      <c r="Z135" s="302">
        <f t="shared" ref="Z135:AB135" si="66">SUM(Z129:Z134)</f>
        <v>1585916.6666666667</v>
      </c>
      <c r="AA135" s="302">
        <f t="shared" si="66"/>
        <v>785206.34920634923</v>
      </c>
      <c r="AB135" s="302">
        <f t="shared" si="66"/>
        <v>623552.53212396079</v>
      </c>
      <c r="AC135" s="302"/>
      <c r="AD135" s="302"/>
      <c r="AE135" s="303"/>
    </row>
    <row r="136" spans="22:31" ht="16" thickBot="1" x14ac:dyDescent="0.4">
      <c r="V136" s="299" t="s">
        <v>354</v>
      </c>
      <c r="W136" s="300" t="s">
        <v>346</v>
      </c>
      <c r="X136" s="301" t="s">
        <v>273</v>
      </c>
      <c r="Y136" s="302">
        <f>Y98-Y128-Y135</f>
        <v>41123206.380952381</v>
      </c>
      <c r="Z136" s="302">
        <f t="shared" ref="Z136:AB136" si="67">Z98-Z128-Z135</f>
        <v>41123206.380952381</v>
      </c>
      <c r="AA136" s="302">
        <f t="shared" si="67"/>
        <v>49637110.828117914</v>
      </c>
      <c r="AB136" s="302">
        <f t="shared" si="67"/>
        <v>65436599.718492605</v>
      </c>
      <c r="AC136" s="304"/>
      <c r="AD136" s="304"/>
      <c r="AE136" s="303"/>
    </row>
    <row r="137" spans="22:31" ht="16" thickBot="1" x14ac:dyDescent="0.4">
      <c r="V137" s="299" t="s">
        <v>355</v>
      </c>
      <c r="W137" s="300" t="s">
        <v>347</v>
      </c>
      <c r="X137" s="301" t="s">
        <v>273</v>
      </c>
      <c r="Y137" s="302">
        <f>Y$128*$N$28</f>
        <v>233638.09523809527</v>
      </c>
      <c r="Z137" s="302">
        <f>Z$128*$N$28</f>
        <v>233638.09523809527</v>
      </c>
      <c r="AA137" s="302">
        <f>AA$128*$N$28</f>
        <v>102439.0022675737</v>
      </c>
      <c r="AB137" s="302">
        <f>AB$128*$N$28</f>
        <v>82056.710938343604</v>
      </c>
      <c r="AC137" s="304"/>
      <c r="AD137" s="304"/>
      <c r="AE137" s="303"/>
    </row>
    <row r="138" spans="22:31" ht="16" thickBot="1" x14ac:dyDescent="0.4">
      <c r="V138" s="299" t="s">
        <v>356</v>
      </c>
      <c r="W138" s="300" t="s">
        <v>348</v>
      </c>
      <c r="X138" s="301" t="s">
        <v>273</v>
      </c>
      <c r="Y138" s="302">
        <f>Y136-Y137</f>
        <v>40889568.285714284</v>
      </c>
      <c r="Z138" s="302">
        <f t="shared" ref="Z138:AB138" si="68">Z136-Z137</f>
        <v>40889568.285714284</v>
      </c>
      <c r="AA138" s="302">
        <f t="shared" si="68"/>
        <v>49534671.825850338</v>
      </c>
      <c r="AB138" s="302">
        <f t="shared" si="68"/>
        <v>65354543.007554263</v>
      </c>
      <c r="AC138" s="304"/>
      <c r="AD138" s="304"/>
      <c r="AE138" s="303"/>
    </row>
    <row r="139" spans="22:31" ht="16" thickBot="1" x14ac:dyDescent="0.4">
      <c r="V139" s="299" t="s">
        <v>357</v>
      </c>
      <c r="W139" s="300" t="s">
        <v>349</v>
      </c>
      <c r="X139" s="301" t="s">
        <v>273</v>
      </c>
      <c r="Y139" s="302">
        <f>Y$98*$N$20</f>
        <v>2252275.2000000002</v>
      </c>
      <c r="Z139" s="302">
        <f>Z$98*$N$20</f>
        <v>2252275.2000000002</v>
      </c>
      <c r="AA139" s="302">
        <f>AA$98*$N$20</f>
        <v>2572335.3600000003</v>
      </c>
      <c r="AB139" s="302">
        <f>AB$98*$N$20</f>
        <v>3344035.9680000003</v>
      </c>
      <c r="AC139" s="304"/>
      <c r="AD139" s="304"/>
      <c r="AE139" s="303"/>
    </row>
    <row r="140" spans="22:31" ht="16" thickBot="1" x14ac:dyDescent="0.4">
      <c r="V140" s="299" t="s">
        <v>258</v>
      </c>
      <c r="W140" s="300" t="s">
        <v>350</v>
      </c>
      <c r="X140" s="301" t="s">
        <v>273</v>
      </c>
      <c r="Y140" s="302">
        <f>Y138-Y139</f>
        <v>38637293.085714281</v>
      </c>
      <c r="Z140" s="302">
        <f t="shared" ref="Z140:AB140" si="69">Z138-Z139</f>
        <v>38637293.085714281</v>
      </c>
      <c r="AA140" s="302">
        <f t="shared" si="69"/>
        <v>46962336.465850338</v>
      </c>
      <c r="AB140" s="302">
        <f t="shared" si="69"/>
        <v>62010507.039554261</v>
      </c>
      <c r="AC140" s="304"/>
      <c r="AD140" s="304"/>
      <c r="AE140" s="303"/>
    </row>
  </sheetData>
  <mergeCells count="16">
    <mergeCell ref="X4:Y4"/>
    <mergeCell ref="V3:AE3"/>
    <mergeCell ref="Z4:AD4"/>
    <mergeCell ref="B1:C1"/>
    <mergeCell ref="F16:G16"/>
    <mergeCell ref="F23:G23"/>
    <mergeCell ref="B14:C14"/>
    <mergeCell ref="B28:C28"/>
    <mergeCell ref="F24:G24"/>
    <mergeCell ref="F25:G25"/>
    <mergeCell ref="F17:G17"/>
    <mergeCell ref="F18:G18"/>
    <mergeCell ref="F19:G19"/>
    <mergeCell ref="F20:G20"/>
    <mergeCell ref="F21:G21"/>
    <mergeCell ref="F28:G28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81EB-5E91-4F0E-951E-AC627BB395AA}">
  <sheetPr>
    <tabColor rgb="FFFFFF00"/>
  </sheetPr>
  <dimension ref="A1:AM153"/>
  <sheetViews>
    <sheetView tabSelected="1" topLeftCell="E1" zoomScaleNormal="100" workbookViewId="0">
      <selection activeCell="J12" sqref="J12"/>
    </sheetView>
  </sheetViews>
  <sheetFormatPr defaultColWidth="8.81640625" defaultRowHeight="13" x14ac:dyDescent="0.35"/>
  <cols>
    <col min="1" max="1" width="1.36328125" style="152" customWidth="1"/>
    <col min="2" max="2" width="25.81640625" style="140" customWidth="1"/>
    <col min="3" max="3" width="10.6328125" style="140" bestFit="1" customWidth="1"/>
    <col min="4" max="4" width="6.81640625" style="140" bestFit="1" customWidth="1"/>
    <col min="5" max="5" width="7" style="140" bestFit="1" customWidth="1"/>
    <col min="6" max="6" width="23.08984375" style="140" bestFit="1" customWidth="1"/>
    <col min="7" max="7" width="10.453125" style="140" customWidth="1"/>
    <col min="8" max="8" width="27.90625" style="140" bestFit="1" customWidth="1"/>
    <col min="9" max="9" width="12.1796875" style="140" bestFit="1" customWidth="1"/>
    <col min="10" max="10" width="10.81640625" style="140" bestFit="1" customWidth="1"/>
    <col min="11" max="11" width="20.08984375" style="140" customWidth="1"/>
    <col min="12" max="12" width="24.6328125" style="140" bestFit="1" customWidth="1"/>
    <col min="13" max="13" width="21.36328125" style="140" customWidth="1"/>
    <col min="14" max="14" width="23.90625" style="140" bestFit="1" customWidth="1"/>
    <col min="15" max="15" width="9.08984375" style="140" customWidth="1"/>
    <col min="16" max="16" width="34.54296875" style="140" bestFit="1" customWidth="1"/>
    <col min="17" max="17" width="8.81640625" style="140" customWidth="1"/>
    <col min="18" max="18" width="8.36328125" style="140" customWidth="1"/>
    <col min="19" max="19" width="8" style="140" customWidth="1"/>
    <col min="20" max="20" width="1.90625" style="140" customWidth="1"/>
    <col min="21" max="21" width="1.90625" style="152" customWidth="1"/>
    <col min="22" max="22" width="5.1796875" style="418" bestFit="1" customWidth="1"/>
    <col min="23" max="23" width="57.6328125" style="152" bestFit="1" customWidth="1"/>
    <col min="24" max="24" width="6.90625" style="418" customWidth="1"/>
    <col min="25" max="26" width="15.1796875" style="152" bestFit="1" customWidth="1"/>
    <col min="27" max="28" width="16.453125" style="152" bestFit="1" customWidth="1"/>
    <col min="29" max="30" width="13.81640625" style="152" hidden="1" customWidth="1"/>
    <col min="31" max="31" width="23.90625" style="152" customWidth="1"/>
    <col min="32" max="16384" width="8.81640625" style="152"/>
  </cols>
  <sheetData>
    <row r="1" spans="1:31" ht="26" x14ac:dyDescent="0.3">
      <c r="B1" s="518" t="s">
        <v>28</v>
      </c>
      <c r="C1" s="518"/>
      <c r="F1" s="440" t="s">
        <v>92</v>
      </c>
      <c r="G1" s="440" t="s">
        <v>325</v>
      </c>
      <c r="H1" s="440" t="s">
        <v>174</v>
      </c>
      <c r="I1" s="440" t="s">
        <v>137</v>
      </c>
      <c r="K1" s="520" t="s">
        <v>598</v>
      </c>
      <c r="L1" s="520"/>
      <c r="M1" s="520"/>
      <c r="N1" s="520"/>
      <c r="P1" s="456" t="s">
        <v>444</v>
      </c>
      <c r="Q1" s="456" t="s">
        <v>445</v>
      </c>
      <c r="V1" s="424"/>
      <c r="X1" s="424"/>
    </row>
    <row r="2" spans="1:31" ht="13.5" thickBot="1" x14ac:dyDescent="0.35">
      <c r="A2" s="153"/>
      <c r="B2" s="439" t="s">
        <v>0</v>
      </c>
      <c r="C2" s="427">
        <v>500</v>
      </c>
      <c r="F2" s="461" t="s">
        <v>320</v>
      </c>
      <c r="G2" s="427" t="s">
        <v>323</v>
      </c>
      <c r="H2" s="427">
        <v>3</v>
      </c>
      <c r="I2" s="427">
        <v>3</v>
      </c>
      <c r="K2" s="427" t="s">
        <v>599</v>
      </c>
      <c r="L2" s="427" t="s">
        <v>600</v>
      </c>
      <c r="M2" s="427" t="s">
        <v>601</v>
      </c>
      <c r="N2" s="427"/>
      <c r="P2" s="454" t="s">
        <v>446</v>
      </c>
      <c r="Q2" s="457">
        <v>0.35</v>
      </c>
      <c r="V2" s="424"/>
      <c r="X2" s="424"/>
    </row>
    <row r="3" spans="1:31" ht="21.5" thickBot="1" x14ac:dyDescent="0.35">
      <c r="B3" s="439" t="s">
        <v>1</v>
      </c>
      <c r="C3" s="427">
        <v>200000</v>
      </c>
      <c r="F3" s="461" t="s">
        <v>321</v>
      </c>
      <c r="G3" s="427" t="s">
        <v>324</v>
      </c>
      <c r="H3" s="427">
        <v>3</v>
      </c>
      <c r="I3" s="427">
        <v>3</v>
      </c>
      <c r="K3" s="427">
        <v>4000</v>
      </c>
      <c r="L3" s="427">
        <v>55</v>
      </c>
      <c r="M3" s="427">
        <v>425</v>
      </c>
      <c r="N3" s="427"/>
      <c r="P3" s="455" t="s">
        <v>432</v>
      </c>
      <c r="Q3" s="457">
        <v>0.25</v>
      </c>
      <c r="V3" s="514" t="s">
        <v>544</v>
      </c>
      <c r="W3" s="515"/>
      <c r="X3" s="515"/>
      <c r="Y3" s="515"/>
      <c r="Z3" s="515"/>
      <c r="AA3" s="515"/>
      <c r="AB3" s="515"/>
      <c r="AC3" s="515"/>
      <c r="AD3" s="515"/>
      <c r="AE3" s="516"/>
    </row>
    <row r="4" spans="1:31" s="417" customFormat="1" ht="38.5" customHeight="1" x14ac:dyDescent="0.3">
      <c r="B4" s="439" t="s">
        <v>3</v>
      </c>
      <c r="C4" s="432">
        <v>0.25</v>
      </c>
      <c r="D4" s="140"/>
      <c r="E4" s="140"/>
      <c r="F4" s="461" t="s">
        <v>72</v>
      </c>
      <c r="G4" s="431"/>
      <c r="H4" s="431">
        <f>SUM(H2:H3)</f>
        <v>6</v>
      </c>
      <c r="I4" s="431">
        <f>SUM(I2:I3)</f>
        <v>6</v>
      </c>
      <c r="K4" s="431" t="s">
        <v>72</v>
      </c>
      <c r="L4" s="431">
        <f>K3+L3*M3</f>
        <v>27375</v>
      </c>
      <c r="M4" s="427"/>
      <c r="N4" s="431"/>
      <c r="P4" s="454" t="s">
        <v>447</v>
      </c>
      <c r="Q4" s="454">
        <v>420</v>
      </c>
      <c r="T4" s="416"/>
      <c r="V4" s="178" t="s">
        <v>186</v>
      </c>
      <c r="W4" s="425" t="s">
        <v>540</v>
      </c>
      <c r="X4" s="521" t="s">
        <v>541</v>
      </c>
      <c r="Y4" s="521"/>
      <c r="Z4" s="522" t="s">
        <v>542</v>
      </c>
      <c r="AA4" s="522"/>
      <c r="AB4" s="522"/>
      <c r="AC4" s="522"/>
      <c r="AD4" s="522"/>
      <c r="AE4" s="180" t="s">
        <v>543</v>
      </c>
    </row>
    <row r="5" spans="1:31" s="417" customFormat="1" ht="26" x14ac:dyDescent="0.3">
      <c r="B5" s="439" t="s">
        <v>4</v>
      </c>
      <c r="C5" s="432">
        <v>0.7</v>
      </c>
      <c r="D5" s="140"/>
      <c r="E5" s="140"/>
      <c r="F5" s="461" t="s">
        <v>166</v>
      </c>
      <c r="G5" s="439"/>
      <c r="H5" s="427">
        <v>3</v>
      </c>
      <c r="I5" s="427">
        <v>2</v>
      </c>
      <c r="K5" s="440" t="s">
        <v>322</v>
      </c>
      <c r="L5" s="440" t="s">
        <v>594</v>
      </c>
      <c r="M5" s="440" t="s">
        <v>596</v>
      </c>
      <c r="N5" s="440" t="s">
        <v>595</v>
      </c>
      <c r="P5" s="454" t="s">
        <v>448</v>
      </c>
      <c r="Q5" s="457">
        <v>0.05</v>
      </c>
      <c r="T5" s="416"/>
      <c r="V5" s="181" t="s">
        <v>274</v>
      </c>
      <c r="W5" s="182" t="s">
        <v>239</v>
      </c>
      <c r="X5" s="183" t="s">
        <v>265</v>
      </c>
      <c r="Y5" s="183" t="s">
        <v>545</v>
      </c>
      <c r="Z5" s="183" t="s">
        <v>241</v>
      </c>
      <c r="AA5" s="183" t="s">
        <v>242</v>
      </c>
      <c r="AB5" s="183" t="s">
        <v>243</v>
      </c>
      <c r="AC5" s="183" t="s">
        <v>244</v>
      </c>
      <c r="AD5" s="183" t="s">
        <v>245</v>
      </c>
      <c r="AE5" s="184" t="s">
        <v>246</v>
      </c>
    </row>
    <row r="6" spans="1:31" ht="23.5" customHeight="1" x14ac:dyDescent="0.3">
      <c r="B6" s="439" t="s">
        <v>5</v>
      </c>
      <c r="C6" s="428">
        <v>8000000</v>
      </c>
      <c r="F6" s="461" t="s">
        <v>167</v>
      </c>
      <c r="G6" s="439"/>
      <c r="H6" s="427">
        <v>9</v>
      </c>
      <c r="I6" s="427">
        <v>2</v>
      </c>
      <c r="K6" s="431" t="s">
        <v>304</v>
      </c>
      <c r="L6" s="434">
        <v>987.83999999999992</v>
      </c>
      <c r="M6" s="427">
        <v>2</v>
      </c>
      <c r="N6" s="435">
        <f>L6/M6</f>
        <v>493.91999999999996</v>
      </c>
      <c r="P6" s="454" t="s">
        <v>450</v>
      </c>
      <c r="Q6" s="457">
        <v>0.2</v>
      </c>
      <c r="V6" s="230">
        <v>1</v>
      </c>
      <c r="W6" s="231" t="s">
        <v>261</v>
      </c>
      <c r="X6" s="232"/>
      <c r="Y6" s="231"/>
      <c r="Z6" s="231"/>
      <c r="AA6" s="231"/>
      <c r="AB6" s="231"/>
      <c r="AC6" s="231"/>
      <c r="AD6" s="231"/>
      <c r="AE6" s="233"/>
    </row>
    <row r="7" spans="1:31" ht="26" x14ac:dyDescent="0.3">
      <c r="B7" s="439" t="s">
        <v>142</v>
      </c>
      <c r="C7" s="428">
        <f>C6*D7</f>
        <v>1920000</v>
      </c>
      <c r="D7" s="144">
        <v>0.24</v>
      </c>
      <c r="F7" s="461" t="s">
        <v>168</v>
      </c>
      <c r="G7" s="439"/>
      <c r="H7" s="427">
        <f>H6*H4</f>
        <v>54</v>
      </c>
      <c r="I7" s="427">
        <f>I6*I2</f>
        <v>6</v>
      </c>
      <c r="K7" s="431" t="s">
        <v>314</v>
      </c>
      <c r="L7" s="436">
        <v>987.83999999999992</v>
      </c>
      <c r="M7" s="427">
        <v>2</v>
      </c>
      <c r="N7" s="435">
        <f t="shared" ref="N7:N12" si="0">L7/M7</f>
        <v>493.91999999999996</v>
      </c>
      <c r="P7" s="454" t="s">
        <v>451</v>
      </c>
      <c r="Q7" s="454">
        <v>70</v>
      </c>
      <c r="V7" s="194" t="s">
        <v>275</v>
      </c>
      <c r="W7" s="195" t="s">
        <v>295</v>
      </c>
      <c r="X7" s="196"/>
      <c r="Y7" s="195"/>
      <c r="Z7" s="195"/>
      <c r="AA7" s="195"/>
      <c r="AB7" s="195"/>
      <c r="AC7" s="195"/>
      <c r="AD7" s="195"/>
      <c r="AE7" s="197"/>
    </row>
    <row r="8" spans="1:31" ht="27.65" customHeight="1" x14ac:dyDescent="0.3">
      <c r="B8" s="439" t="s">
        <v>143</v>
      </c>
      <c r="C8" s="427">
        <f>C7/30</f>
        <v>64000</v>
      </c>
      <c r="D8" s="145">
        <v>30</v>
      </c>
      <c r="F8" s="461" t="s">
        <v>110</v>
      </c>
      <c r="G8" s="439"/>
      <c r="H8" s="427">
        <v>2</v>
      </c>
      <c r="I8" s="427">
        <v>55</v>
      </c>
      <c r="K8" s="431" t="s">
        <v>315</v>
      </c>
      <c r="L8" s="436">
        <v>1070.1600000000001</v>
      </c>
      <c r="M8" s="427">
        <v>2</v>
      </c>
      <c r="N8" s="435">
        <f t="shared" si="0"/>
        <v>535.08000000000004</v>
      </c>
      <c r="P8" s="454" t="s">
        <v>349</v>
      </c>
      <c r="Q8" s="457">
        <v>0.28000000000000003</v>
      </c>
      <c r="V8" s="198" t="s">
        <v>276</v>
      </c>
      <c r="W8" s="142" t="s">
        <v>270</v>
      </c>
      <c r="X8" s="424" t="s">
        <v>266</v>
      </c>
      <c r="Y8" s="151">
        <v>2</v>
      </c>
      <c r="Z8" s="151">
        <v>2</v>
      </c>
      <c r="AA8" s="151">
        <f t="shared" ref="AA8:AB11" si="1">Z8*$Q$31+Z8</f>
        <v>2.5</v>
      </c>
      <c r="AB8" s="151">
        <f t="shared" si="1"/>
        <v>3.125</v>
      </c>
      <c r="AC8" s="151">
        <v>2</v>
      </c>
      <c r="AD8" s="151">
        <v>2</v>
      </c>
      <c r="AE8" s="199"/>
    </row>
    <row r="9" spans="1:31" ht="27.65" customHeight="1" x14ac:dyDescent="0.3">
      <c r="B9" s="439" t="s">
        <v>144</v>
      </c>
      <c r="C9" s="427">
        <f>C8*7</f>
        <v>448000</v>
      </c>
      <c r="D9" s="144"/>
      <c r="F9" s="461" t="s">
        <v>111</v>
      </c>
      <c r="G9" s="439"/>
      <c r="H9" s="427">
        <f>H8*H7*6</f>
        <v>648</v>
      </c>
      <c r="I9" s="427">
        <f>I8*I7</f>
        <v>330</v>
      </c>
      <c r="K9" s="431" t="s">
        <v>316</v>
      </c>
      <c r="L9" s="436">
        <v>1070.1600000000001</v>
      </c>
      <c r="M9" s="427">
        <v>2</v>
      </c>
      <c r="N9" s="435">
        <f t="shared" si="0"/>
        <v>535.08000000000004</v>
      </c>
      <c r="P9" s="454" t="s">
        <v>449</v>
      </c>
      <c r="Q9" s="457">
        <v>0.05</v>
      </c>
      <c r="V9" s="198" t="s">
        <v>277</v>
      </c>
      <c r="W9" s="142" t="s">
        <v>271</v>
      </c>
      <c r="X9" s="424" t="s">
        <v>266</v>
      </c>
      <c r="Y9" s="151">
        <v>3</v>
      </c>
      <c r="Z9" s="151">
        <v>3</v>
      </c>
      <c r="AA9" s="151">
        <f t="shared" si="1"/>
        <v>3.75</v>
      </c>
      <c r="AB9" s="151">
        <f t="shared" si="1"/>
        <v>4.6875</v>
      </c>
      <c r="AC9" s="151">
        <v>3</v>
      </c>
      <c r="AD9" s="151">
        <v>1</v>
      </c>
      <c r="AE9" s="199"/>
    </row>
    <row r="10" spans="1:31" ht="22.5" customHeight="1" x14ac:dyDescent="0.3">
      <c r="B10" s="439" t="s">
        <v>6</v>
      </c>
      <c r="C10" s="427">
        <v>70</v>
      </c>
      <c r="F10" s="461" t="s">
        <v>112</v>
      </c>
      <c r="G10" s="439"/>
      <c r="H10" s="427">
        <f>H9*30</f>
        <v>19440</v>
      </c>
      <c r="I10" s="427">
        <f>I9*30</f>
        <v>9900</v>
      </c>
      <c r="J10" s="476"/>
      <c r="K10" s="431" t="s">
        <v>317</v>
      </c>
      <c r="L10" s="436">
        <v>1152.4799999999998</v>
      </c>
      <c r="M10" s="427">
        <v>2</v>
      </c>
      <c r="N10" s="435">
        <f t="shared" si="0"/>
        <v>576.2399999999999</v>
      </c>
      <c r="P10" s="454" t="s">
        <v>452</v>
      </c>
      <c r="Q10" s="457">
        <v>0.05</v>
      </c>
      <c r="V10" s="198" t="s">
        <v>278</v>
      </c>
      <c r="W10" s="142" t="s">
        <v>272</v>
      </c>
      <c r="X10" s="424" t="s">
        <v>266</v>
      </c>
      <c r="Y10" s="151">
        <v>1</v>
      </c>
      <c r="Z10" s="151">
        <v>1</v>
      </c>
      <c r="AA10" s="151">
        <f t="shared" si="1"/>
        <v>1.25</v>
      </c>
      <c r="AB10" s="151">
        <f t="shared" si="1"/>
        <v>1.5625</v>
      </c>
      <c r="AC10" s="151">
        <v>1</v>
      </c>
      <c r="AD10" s="151">
        <v>1</v>
      </c>
      <c r="AE10" s="199"/>
    </row>
    <row r="11" spans="1:31" x14ac:dyDescent="0.3">
      <c r="B11" s="439" t="s">
        <v>7</v>
      </c>
      <c r="C11" s="427" t="s">
        <v>8</v>
      </c>
      <c r="F11" s="461" t="s">
        <v>76</v>
      </c>
      <c r="G11" s="431"/>
      <c r="H11" s="427">
        <v>4000</v>
      </c>
      <c r="I11" s="427"/>
      <c r="K11" s="431" t="s">
        <v>318</v>
      </c>
      <c r="L11" s="436">
        <v>1399.44</v>
      </c>
      <c r="M11" s="427">
        <v>2</v>
      </c>
      <c r="N11" s="435">
        <f t="shared" si="0"/>
        <v>699.72</v>
      </c>
      <c r="P11" s="454" t="s">
        <v>453</v>
      </c>
      <c r="Q11" s="457">
        <v>0.08</v>
      </c>
      <c r="V11" s="198" t="s">
        <v>279</v>
      </c>
      <c r="W11" s="142" t="s">
        <v>116</v>
      </c>
      <c r="X11" s="424" t="s">
        <v>266</v>
      </c>
      <c r="Y11" s="151">
        <f>SUM(Y8:Y10)</f>
        <v>6</v>
      </c>
      <c r="Z11" s="151">
        <v>6</v>
      </c>
      <c r="AA11" s="151">
        <f t="shared" si="1"/>
        <v>7.5</v>
      </c>
      <c r="AB11" s="151">
        <f t="shared" si="1"/>
        <v>9.375</v>
      </c>
      <c r="AC11" s="151">
        <f>SUM(AC8:AC10)</f>
        <v>6</v>
      </c>
      <c r="AD11" s="151">
        <v>6</v>
      </c>
      <c r="AE11" s="199"/>
    </row>
    <row r="12" spans="1:31" ht="41" customHeight="1" x14ac:dyDescent="0.3">
      <c r="B12" s="439" t="s">
        <v>9</v>
      </c>
      <c r="C12" s="427" t="s">
        <v>29</v>
      </c>
      <c r="F12" s="461" t="s">
        <v>80</v>
      </c>
      <c r="G12" s="439"/>
      <c r="H12" s="427"/>
      <c r="I12" s="427">
        <f>SUM(H10:I11)</f>
        <v>33340</v>
      </c>
      <c r="J12" s="165"/>
      <c r="K12" s="431" t="s">
        <v>319</v>
      </c>
      <c r="L12" s="436">
        <v>1564.0799999999997</v>
      </c>
      <c r="M12" s="427">
        <v>2</v>
      </c>
      <c r="N12" s="435">
        <f t="shared" si="0"/>
        <v>782.03999999999985</v>
      </c>
      <c r="P12" s="454" t="s">
        <v>454</v>
      </c>
      <c r="Q12" s="454">
        <v>3</v>
      </c>
      <c r="V12" s="198" t="s">
        <v>280</v>
      </c>
      <c r="W12" s="152" t="s">
        <v>499</v>
      </c>
      <c r="X12" s="424" t="s">
        <v>273</v>
      </c>
      <c r="Y12" s="151">
        <v>10000</v>
      </c>
      <c r="Z12" s="151">
        <v>10000</v>
      </c>
      <c r="AA12" s="151">
        <f>(Y12*$Q$9)+Y12</f>
        <v>10500</v>
      </c>
      <c r="AB12" s="151">
        <f>(AA12*$Q$9)+AA12</f>
        <v>11025</v>
      </c>
      <c r="AC12" s="151">
        <f>(AB12*$Q$9)+AB12</f>
        <v>11576.25</v>
      </c>
      <c r="AD12" s="151">
        <f>(AC12*Q9)+AC12</f>
        <v>12155.0625</v>
      </c>
      <c r="AE12" s="199"/>
    </row>
    <row r="13" spans="1:31" ht="13.75" customHeight="1" x14ac:dyDescent="0.3">
      <c r="F13" s="461" t="s">
        <v>617</v>
      </c>
      <c r="G13" s="439"/>
      <c r="H13" s="427"/>
      <c r="I13" s="430">
        <f>(I12*N28)*12</f>
        <v>25957332.650666658</v>
      </c>
      <c r="K13" s="431" t="s">
        <v>597</v>
      </c>
      <c r="L13" s="437">
        <f>AVERAGE(L6:L12)</f>
        <v>1176</v>
      </c>
      <c r="M13" s="431">
        <v>2</v>
      </c>
      <c r="N13" s="438">
        <f>L13/M13</f>
        <v>588</v>
      </c>
      <c r="P13" s="454" t="s">
        <v>476</v>
      </c>
      <c r="Q13" s="454">
        <v>20</v>
      </c>
      <c r="V13" s="198" t="s">
        <v>281</v>
      </c>
      <c r="W13" s="153" t="s">
        <v>500</v>
      </c>
      <c r="X13" s="421" t="s">
        <v>273</v>
      </c>
      <c r="Y13" s="155">
        <f t="shared" ref="Y13:AD13" si="2">Y11*Y12</f>
        <v>60000</v>
      </c>
      <c r="Z13" s="155">
        <f t="shared" si="2"/>
        <v>60000</v>
      </c>
      <c r="AA13" s="155">
        <f t="shared" si="2"/>
        <v>78750</v>
      </c>
      <c r="AB13" s="155">
        <f t="shared" si="2"/>
        <v>103359.375</v>
      </c>
      <c r="AC13" s="155">
        <f t="shared" si="2"/>
        <v>69457.5</v>
      </c>
      <c r="AD13" s="155">
        <f t="shared" si="2"/>
        <v>72930.375</v>
      </c>
      <c r="AE13" s="199"/>
    </row>
    <row r="14" spans="1:31" ht="13.75" customHeight="1" x14ac:dyDescent="0.3">
      <c r="F14" s="439" t="s">
        <v>616</v>
      </c>
      <c r="G14" s="439"/>
      <c r="H14" s="427"/>
      <c r="I14" s="438">
        <f>Y47</f>
        <v>31500000</v>
      </c>
      <c r="K14" s="471" t="s">
        <v>620</v>
      </c>
      <c r="L14" s="472"/>
      <c r="M14" s="472"/>
      <c r="N14" s="473">
        <f>N13*L4*12</f>
        <v>193158000</v>
      </c>
      <c r="P14" s="454" t="s">
        <v>474</v>
      </c>
      <c r="Q14" s="454">
        <v>7</v>
      </c>
      <c r="R14" s="139"/>
      <c r="V14" s="198" t="s">
        <v>282</v>
      </c>
      <c r="W14" s="152" t="s">
        <v>155</v>
      </c>
      <c r="X14" s="424" t="s">
        <v>266</v>
      </c>
      <c r="Y14" s="151">
        <v>2</v>
      </c>
      <c r="Z14" s="151">
        <v>2</v>
      </c>
      <c r="AA14" s="151">
        <f>Z14*$Q$31+Z14</f>
        <v>2.5</v>
      </c>
      <c r="AB14" s="151">
        <f>AA14*$Q$31+AA14</f>
        <v>3.125</v>
      </c>
      <c r="AC14" s="424">
        <v>2</v>
      </c>
      <c r="AD14" s="424">
        <v>2</v>
      </c>
      <c r="AE14" s="199"/>
    </row>
    <row r="15" spans="1:31" x14ac:dyDescent="0.3">
      <c r="F15" s="470" t="s">
        <v>618</v>
      </c>
      <c r="G15" s="470"/>
      <c r="H15" s="470"/>
      <c r="I15" s="470">
        <f>SUM(I13:I14)</f>
        <v>57457332.650666654</v>
      </c>
      <c r="J15" s="416"/>
      <c r="P15" s="454" t="s">
        <v>455</v>
      </c>
      <c r="Q15" s="457">
        <v>0.05</v>
      </c>
      <c r="V15" s="198" t="s">
        <v>283</v>
      </c>
      <c r="W15" s="152" t="s">
        <v>501</v>
      </c>
      <c r="X15" s="424" t="s">
        <v>273</v>
      </c>
      <c r="Y15" s="151">
        <v>15000</v>
      </c>
      <c r="Z15" s="151">
        <v>15000</v>
      </c>
      <c r="AA15" s="169">
        <f>Z15*$Q$9+Z15</f>
        <v>15750</v>
      </c>
      <c r="AB15" s="169">
        <f>AA15*$Q$9+AA15</f>
        <v>16537.5</v>
      </c>
      <c r="AC15" s="169">
        <f>AB15*$Q$9+AB15</f>
        <v>17364.375</v>
      </c>
      <c r="AD15" s="169">
        <f>AC15*$Q$9+AC15</f>
        <v>18232.59375</v>
      </c>
      <c r="AE15" s="199"/>
    </row>
    <row r="16" spans="1:31" x14ac:dyDescent="0.3">
      <c r="B16" s="442"/>
      <c r="C16" s="442"/>
      <c r="D16" s="442"/>
      <c r="E16" s="443">
        <v>0.7</v>
      </c>
      <c r="F16" s="443">
        <v>0.45</v>
      </c>
      <c r="G16" s="443">
        <v>0.06</v>
      </c>
      <c r="H16" s="444">
        <v>6</v>
      </c>
      <c r="I16" s="444">
        <v>6</v>
      </c>
      <c r="J16" s="445">
        <v>0.35</v>
      </c>
      <c r="K16" s="445">
        <v>0.35</v>
      </c>
      <c r="L16" s="446">
        <v>96</v>
      </c>
      <c r="M16" s="446"/>
      <c r="N16" s="446"/>
      <c r="P16" s="454" t="s">
        <v>347</v>
      </c>
      <c r="Q16" s="457">
        <v>0.1</v>
      </c>
      <c r="V16" s="198" t="s">
        <v>284</v>
      </c>
      <c r="W16" s="153" t="s">
        <v>502</v>
      </c>
      <c r="X16" s="421" t="s">
        <v>273</v>
      </c>
      <c r="Y16" s="155">
        <f t="shared" ref="Y16:AD16" si="3">Y14*Y15</f>
        <v>30000</v>
      </c>
      <c r="Z16" s="155">
        <f t="shared" si="3"/>
        <v>30000</v>
      </c>
      <c r="AA16" s="155">
        <f t="shared" si="3"/>
        <v>39375</v>
      </c>
      <c r="AB16" s="155">
        <f t="shared" si="3"/>
        <v>51679.6875</v>
      </c>
      <c r="AC16" s="155">
        <f t="shared" si="3"/>
        <v>34728.75</v>
      </c>
      <c r="AD16" s="155">
        <f t="shared" si="3"/>
        <v>36465.1875</v>
      </c>
      <c r="AE16" s="200"/>
    </row>
    <row r="17" spans="2:31" ht="52" x14ac:dyDescent="0.3">
      <c r="B17" s="440" t="s">
        <v>322</v>
      </c>
      <c r="C17" s="440" t="s">
        <v>162</v>
      </c>
      <c r="D17" s="440" t="s">
        <v>163</v>
      </c>
      <c r="E17" s="441" t="s">
        <v>164</v>
      </c>
      <c r="F17" s="441" t="s">
        <v>417</v>
      </c>
      <c r="G17" s="440" t="s">
        <v>87</v>
      </c>
      <c r="H17" s="440" t="s">
        <v>418</v>
      </c>
      <c r="I17" s="440" t="s">
        <v>419</v>
      </c>
      <c r="J17" s="440" t="s">
        <v>421</v>
      </c>
      <c r="K17" s="440" t="s">
        <v>420</v>
      </c>
      <c r="L17" s="440" t="s">
        <v>422</v>
      </c>
      <c r="M17" s="440" t="s">
        <v>423</v>
      </c>
      <c r="N17" s="440" t="s">
        <v>424</v>
      </c>
      <c r="P17" s="454" t="s">
        <v>475</v>
      </c>
      <c r="Q17" s="454">
        <v>10</v>
      </c>
      <c r="V17" s="198" t="s">
        <v>604</v>
      </c>
      <c r="W17" s="152" t="s">
        <v>416</v>
      </c>
      <c r="X17" s="424" t="s">
        <v>266</v>
      </c>
      <c r="Y17" s="151">
        <v>9</v>
      </c>
      <c r="Z17" s="151">
        <v>9</v>
      </c>
      <c r="AA17" s="152">
        <v>9</v>
      </c>
      <c r="AB17" s="152">
        <v>9</v>
      </c>
      <c r="AC17" s="152">
        <v>9</v>
      </c>
      <c r="AD17" s="424">
        <v>9</v>
      </c>
      <c r="AE17" s="200"/>
    </row>
    <row r="18" spans="2:31" ht="29" customHeight="1" x14ac:dyDescent="0.3">
      <c r="B18" s="427" t="s">
        <v>304</v>
      </c>
      <c r="C18" s="432">
        <v>0.12</v>
      </c>
      <c r="D18" s="427">
        <f t="shared" ref="D18:D24" si="4">$C$9*C18</f>
        <v>53760</v>
      </c>
      <c r="E18" s="427">
        <f t="shared" ref="E18:E24" si="5">D18*$E$16</f>
        <v>37632</v>
      </c>
      <c r="F18" s="433">
        <f t="shared" ref="F18:F24" si="6">E18*$F$16</f>
        <v>16934.400000000001</v>
      </c>
      <c r="G18" s="433">
        <f t="shared" ref="G18:G24" si="7">E18*$G$16</f>
        <v>2257.92</v>
      </c>
      <c r="H18" s="433">
        <f t="shared" ref="H18:H24" si="8">F18/$H$16</f>
        <v>2822.4</v>
      </c>
      <c r="I18" s="433">
        <f t="shared" ref="I18:I24" si="9">G18/$I$16</f>
        <v>376.32</v>
      </c>
      <c r="J18" s="433">
        <f t="shared" ref="J18:J24" si="10">H18*$J$16</f>
        <v>987.83999999999992</v>
      </c>
      <c r="K18" s="433">
        <f t="shared" ref="K18:K24" si="11">I18*$K$16</f>
        <v>131.71199999999999</v>
      </c>
      <c r="L18" s="433">
        <f t="shared" ref="L18:M24" si="12">J18/$G$37</f>
        <v>13.719999999999999</v>
      </c>
      <c r="M18" s="433">
        <f t="shared" si="12"/>
        <v>1.8293333333333333</v>
      </c>
      <c r="N18" s="433">
        <f t="shared" ref="N18:N24" si="13">J18/$H$7*2</f>
        <v>36.586666666666666</v>
      </c>
      <c r="O18" s="139">
        <f>K18/$H$7*2</f>
        <v>4.878222222222222</v>
      </c>
      <c r="P18" s="454" t="s">
        <v>477</v>
      </c>
      <c r="Q18" s="454">
        <v>5</v>
      </c>
      <c r="V18" s="203" t="s">
        <v>275</v>
      </c>
      <c r="W18" s="204" t="s">
        <v>486</v>
      </c>
      <c r="X18" s="205" t="s">
        <v>273</v>
      </c>
      <c r="Y18" s="206">
        <f>(Y13+Y16)*Y17*12</f>
        <v>9720000</v>
      </c>
      <c r="Z18" s="206">
        <f>(Z13+Z16)*Z17*12</f>
        <v>9720000</v>
      </c>
      <c r="AA18" s="206">
        <f>(AA13+AA16)*AA17*12</f>
        <v>12757500</v>
      </c>
      <c r="AB18" s="206">
        <f>(AB13+AB16)*AB17*12</f>
        <v>16744218.75</v>
      </c>
      <c r="AC18" s="206" t="e">
        <f>(AC17*#REF!)</f>
        <v>#REF!</v>
      </c>
      <c r="AD18" s="206" t="e">
        <f>(AD17*#REF!)</f>
        <v>#REF!</v>
      </c>
      <c r="AE18" s="207"/>
    </row>
    <row r="19" spans="2:31" ht="23" customHeight="1" x14ac:dyDescent="0.3">
      <c r="B19" s="427" t="s">
        <v>314</v>
      </c>
      <c r="C19" s="432">
        <v>0.12</v>
      </c>
      <c r="D19" s="427">
        <f t="shared" si="4"/>
        <v>53760</v>
      </c>
      <c r="E19" s="427">
        <f t="shared" si="5"/>
        <v>37632</v>
      </c>
      <c r="F19" s="433">
        <f t="shared" si="6"/>
        <v>16934.400000000001</v>
      </c>
      <c r="G19" s="433">
        <f t="shared" si="7"/>
        <v>2257.92</v>
      </c>
      <c r="H19" s="433">
        <f t="shared" si="8"/>
        <v>2822.4</v>
      </c>
      <c r="I19" s="433">
        <f t="shared" si="9"/>
        <v>376.32</v>
      </c>
      <c r="J19" s="433">
        <f t="shared" si="10"/>
        <v>987.83999999999992</v>
      </c>
      <c r="K19" s="433">
        <f t="shared" si="11"/>
        <v>131.71199999999999</v>
      </c>
      <c r="L19" s="433">
        <f t="shared" si="12"/>
        <v>13.719999999999999</v>
      </c>
      <c r="M19" s="433">
        <f t="shared" si="12"/>
        <v>1.8293333333333333</v>
      </c>
      <c r="N19" s="433">
        <f t="shared" si="13"/>
        <v>36.586666666666666</v>
      </c>
      <c r="O19" s="139">
        <f t="shared" ref="O19:O24" si="14">K19/$H$7*2</f>
        <v>4.878222222222222</v>
      </c>
      <c r="P19" s="454" t="s">
        <v>479</v>
      </c>
      <c r="Q19" s="454">
        <v>5</v>
      </c>
      <c r="V19" s="208" t="s">
        <v>440</v>
      </c>
      <c r="W19" s="209" t="s">
        <v>439</v>
      </c>
      <c r="X19" s="210" t="s">
        <v>266</v>
      </c>
      <c r="Y19" s="209">
        <v>1</v>
      </c>
      <c r="Z19" s="209">
        <v>1</v>
      </c>
      <c r="AA19" s="209">
        <v>1</v>
      </c>
      <c r="AB19" s="209">
        <v>1</v>
      </c>
      <c r="AC19" s="209">
        <v>1</v>
      </c>
      <c r="AD19" s="209">
        <v>1</v>
      </c>
      <c r="AE19" s="211"/>
    </row>
    <row r="20" spans="2:31" ht="22.5" customHeight="1" x14ac:dyDescent="0.3">
      <c r="B20" s="427" t="s">
        <v>315</v>
      </c>
      <c r="C20" s="432">
        <v>0.13</v>
      </c>
      <c r="D20" s="427">
        <f t="shared" si="4"/>
        <v>58240</v>
      </c>
      <c r="E20" s="427">
        <f t="shared" si="5"/>
        <v>40768</v>
      </c>
      <c r="F20" s="433">
        <f t="shared" si="6"/>
        <v>18345.600000000002</v>
      </c>
      <c r="G20" s="433">
        <f t="shared" si="7"/>
        <v>2446.08</v>
      </c>
      <c r="H20" s="433">
        <f t="shared" si="8"/>
        <v>3057.6000000000004</v>
      </c>
      <c r="I20" s="433">
        <f t="shared" si="9"/>
        <v>407.68</v>
      </c>
      <c r="J20" s="433">
        <f t="shared" si="10"/>
        <v>1070.1600000000001</v>
      </c>
      <c r="K20" s="433">
        <f t="shared" si="11"/>
        <v>142.68799999999999</v>
      </c>
      <c r="L20" s="433">
        <f t="shared" si="12"/>
        <v>14.863333333333335</v>
      </c>
      <c r="M20" s="433">
        <f t="shared" si="12"/>
        <v>1.9817777777777776</v>
      </c>
      <c r="N20" s="433">
        <f t="shared" si="13"/>
        <v>39.635555555555555</v>
      </c>
      <c r="O20" s="139">
        <f t="shared" si="14"/>
        <v>5.2847407407407401</v>
      </c>
      <c r="P20" s="454" t="s">
        <v>480</v>
      </c>
      <c r="Q20" s="454">
        <v>1</v>
      </c>
      <c r="V20" s="198" t="s">
        <v>441</v>
      </c>
      <c r="W20" s="152" t="s">
        <v>490</v>
      </c>
      <c r="X20" s="424" t="s">
        <v>266</v>
      </c>
      <c r="Y20" s="152">
        <v>2</v>
      </c>
      <c r="Z20" s="152">
        <v>2</v>
      </c>
      <c r="AA20" s="152">
        <v>2</v>
      </c>
      <c r="AB20" s="152">
        <v>2</v>
      </c>
      <c r="AC20" s="152">
        <v>1</v>
      </c>
      <c r="AD20" s="152">
        <v>1</v>
      </c>
      <c r="AE20" s="199"/>
    </row>
    <row r="21" spans="2:31" ht="24.5" customHeight="1" x14ac:dyDescent="0.3">
      <c r="B21" s="427" t="s">
        <v>316</v>
      </c>
      <c r="C21" s="432">
        <v>0.13</v>
      </c>
      <c r="D21" s="427">
        <f t="shared" si="4"/>
        <v>58240</v>
      </c>
      <c r="E21" s="427">
        <f t="shared" si="5"/>
        <v>40768</v>
      </c>
      <c r="F21" s="433">
        <f t="shared" si="6"/>
        <v>18345.600000000002</v>
      </c>
      <c r="G21" s="433">
        <f t="shared" si="7"/>
        <v>2446.08</v>
      </c>
      <c r="H21" s="433">
        <f t="shared" si="8"/>
        <v>3057.6000000000004</v>
      </c>
      <c r="I21" s="433">
        <f t="shared" si="9"/>
        <v>407.68</v>
      </c>
      <c r="J21" s="433">
        <f t="shared" si="10"/>
        <v>1070.1600000000001</v>
      </c>
      <c r="K21" s="433">
        <f t="shared" si="11"/>
        <v>142.68799999999999</v>
      </c>
      <c r="L21" s="433">
        <f t="shared" si="12"/>
        <v>14.863333333333335</v>
      </c>
      <c r="M21" s="433">
        <f t="shared" si="12"/>
        <v>1.9817777777777776</v>
      </c>
      <c r="N21" s="433">
        <f t="shared" si="13"/>
        <v>39.635555555555555</v>
      </c>
      <c r="O21" s="139">
        <f t="shared" si="14"/>
        <v>5.2847407407407401</v>
      </c>
      <c r="P21" s="454" t="s">
        <v>482</v>
      </c>
      <c r="Q21" s="454">
        <v>7</v>
      </c>
      <c r="V21" s="198" t="s">
        <v>442</v>
      </c>
      <c r="W21" s="152" t="s">
        <v>489</v>
      </c>
      <c r="X21" s="424" t="s">
        <v>266</v>
      </c>
      <c r="Y21" s="152">
        <v>1</v>
      </c>
      <c r="Z21" s="152">
        <v>1</v>
      </c>
      <c r="AA21" s="152">
        <v>1</v>
      </c>
      <c r="AB21" s="152">
        <v>1</v>
      </c>
      <c r="AC21" s="152">
        <v>1</v>
      </c>
      <c r="AD21" s="152">
        <v>1</v>
      </c>
      <c r="AE21" s="199"/>
    </row>
    <row r="22" spans="2:31" ht="24.5" customHeight="1" x14ac:dyDescent="0.3">
      <c r="B22" s="427" t="s">
        <v>317</v>
      </c>
      <c r="C22" s="432">
        <v>0.14000000000000001</v>
      </c>
      <c r="D22" s="427">
        <f t="shared" si="4"/>
        <v>62720.000000000007</v>
      </c>
      <c r="E22" s="427">
        <f t="shared" si="5"/>
        <v>43904</v>
      </c>
      <c r="F22" s="433">
        <f t="shared" si="6"/>
        <v>19756.8</v>
      </c>
      <c r="G22" s="433">
        <f t="shared" si="7"/>
        <v>2634.24</v>
      </c>
      <c r="H22" s="433">
        <f t="shared" si="8"/>
        <v>3292.7999999999997</v>
      </c>
      <c r="I22" s="433">
        <f t="shared" si="9"/>
        <v>439.03999999999996</v>
      </c>
      <c r="J22" s="433">
        <f t="shared" si="10"/>
        <v>1152.4799999999998</v>
      </c>
      <c r="K22" s="433">
        <f t="shared" si="11"/>
        <v>153.66399999999999</v>
      </c>
      <c r="L22" s="433">
        <f t="shared" si="12"/>
        <v>16.006666666666664</v>
      </c>
      <c r="M22" s="433">
        <f t="shared" si="12"/>
        <v>2.1342222222222222</v>
      </c>
      <c r="N22" s="433">
        <f t="shared" si="13"/>
        <v>42.684444444444438</v>
      </c>
      <c r="O22" s="139">
        <f t="shared" si="14"/>
        <v>5.691259259259259</v>
      </c>
      <c r="P22" s="454" t="s">
        <v>483</v>
      </c>
      <c r="Q22" s="454">
        <v>12</v>
      </c>
      <c r="V22" s="198" t="s">
        <v>443</v>
      </c>
      <c r="W22" s="152" t="s">
        <v>492</v>
      </c>
      <c r="X22" s="424" t="s">
        <v>266</v>
      </c>
      <c r="Y22" s="152">
        <v>2</v>
      </c>
      <c r="Z22" s="152">
        <v>2</v>
      </c>
      <c r="AA22" s="152">
        <v>2</v>
      </c>
      <c r="AB22" s="152">
        <v>2</v>
      </c>
      <c r="AC22" s="152">
        <v>1</v>
      </c>
      <c r="AD22" s="152">
        <v>1</v>
      </c>
      <c r="AE22" s="199"/>
    </row>
    <row r="23" spans="2:31" x14ac:dyDescent="0.3">
      <c r="B23" s="427" t="s">
        <v>318</v>
      </c>
      <c r="C23" s="432">
        <v>0.17</v>
      </c>
      <c r="D23" s="427">
        <f t="shared" si="4"/>
        <v>76160</v>
      </c>
      <c r="E23" s="427">
        <f t="shared" si="5"/>
        <v>53312</v>
      </c>
      <c r="F23" s="433">
        <f t="shared" si="6"/>
        <v>23990.400000000001</v>
      </c>
      <c r="G23" s="433">
        <f t="shared" si="7"/>
        <v>3198.72</v>
      </c>
      <c r="H23" s="433">
        <f t="shared" si="8"/>
        <v>3998.4</v>
      </c>
      <c r="I23" s="433">
        <f t="shared" si="9"/>
        <v>533.12</v>
      </c>
      <c r="J23" s="433">
        <f t="shared" si="10"/>
        <v>1399.44</v>
      </c>
      <c r="K23" s="433">
        <f t="shared" si="11"/>
        <v>186.59199999999998</v>
      </c>
      <c r="L23" s="433">
        <f t="shared" si="12"/>
        <v>19.436666666666667</v>
      </c>
      <c r="M23" s="433">
        <f t="shared" si="12"/>
        <v>2.5915555555555554</v>
      </c>
      <c r="N23" s="433">
        <f t="shared" si="13"/>
        <v>51.831111111111113</v>
      </c>
      <c r="O23" s="139">
        <f t="shared" si="14"/>
        <v>6.9108148148148141</v>
      </c>
      <c r="P23" s="454" t="s">
        <v>503</v>
      </c>
      <c r="Q23" s="454">
        <v>150500</v>
      </c>
      <c r="V23" s="198" t="s">
        <v>491</v>
      </c>
      <c r="W23" s="152" t="s">
        <v>589</v>
      </c>
      <c r="X23" s="424" t="s">
        <v>266</v>
      </c>
      <c r="Y23" s="152">
        <v>1</v>
      </c>
      <c r="Z23" s="152">
        <v>1</v>
      </c>
      <c r="AA23" s="152">
        <v>1</v>
      </c>
      <c r="AB23" s="152">
        <v>1</v>
      </c>
      <c r="AE23" s="199"/>
    </row>
    <row r="24" spans="2:31" ht="39.5" customHeight="1" x14ac:dyDescent="0.3">
      <c r="B24" s="427" t="s">
        <v>319</v>
      </c>
      <c r="C24" s="432">
        <v>0.19</v>
      </c>
      <c r="D24" s="427">
        <f t="shared" si="4"/>
        <v>85120</v>
      </c>
      <c r="E24" s="427">
        <f t="shared" si="5"/>
        <v>59583.999999999993</v>
      </c>
      <c r="F24" s="433">
        <f t="shared" si="6"/>
        <v>26812.799999999996</v>
      </c>
      <c r="G24" s="433">
        <f t="shared" si="7"/>
        <v>3575.0399999999995</v>
      </c>
      <c r="H24" s="433">
        <f t="shared" si="8"/>
        <v>4468.7999999999993</v>
      </c>
      <c r="I24" s="433">
        <f t="shared" si="9"/>
        <v>595.83999999999992</v>
      </c>
      <c r="J24" s="433">
        <f t="shared" si="10"/>
        <v>1564.0799999999997</v>
      </c>
      <c r="K24" s="433">
        <f t="shared" si="11"/>
        <v>208.54399999999995</v>
      </c>
      <c r="L24" s="433">
        <f t="shared" si="12"/>
        <v>21.723333333333329</v>
      </c>
      <c r="M24" s="433">
        <f t="shared" si="12"/>
        <v>2.8964444444444437</v>
      </c>
      <c r="N24" s="433">
        <f t="shared" si="13"/>
        <v>57.928888888888878</v>
      </c>
      <c r="O24" s="139">
        <f t="shared" si="14"/>
        <v>7.7238518518518502</v>
      </c>
      <c r="P24" s="454" t="s">
        <v>516</v>
      </c>
      <c r="Q24" s="454">
        <v>3</v>
      </c>
      <c r="V24" s="198" t="s">
        <v>495</v>
      </c>
      <c r="W24" s="152" t="s">
        <v>590</v>
      </c>
      <c r="X24" s="424" t="s">
        <v>266</v>
      </c>
      <c r="Y24" s="152">
        <v>1</v>
      </c>
      <c r="Z24" s="152">
        <v>1</v>
      </c>
      <c r="AA24" s="152">
        <v>1</v>
      </c>
      <c r="AB24" s="152">
        <v>1</v>
      </c>
      <c r="AE24" s="199"/>
    </row>
    <row r="25" spans="2:31" ht="39.5" customHeight="1" thickBot="1" x14ac:dyDescent="0.35">
      <c r="B25" s="431" t="s">
        <v>72</v>
      </c>
      <c r="C25" s="429">
        <f>SUM(C18:C24)</f>
        <v>1</v>
      </c>
      <c r="D25" s="431">
        <f>SUM(D18:D24)</f>
        <v>448000</v>
      </c>
      <c r="E25" s="431">
        <f>SUM(E18:E24)</f>
        <v>313600</v>
      </c>
      <c r="F25" s="431">
        <f>SUM(F18:F24)</f>
        <v>141120</v>
      </c>
      <c r="G25" s="430">
        <f>SUM(G18:G24)</f>
        <v>18816</v>
      </c>
      <c r="H25" s="430">
        <f>AVERAGE(H18:H24)</f>
        <v>3360</v>
      </c>
      <c r="I25" s="430">
        <f>AVERAGE(I18:I24)</f>
        <v>448</v>
      </c>
      <c r="J25" s="430">
        <f>SUM(J18:J24)</f>
        <v>8232</v>
      </c>
      <c r="K25" s="430">
        <f>SUM(K18:K24)</f>
        <v>1097.5999999999999</v>
      </c>
      <c r="L25" s="459">
        <f>MAX(L18:L24)</f>
        <v>21.723333333333329</v>
      </c>
      <c r="M25" s="430">
        <f>MAX(M18:M24)</f>
        <v>2.8964444444444437</v>
      </c>
      <c r="N25" s="430">
        <f>MAX(N18:N24)</f>
        <v>57.928888888888878</v>
      </c>
      <c r="O25" s="430">
        <f>MAX(O18:O24)</f>
        <v>7.7238518518518502</v>
      </c>
      <c r="P25" s="454" t="s">
        <v>519</v>
      </c>
      <c r="Q25" s="454">
        <v>5</v>
      </c>
      <c r="V25" s="198" t="s">
        <v>495</v>
      </c>
      <c r="W25" s="152" t="s">
        <v>591</v>
      </c>
      <c r="X25" s="424" t="s">
        <v>266</v>
      </c>
      <c r="Y25" s="152">
        <v>1</v>
      </c>
      <c r="Z25" s="152">
        <v>1</v>
      </c>
      <c r="AA25" s="152">
        <v>1</v>
      </c>
      <c r="AB25" s="152">
        <v>1</v>
      </c>
      <c r="AE25" s="199"/>
    </row>
    <row r="26" spans="2:31" ht="15" thickBot="1" x14ac:dyDescent="0.4"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48" t="s">
        <v>488</v>
      </c>
      <c r="M26" s="448" t="s">
        <v>488</v>
      </c>
      <c r="N26" s="448" t="s">
        <v>488</v>
      </c>
      <c r="O26" s="448" t="s">
        <v>488</v>
      </c>
      <c r="P26" s="474" t="s">
        <v>619</v>
      </c>
      <c r="Q26" s="475">
        <v>0.05</v>
      </c>
      <c r="V26" s="198" t="s">
        <v>496</v>
      </c>
      <c r="W26" s="152" t="s">
        <v>592</v>
      </c>
      <c r="X26" s="424" t="s">
        <v>266</v>
      </c>
      <c r="Y26" s="152">
        <v>1</v>
      </c>
      <c r="Z26" s="152">
        <v>1</v>
      </c>
      <c r="AA26" s="152">
        <v>1</v>
      </c>
      <c r="AB26" s="152">
        <v>1</v>
      </c>
      <c r="AE26" s="199"/>
    </row>
    <row r="27" spans="2:31" x14ac:dyDescent="0.3">
      <c r="B27" s="416"/>
      <c r="C27" s="416"/>
      <c r="D27" s="416"/>
      <c r="E27" s="416"/>
      <c r="F27" s="416"/>
      <c r="G27" s="416"/>
      <c r="H27" s="416"/>
      <c r="I27" s="416"/>
      <c r="J27" s="416"/>
      <c r="K27" s="416"/>
      <c r="L27" s="447">
        <v>3</v>
      </c>
      <c r="M27" s="447">
        <f>M25*$Q$34</f>
        <v>0.34757333333333323</v>
      </c>
      <c r="N27" s="433">
        <f>N25*$Q$34</f>
        <v>6.9514666666666649</v>
      </c>
      <c r="O27" s="139">
        <f>O25*$Q$34</f>
        <v>0.92686222222222203</v>
      </c>
      <c r="P27" s="454" t="s">
        <v>525</v>
      </c>
      <c r="Q27" s="457">
        <v>0.04</v>
      </c>
      <c r="V27" s="198" t="s">
        <v>491</v>
      </c>
      <c r="W27" s="152" t="s">
        <v>484</v>
      </c>
      <c r="X27" s="424" t="s">
        <v>273</v>
      </c>
      <c r="Y27" s="160">
        <v>800000</v>
      </c>
      <c r="Z27" s="160">
        <f>Y27</f>
        <v>800000</v>
      </c>
      <c r="AA27" s="160">
        <f t="shared" ref="AA27:AD30" si="15">(Z27*$Q$11)+Z27</f>
        <v>864000</v>
      </c>
      <c r="AB27" s="160">
        <f t="shared" si="15"/>
        <v>933120</v>
      </c>
      <c r="AC27" s="160">
        <f t="shared" si="15"/>
        <v>1007769.6</v>
      </c>
      <c r="AD27" s="160">
        <f t="shared" si="15"/>
        <v>1088391.1680000001</v>
      </c>
      <c r="AE27" s="199"/>
    </row>
    <row r="28" spans="2:31" ht="23.5" customHeight="1" x14ac:dyDescent="0.3">
      <c r="B28" s="416"/>
      <c r="C28" s="416"/>
      <c r="D28" s="416"/>
      <c r="E28" s="416"/>
      <c r="F28" s="416"/>
      <c r="G28" s="416"/>
      <c r="H28" s="416"/>
      <c r="I28" s="416"/>
      <c r="J28" s="416"/>
      <c r="K28" s="416"/>
      <c r="L28" s="430">
        <f>L25+L27</f>
        <v>24.723333333333329</v>
      </c>
      <c r="M28" s="430">
        <f>M27+M25</f>
        <v>3.2440177777777768</v>
      </c>
      <c r="N28" s="430">
        <f>N27+N25</f>
        <v>64.880355555555539</v>
      </c>
      <c r="O28" s="430">
        <f>O27+O25</f>
        <v>8.650714074074072</v>
      </c>
      <c r="P28" s="454" t="s">
        <v>526</v>
      </c>
      <c r="Q28" s="457">
        <v>0.04</v>
      </c>
      <c r="V28" s="198" t="s">
        <v>495</v>
      </c>
      <c r="W28" s="152" t="s">
        <v>493</v>
      </c>
      <c r="X28" s="424" t="s">
        <v>273</v>
      </c>
      <c r="Y28" s="160">
        <v>300000</v>
      </c>
      <c r="Z28" s="160">
        <f>25000*$Q$22</f>
        <v>300000</v>
      </c>
      <c r="AA28" s="160">
        <f t="shared" si="15"/>
        <v>324000</v>
      </c>
      <c r="AB28" s="160">
        <f t="shared" si="15"/>
        <v>349920</v>
      </c>
      <c r="AC28" s="160">
        <f t="shared" si="15"/>
        <v>377913.59999999998</v>
      </c>
      <c r="AD28" s="160">
        <f t="shared" si="15"/>
        <v>408146.68799999997</v>
      </c>
      <c r="AE28" s="199"/>
    </row>
    <row r="29" spans="2:31" x14ac:dyDescent="0.3">
      <c r="L29" s="139">
        <f t="shared" ref="L29:O30" si="16">(L28*25%)+L28</f>
        <v>30.904166666666661</v>
      </c>
      <c r="M29" s="139">
        <f t="shared" si="16"/>
        <v>4.0550222222222212</v>
      </c>
      <c r="N29" s="139">
        <f t="shared" si="16"/>
        <v>81.10044444444442</v>
      </c>
      <c r="O29" s="139">
        <f t="shared" si="16"/>
        <v>10.81339259259259</v>
      </c>
      <c r="P29" s="454" t="s">
        <v>533</v>
      </c>
      <c r="Q29" s="457">
        <v>0.05</v>
      </c>
      <c r="V29" s="198" t="s">
        <v>495</v>
      </c>
      <c r="W29" s="152" t="s">
        <v>560</v>
      </c>
      <c r="X29" s="424" t="s">
        <v>273</v>
      </c>
      <c r="Y29" s="172">
        <v>800000</v>
      </c>
      <c r="Z29" s="172">
        <f t="shared" ref="Z29:Z34" si="17">Y29</f>
        <v>800000</v>
      </c>
      <c r="AA29" s="160">
        <f t="shared" si="15"/>
        <v>864000</v>
      </c>
      <c r="AB29" s="160">
        <f t="shared" si="15"/>
        <v>933120</v>
      </c>
      <c r="AC29" s="160">
        <f t="shared" si="15"/>
        <v>1007769.6</v>
      </c>
      <c r="AD29" s="160">
        <f t="shared" si="15"/>
        <v>1088391.1680000001</v>
      </c>
      <c r="AE29" s="199"/>
    </row>
    <row r="30" spans="2:31" x14ac:dyDescent="0.3">
      <c r="L30" s="139">
        <f t="shared" si="16"/>
        <v>38.630208333333329</v>
      </c>
      <c r="M30" s="139">
        <f t="shared" si="16"/>
        <v>5.0687777777777763</v>
      </c>
      <c r="N30" s="139">
        <f t="shared" si="16"/>
        <v>101.37555555555552</v>
      </c>
      <c r="O30" s="139">
        <f t="shared" si="16"/>
        <v>13.516740740740739</v>
      </c>
      <c r="P30" s="454" t="s">
        <v>534</v>
      </c>
      <c r="Q30" s="457">
        <v>0.25</v>
      </c>
      <c r="V30" s="198" t="s">
        <v>496</v>
      </c>
      <c r="W30" s="152" t="s">
        <v>494</v>
      </c>
      <c r="X30" s="424" t="s">
        <v>273</v>
      </c>
      <c r="Y30" s="152">
        <v>400000</v>
      </c>
      <c r="Z30" s="152">
        <f t="shared" si="17"/>
        <v>400000</v>
      </c>
      <c r="AA30" s="160">
        <f t="shared" si="15"/>
        <v>432000</v>
      </c>
      <c r="AB30" s="160">
        <f t="shared" si="15"/>
        <v>466560</v>
      </c>
      <c r="AC30" s="160">
        <f t="shared" si="15"/>
        <v>503884.79999999999</v>
      </c>
      <c r="AD30" s="160">
        <f t="shared" si="15"/>
        <v>544195.58400000003</v>
      </c>
      <c r="AE30" s="199"/>
    </row>
    <row r="31" spans="2:31" x14ac:dyDescent="0.3">
      <c r="B31" s="518" t="s">
        <v>125</v>
      </c>
      <c r="C31" s="518"/>
      <c r="F31" s="519" t="s">
        <v>85</v>
      </c>
      <c r="G31" s="519"/>
      <c r="I31" s="518" t="s">
        <v>588</v>
      </c>
      <c r="J31" s="518"/>
      <c r="P31" s="454" t="s">
        <v>535</v>
      </c>
      <c r="Q31" s="457">
        <v>0.25</v>
      </c>
      <c r="V31" s="198" t="s">
        <v>491</v>
      </c>
      <c r="W31" s="152" t="s">
        <v>589</v>
      </c>
      <c r="X31" s="424" t="s">
        <v>273</v>
      </c>
      <c r="Y31" s="152">
        <v>3000000</v>
      </c>
      <c r="Z31" s="152">
        <f t="shared" si="17"/>
        <v>3000000</v>
      </c>
      <c r="AA31" s="160">
        <f t="shared" ref="AA31:AB34" si="18">(Z31*$Q$11)+Z31</f>
        <v>3240000</v>
      </c>
      <c r="AB31" s="160">
        <f t="shared" si="18"/>
        <v>3499200</v>
      </c>
      <c r="AC31" s="160"/>
      <c r="AD31" s="160"/>
      <c r="AE31" s="199"/>
    </row>
    <row r="32" spans="2:31" ht="26" x14ac:dyDescent="0.3">
      <c r="B32" s="449" t="s">
        <v>169</v>
      </c>
      <c r="C32" s="450">
        <v>900000</v>
      </c>
      <c r="F32" s="449" t="s">
        <v>165</v>
      </c>
      <c r="G32" s="449">
        <v>420</v>
      </c>
      <c r="I32" s="426" t="s">
        <v>568</v>
      </c>
      <c r="J32" s="427">
        <v>80</v>
      </c>
      <c r="P32" s="454" t="s">
        <v>565</v>
      </c>
      <c r="Q32" s="454">
        <v>5</v>
      </c>
      <c r="V32" s="198" t="s">
        <v>495</v>
      </c>
      <c r="W32" s="152" t="s">
        <v>590</v>
      </c>
      <c r="X32" s="424" t="s">
        <v>273</v>
      </c>
      <c r="Y32" s="152">
        <v>3000000</v>
      </c>
      <c r="Z32" s="152">
        <f t="shared" si="17"/>
        <v>3000000</v>
      </c>
      <c r="AA32" s="160">
        <f t="shared" si="18"/>
        <v>3240000</v>
      </c>
      <c r="AB32" s="160">
        <f t="shared" si="18"/>
        <v>3499200</v>
      </c>
      <c r="AC32" s="160"/>
      <c r="AD32" s="160"/>
      <c r="AE32" s="199"/>
    </row>
    <row r="33" spans="2:39" ht="39" x14ac:dyDescent="0.3">
      <c r="B33" s="449" t="s">
        <v>170</v>
      </c>
      <c r="C33" s="449">
        <v>120</v>
      </c>
      <c r="F33" s="449" t="s">
        <v>93</v>
      </c>
      <c r="G33" s="452">
        <v>0.1</v>
      </c>
      <c r="I33" s="426" t="s">
        <v>569</v>
      </c>
      <c r="J33" s="427">
        <v>600</v>
      </c>
      <c r="P33" s="454" t="s">
        <v>602</v>
      </c>
      <c r="Q33" s="457">
        <v>0.1</v>
      </c>
      <c r="V33" s="198" t="s">
        <v>495</v>
      </c>
      <c r="W33" s="152" t="s">
        <v>591</v>
      </c>
      <c r="X33" s="424" t="s">
        <v>273</v>
      </c>
      <c r="Y33" s="152">
        <v>3000000</v>
      </c>
      <c r="Z33" s="152">
        <f t="shared" si="17"/>
        <v>3000000</v>
      </c>
      <c r="AA33" s="160">
        <f t="shared" si="18"/>
        <v>3240000</v>
      </c>
      <c r="AB33" s="160">
        <f t="shared" si="18"/>
        <v>3499200</v>
      </c>
      <c r="AC33" s="160"/>
      <c r="AD33" s="160"/>
      <c r="AE33" s="199"/>
    </row>
    <row r="34" spans="2:39" ht="39" x14ac:dyDescent="0.3">
      <c r="B34" s="449" t="s">
        <v>171</v>
      </c>
      <c r="C34" s="449">
        <v>2</v>
      </c>
      <c r="F34" s="449" t="s">
        <v>94</v>
      </c>
      <c r="G34" s="449">
        <v>3</v>
      </c>
      <c r="I34" s="426" t="s">
        <v>570</v>
      </c>
      <c r="J34" s="428">
        <f>J33*J32*Q22</f>
        <v>576000</v>
      </c>
      <c r="P34" s="454" t="s">
        <v>603</v>
      </c>
      <c r="Q34" s="457">
        <v>0.12</v>
      </c>
      <c r="V34" s="198" t="s">
        <v>496</v>
      </c>
      <c r="W34" s="152" t="s">
        <v>592</v>
      </c>
      <c r="X34" s="424" t="s">
        <v>273</v>
      </c>
      <c r="Y34" s="152">
        <v>1500000</v>
      </c>
      <c r="Z34" s="152">
        <f t="shared" si="17"/>
        <v>1500000</v>
      </c>
      <c r="AA34" s="160">
        <f t="shared" si="18"/>
        <v>1620000</v>
      </c>
      <c r="AB34" s="160">
        <f t="shared" si="18"/>
        <v>1749600</v>
      </c>
      <c r="AC34" s="160"/>
      <c r="AD34" s="160"/>
      <c r="AE34" s="199"/>
    </row>
    <row r="35" spans="2:39" ht="39" x14ac:dyDescent="0.3">
      <c r="B35" s="449" t="s">
        <v>172</v>
      </c>
      <c r="C35" s="449">
        <f>C32*C34/C33</f>
        <v>15000</v>
      </c>
      <c r="F35" s="453" t="s">
        <v>95</v>
      </c>
      <c r="G35" s="449">
        <v>15</v>
      </c>
      <c r="I35" s="426" t="s">
        <v>571</v>
      </c>
      <c r="J35" s="428">
        <f>J34*9</f>
        <v>5184000</v>
      </c>
      <c r="P35" s="454" t="s">
        <v>610</v>
      </c>
      <c r="Q35" s="462">
        <v>5</v>
      </c>
      <c r="V35" s="212" t="s">
        <v>275</v>
      </c>
      <c r="W35" s="213" t="s">
        <v>487</v>
      </c>
      <c r="X35" s="214" t="s">
        <v>273</v>
      </c>
      <c r="Y35" s="458">
        <f>Y19*Y27+Y20*Y28+Y21*Y29+Y22*Y30+Y23*Y31+Y24*Y32+Y25*Y33+Y26*Y34</f>
        <v>13500000</v>
      </c>
      <c r="Z35" s="458">
        <f>Z19*Z27+Z20*Z28+Z21*Z29+Z22*Z30+Z23*Z31+Z24*Z32+Z25*Z33+Z26*Z34</f>
        <v>13500000</v>
      </c>
      <c r="AA35" s="458">
        <f>AA19*AA27+AA20*AA28+AA21*AA29+AA22*AA30+AA23*AA31+AA24*AA32+AA25*AA33+AA26*AA34</f>
        <v>14580000</v>
      </c>
      <c r="AB35" s="458">
        <f>AB19*AB27+AB20*AB28+AB21*AB29+AB22*AB30+AB23*AB31+AB24*AB32+AB25*AB33+AB26*AB34</f>
        <v>15746400</v>
      </c>
      <c r="AC35" s="216">
        <f>SUM(AC27:AC30)</f>
        <v>2897337.5999999996</v>
      </c>
      <c r="AD35" s="216">
        <f>SUM(AD27:AD30)</f>
        <v>3129124.608</v>
      </c>
      <c r="AE35" s="217"/>
    </row>
    <row r="36" spans="2:39" x14ac:dyDescent="0.35">
      <c r="B36" s="449" t="s">
        <v>126</v>
      </c>
      <c r="C36" s="449">
        <v>150</v>
      </c>
      <c r="F36" s="449" t="s">
        <v>96</v>
      </c>
      <c r="G36" s="449">
        <f>G34*4</f>
        <v>12</v>
      </c>
      <c r="I36" s="152"/>
      <c r="J36" s="152"/>
      <c r="V36" s="194" t="s">
        <v>285</v>
      </c>
      <c r="W36" s="195" t="s">
        <v>562</v>
      </c>
      <c r="X36" s="196"/>
      <c r="Y36" s="195"/>
      <c r="Z36" s="195"/>
      <c r="AA36" s="195"/>
      <c r="AB36" s="195"/>
      <c r="AC36" s="195"/>
      <c r="AD36" s="195"/>
      <c r="AE36" s="197"/>
    </row>
    <row r="37" spans="2:39" x14ac:dyDescent="0.35">
      <c r="B37" s="449" t="s">
        <v>127</v>
      </c>
      <c r="C37" s="449">
        <v>166</v>
      </c>
      <c r="F37" s="449" t="s">
        <v>97</v>
      </c>
      <c r="G37" s="449">
        <f>G36*H4</f>
        <v>72</v>
      </c>
      <c r="I37" s="152"/>
      <c r="J37" s="152"/>
      <c r="V37" s="198" t="s">
        <v>286</v>
      </c>
      <c r="W37" s="142" t="s">
        <v>561</v>
      </c>
      <c r="X37" s="158" t="s">
        <v>273</v>
      </c>
      <c r="Y37" s="151">
        <v>800000</v>
      </c>
      <c r="Z37" s="151">
        <f t="shared" ref="Z37:Z43" si="19">Y37</f>
        <v>800000</v>
      </c>
      <c r="AA37" s="141">
        <v>0</v>
      </c>
      <c r="AB37" s="173">
        <v>0</v>
      </c>
      <c r="AC37" s="173">
        <v>0</v>
      </c>
      <c r="AD37" s="174">
        <v>0</v>
      </c>
      <c r="AE37" s="200"/>
    </row>
    <row r="38" spans="2:39" x14ac:dyDescent="0.35">
      <c r="B38" s="449" t="s">
        <v>128</v>
      </c>
      <c r="C38" s="449">
        <v>120</v>
      </c>
      <c r="F38" s="426" t="s">
        <v>609</v>
      </c>
      <c r="G38" s="460">
        <f>J25/7*6*30</f>
        <v>211680</v>
      </c>
      <c r="V38" s="198" t="s">
        <v>287</v>
      </c>
      <c r="W38" s="142" t="s">
        <v>120</v>
      </c>
      <c r="X38" s="158" t="s">
        <v>273</v>
      </c>
      <c r="Y38" s="151">
        <v>800000</v>
      </c>
      <c r="Z38" s="151">
        <f t="shared" si="19"/>
        <v>800000</v>
      </c>
      <c r="AA38" s="141">
        <v>0</v>
      </c>
      <c r="AB38" s="173">
        <v>0</v>
      </c>
      <c r="AC38" s="173">
        <v>0</v>
      </c>
      <c r="AD38" s="174">
        <v>0</v>
      </c>
      <c r="AE38" s="200"/>
    </row>
    <row r="39" spans="2:39" x14ac:dyDescent="0.35">
      <c r="B39" s="449" t="s">
        <v>129</v>
      </c>
      <c r="C39" s="451">
        <f>C36-C38</f>
        <v>30</v>
      </c>
      <c r="V39" s="198" t="s">
        <v>288</v>
      </c>
      <c r="W39" s="142" t="s">
        <v>119</v>
      </c>
      <c r="X39" s="158" t="s">
        <v>273</v>
      </c>
      <c r="Y39" s="151">
        <v>400000</v>
      </c>
      <c r="Z39" s="151">
        <f t="shared" si="19"/>
        <v>400000</v>
      </c>
      <c r="AA39" s="141">
        <v>0</v>
      </c>
      <c r="AB39" s="173">
        <v>0</v>
      </c>
      <c r="AC39" s="173">
        <v>0</v>
      </c>
      <c r="AD39" s="174">
        <v>0</v>
      </c>
      <c r="AE39" s="200"/>
    </row>
    <row r="40" spans="2:39" x14ac:dyDescent="0.35">
      <c r="B40" s="449" t="s">
        <v>130</v>
      </c>
      <c r="C40" s="450">
        <f>C39*C37</f>
        <v>4980</v>
      </c>
      <c r="V40" s="198" t="s">
        <v>289</v>
      </c>
      <c r="W40" s="142" t="s">
        <v>121</v>
      </c>
      <c r="X40" s="424" t="s">
        <v>266</v>
      </c>
      <c r="Y40" s="151">
        <v>5</v>
      </c>
      <c r="Z40" s="151">
        <f t="shared" si="19"/>
        <v>5</v>
      </c>
      <c r="AA40" s="141">
        <v>0</v>
      </c>
      <c r="AB40" s="173">
        <v>0</v>
      </c>
      <c r="AC40" s="173">
        <v>0</v>
      </c>
      <c r="AD40" s="174">
        <v>0</v>
      </c>
      <c r="AE40" s="200"/>
    </row>
    <row r="41" spans="2:39" x14ac:dyDescent="0.35">
      <c r="B41" s="449" t="s">
        <v>131</v>
      </c>
      <c r="C41" s="450">
        <v>10000</v>
      </c>
      <c r="V41" s="198" t="s">
        <v>290</v>
      </c>
      <c r="W41" s="142" t="s">
        <v>122</v>
      </c>
      <c r="X41" s="158" t="s">
        <v>273</v>
      </c>
      <c r="Y41" s="151">
        <v>300000</v>
      </c>
      <c r="Z41" s="151">
        <f t="shared" si="19"/>
        <v>300000</v>
      </c>
      <c r="AA41" s="141">
        <v>0</v>
      </c>
      <c r="AB41" s="173">
        <v>0</v>
      </c>
      <c r="AC41" s="173">
        <v>0</v>
      </c>
      <c r="AD41" s="174">
        <v>0</v>
      </c>
      <c r="AE41" s="199"/>
    </row>
    <row r="42" spans="2:39" ht="24.5" customHeight="1" x14ac:dyDescent="0.35">
      <c r="B42" s="449" t="s">
        <v>132</v>
      </c>
      <c r="C42" s="449">
        <v>80</v>
      </c>
      <c r="V42" s="198" t="s">
        <v>291</v>
      </c>
      <c r="W42" s="142" t="s">
        <v>123</v>
      </c>
      <c r="X42" s="158" t="s">
        <v>273</v>
      </c>
      <c r="Y42" s="151">
        <f>Y40*Y41</f>
        <v>1500000</v>
      </c>
      <c r="Z42" s="151">
        <f t="shared" si="19"/>
        <v>1500000</v>
      </c>
      <c r="AA42" s="151">
        <f>AA40*AA41</f>
        <v>0</v>
      </c>
      <c r="AB42" s="151">
        <f>AB40*AB41</f>
        <v>0</v>
      </c>
      <c r="AC42" s="151">
        <f>AC40*AC41</f>
        <v>0</v>
      </c>
      <c r="AD42" s="151">
        <f>AD40*AD41</f>
        <v>0</v>
      </c>
      <c r="AE42" s="199"/>
    </row>
    <row r="43" spans="2:39" x14ac:dyDescent="0.35">
      <c r="B43" s="449" t="s">
        <v>133</v>
      </c>
      <c r="C43" s="449">
        <v>6</v>
      </c>
      <c r="V43" s="198" t="s">
        <v>292</v>
      </c>
      <c r="W43" s="142" t="s">
        <v>611</v>
      </c>
      <c r="X43" s="159" t="s">
        <v>266</v>
      </c>
      <c r="Y43" s="151">
        <v>3</v>
      </c>
      <c r="Z43" s="151">
        <f t="shared" si="19"/>
        <v>3</v>
      </c>
      <c r="AA43" s="141">
        <v>0</v>
      </c>
      <c r="AB43" s="173">
        <v>0</v>
      </c>
      <c r="AC43" s="173">
        <v>0</v>
      </c>
      <c r="AD43" s="174">
        <v>0</v>
      </c>
      <c r="AE43" s="199"/>
    </row>
    <row r="44" spans="2:39" x14ac:dyDescent="0.35">
      <c r="B44" s="449" t="s">
        <v>134</v>
      </c>
      <c r="C44" s="450">
        <f>C42*C43*30</f>
        <v>14400</v>
      </c>
      <c r="V44" s="198"/>
      <c r="W44" s="142"/>
      <c r="X44" s="158"/>
      <c r="Y44" s="151"/>
      <c r="Z44" s="151"/>
      <c r="AA44" s="151"/>
      <c r="AB44" s="151"/>
      <c r="AC44" s="151">
        <f>$Q$23*AC43</f>
        <v>0</v>
      </c>
      <c r="AD44" s="151">
        <f>$Q$23*AD43</f>
        <v>0</v>
      </c>
      <c r="AE44" s="199"/>
    </row>
    <row r="45" spans="2:39" x14ac:dyDescent="0.35">
      <c r="B45" s="450" t="s">
        <v>173</v>
      </c>
      <c r="C45" s="450">
        <f>C35+C40+C41+C44</f>
        <v>44380</v>
      </c>
      <c r="V45" s="201" t="s">
        <v>293</v>
      </c>
      <c r="W45" s="188" t="s">
        <v>605</v>
      </c>
      <c r="X45" s="189" t="s">
        <v>273</v>
      </c>
      <c r="Y45" s="190">
        <f>Y37+Y38+Y39+Y42+Y44</f>
        <v>3500000</v>
      </c>
      <c r="Z45" s="190">
        <f>Z37+Z38+Z39+Z42+Z44</f>
        <v>3500000</v>
      </c>
      <c r="AA45" s="190"/>
      <c r="AB45" s="190"/>
      <c r="AC45" s="190">
        <f>AC37+AC38+AC39+AC42+AC44</f>
        <v>0</v>
      </c>
      <c r="AD45" s="190">
        <f>AD37+AD38+AD39+AD42+AD44</f>
        <v>0</v>
      </c>
      <c r="AE45" s="202"/>
    </row>
    <row r="46" spans="2:39" x14ac:dyDescent="0.35">
      <c r="V46" s="198" t="s">
        <v>415</v>
      </c>
      <c r="W46" s="142" t="s">
        <v>416</v>
      </c>
      <c r="X46" s="158" t="s">
        <v>266</v>
      </c>
      <c r="Y46" s="151">
        <v>9</v>
      </c>
      <c r="Z46" s="151">
        <v>9</v>
      </c>
      <c r="AA46" s="141">
        <v>0</v>
      </c>
      <c r="AB46" s="173">
        <v>0</v>
      </c>
      <c r="AC46" s="173">
        <v>0</v>
      </c>
      <c r="AD46" s="174">
        <v>0</v>
      </c>
      <c r="AE46" s="218"/>
    </row>
    <row r="47" spans="2:39" x14ac:dyDescent="0.35">
      <c r="B47" s="152"/>
      <c r="C47" s="152"/>
      <c r="V47" s="203" t="s">
        <v>285</v>
      </c>
      <c r="W47" s="204" t="s">
        <v>505</v>
      </c>
      <c r="X47" s="205" t="s">
        <v>273</v>
      </c>
      <c r="Y47" s="206">
        <f>Y45*Y46</f>
        <v>31500000</v>
      </c>
      <c r="Z47" s="206">
        <f>Z45*Z46</f>
        <v>31500000</v>
      </c>
      <c r="AA47" s="206">
        <f>Z47-Z107</f>
        <v>31500000</v>
      </c>
      <c r="AB47" s="206">
        <f>AA47-AA107</f>
        <v>31500000</v>
      </c>
      <c r="AC47" s="206">
        <f>AC45*AC46</f>
        <v>0</v>
      </c>
      <c r="AD47" s="206">
        <f>AD45*AD46</f>
        <v>0</v>
      </c>
      <c r="AE47" s="207"/>
      <c r="AM47" s="152" t="s">
        <v>523</v>
      </c>
    </row>
    <row r="48" spans="2:39" x14ac:dyDescent="0.35">
      <c r="B48" s="152"/>
      <c r="C48" s="152"/>
      <c r="V48" s="194" t="s">
        <v>294</v>
      </c>
      <c r="W48" s="195" t="s">
        <v>311</v>
      </c>
      <c r="X48" s="196"/>
      <c r="Y48" s="195"/>
      <c r="Z48" s="195"/>
      <c r="AA48" s="195"/>
      <c r="AB48" s="195"/>
      <c r="AC48" s="195"/>
      <c r="AD48" s="195"/>
      <c r="AE48" s="197"/>
    </row>
    <row r="49" spans="2:31" x14ac:dyDescent="0.35">
      <c r="V49" s="198" t="s">
        <v>296</v>
      </c>
      <c r="W49" s="142" t="s">
        <v>303</v>
      </c>
      <c r="X49" s="158" t="s">
        <v>273</v>
      </c>
      <c r="Y49" s="151">
        <v>130000</v>
      </c>
      <c r="Z49" s="151">
        <f t="shared" ref="Z49:AB55" si="20">Y49</f>
        <v>130000</v>
      </c>
      <c r="AA49" s="151">
        <f t="shared" si="20"/>
        <v>130000</v>
      </c>
      <c r="AB49" s="151">
        <f t="shared" si="20"/>
        <v>130000</v>
      </c>
      <c r="AC49" s="173">
        <v>0</v>
      </c>
      <c r="AD49" s="174">
        <v>0</v>
      </c>
      <c r="AE49" s="199"/>
    </row>
    <row r="50" spans="2:31" s="153" customFormat="1" x14ac:dyDescent="0.35">
      <c r="B50" s="416"/>
      <c r="C50" s="416"/>
      <c r="D50" s="416"/>
      <c r="E50" s="416"/>
      <c r="J50" s="416"/>
      <c r="K50" s="416"/>
      <c r="L50" s="416"/>
      <c r="M50" s="416"/>
      <c r="N50" s="416"/>
      <c r="O50" s="416"/>
      <c r="P50" s="416"/>
      <c r="Q50" s="416"/>
      <c r="R50" s="416"/>
      <c r="S50" s="416"/>
      <c r="T50" s="416"/>
      <c r="V50" s="198" t="s">
        <v>302</v>
      </c>
      <c r="W50" s="142" t="s">
        <v>305</v>
      </c>
      <c r="X50" s="158" t="s">
        <v>530</v>
      </c>
      <c r="Y50" s="151">
        <v>3</v>
      </c>
      <c r="Z50" s="151">
        <f t="shared" si="20"/>
        <v>3</v>
      </c>
      <c r="AA50" s="151">
        <f t="shared" si="20"/>
        <v>3</v>
      </c>
      <c r="AB50" s="151">
        <f t="shared" si="20"/>
        <v>3</v>
      </c>
      <c r="AC50" s="173">
        <v>0</v>
      </c>
      <c r="AD50" s="174">
        <v>0</v>
      </c>
      <c r="AE50" s="199"/>
    </row>
    <row r="51" spans="2:31" s="153" customFormat="1" ht="69" customHeight="1" x14ac:dyDescent="0.35">
      <c r="B51" s="416"/>
      <c r="C51" s="416"/>
      <c r="D51" s="416"/>
      <c r="E51" s="416"/>
      <c r="J51" s="416"/>
      <c r="K51" s="422"/>
      <c r="M51" s="422"/>
      <c r="N51" s="422"/>
      <c r="O51" s="422"/>
      <c r="P51" s="416"/>
      <c r="Q51" s="416"/>
      <c r="R51" s="416"/>
      <c r="S51" s="416"/>
      <c r="T51" s="416"/>
      <c r="V51" s="198" t="s">
        <v>297</v>
      </c>
      <c r="W51" s="142" t="s">
        <v>306</v>
      </c>
      <c r="X51" s="158" t="s">
        <v>304</v>
      </c>
      <c r="Y51" s="160">
        <v>3</v>
      </c>
      <c r="Z51" s="160">
        <f t="shared" si="20"/>
        <v>3</v>
      </c>
      <c r="AA51" s="160">
        <f t="shared" si="20"/>
        <v>3</v>
      </c>
      <c r="AB51" s="160">
        <f t="shared" si="20"/>
        <v>3</v>
      </c>
      <c r="AC51" s="173">
        <v>0</v>
      </c>
      <c r="AD51" s="174">
        <v>0</v>
      </c>
      <c r="AE51" s="199"/>
    </row>
    <row r="52" spans="2:31" x14ac:dyDescent="0.35">
      <c r="M52" s="422"/>
      <c r="N52" s="422"/>
      <c r="O52" s="422"/>
      <c r="V52" s="198" t="s">
        <v>298</v>
      </c>
      <c r="W52" s="142" t="s">
        <v>100</v>
      </c>
      <c r="X52" s="158" t="s">
        <v>266</v>
      </c>
      <c r="Y52" s="160">
        <f>Y50/Y51</f>
        <v>1</v>
      </c>
      <c r="Z52" s="160">
        <f t="shared" si="20"/>
        <v>1</v>
      </c>
      <c r="AA52" s="160">
        <f t="shared" si="20"/>
        <v>1</v>
      </c>
      <c r="AB52" s="160">
        <f t="shared" si="20"/>
        <v>1</v>
      </c>
      <c r="AC52" s="173">
        <v>0</v>
      </c>
      <c r="AD52" s="174">
        <v>0</v>
      </c>
      <c r="AE52" s="199"/>
    </row>
    <row r="53" spans="2:31" x14ac:dyDescent="0.35">
      <c r="M53" s="422"/>
      <c r="N53" s="422"/>
      <c r="O53" s="422"/>
      <c r="V53" s="198" t="s">
        <v>299</v>
      </c>
      <c r="W53" s="142" t="s">
        <v>307</v>
      </c>
      <c r="X53" s="158" t="s">
        <v>273</v>
      </c>
      <c r="Y53" s="160">
        <v>13000</v>
      </c>
      <c r="Z53" s="160">
        <f t="shared" si="20"/>
        <v>13000</v>
      </c>
      <c r="AA53" s="160">
        <f t="shared" si="20"/>
        <v>13000</v>
      </c>
      <c r="AB53" s="160">
        <f t="shared" si="20"/>
        <v>13000</v>
      </c>
      <c r="AC53" s="173">
        <v>0</v>
      </c>
      <c r="AD53" s="174">
        <v>0</v>
      </c>
      <c r="AE53" s="199"/>
    </row>
    <row r="54" spans="2:31" x14ac:dyDescent="0.35">
      <c r="M54" s="422"/>
      <c r="N54" s="422"/>
      <c r="O54" s="422"/>
      <c r="V54" s="198" t="s">
        <v>300</v>
      </c>
      <c r="W54" s="142" t="s">
        <v>308</v>
      </c>
      <c r="X54" s="158" t="s">
        <v>273</v>
      </c>
      <c r="Y54" s="160">
        <v>6500</v>
      </c>
      <c r="Z54" s="160">
        <f t="shared" si="20"/>
        <v>6500</v>
      </c>
      <c r="AA54" s="160">
        <f t="shared" si="20"/>
        <v>6500</v>
      </c>
      <c r="AB54" s="160">
        <f t="shared" si="20"/>
        <v>6500</v>
      </c>
      <c r="AC54" s="173">
        <v>0</v>
      </c>
      <c r="AD54" s="174">
        <v>0</v>
      </c>
      <c r="AE54" s="199"/>
    </row>
    <row r="55" spans="2:31" s="153" customFormat="1" x14ac:dyDescent="0.35">
      <c r="B55" s="416"/>
      <c r="C55" s="416"/>
      <c r="D55" s="416"/>
      <c r="E55" s="416"/>
      <c r="J55" s="416"/>
      <c r="K55" s="416"/>
      <c r="L55" s="416"/>
      <c r="M55" s="422"/>
      <c r="N55" s="422"/>
      <c r="O55" s="422"/>
      <c r="P55" s="416"/>
      <c r="Q55" s="416"/>
      <c r="R55" s="416"/>
      <c r="S55" s="416"/>
      <c r="T55" s="416"/>
      <c r="V55" s="198" t="s">
        <v>301</v>
      </c>
      <c r="W55" s="142" t="s">
        <v>309</v>
      </c>
      <c r="X55" s="158" t="s">
        <v>273</v>
      </c>
      <c r="Y55" s="160">
        <v>1000</v>
      </c>
      <c r="Z55" s="160">
        <f t="shared" si="20"/>
        <v>1000</v>
      </c>
      <c r="AA55" s="160">
        <f t="shared" si="20"/>
        <v>1000</v>
      </c>
      <c r="AB55" s="160">
        <f t="shared" si="20"/>
        <v>1000</v>
      </c>
      <c r="AC55" s="173">
        <v>0</v>
      </c>
      <c r="AD55" s="174">
        <v>0</v>
      </c>
      <c r="AE55" s="199"/>
    </row>
    <row r="56" spans="2:31" s="153" customFormat="1" x14ac:dyDescent="0.35">
      <c r="B56" s="416"/>
      <c r="C56" s="416"/>
      <c r="D56" s="416"/>
      <c r="E56" s="416"/>
      <c r="J56" s="416"/>
      <c r="K56" s="416"/>
      <c r="L56" s="416"/>
      <c r="M56" s="422"/>
      <c r="N56" s="422"/>
      <c r="O56" s="422"/>
      <c r="P56" s="416"/>
      <c r="Q56" s="416"/>
      <c r="R56" s="416"/>
      <c r="S56" s="416"/>
      <c r="T56" s="416"/>
      <c r="V56" s="219" t="s">
        <v>294</v>
      </c>
      <c r="W56" s="156" t="s">
        <v>527</v>
      </c>
      <c r="X56" s="157" t="s">
        <v>273</v>
      </c>
      <c r="Y56" s="161">
        <f t="shared" ref="Y56:AD56" si="21">Y49+Y53+Y54+Y55</f>
        <v>150500</v>
      </c>
      <c r="Z56" s="161">
        <f t="shared" si="21"/>
        <v>150500</v>
      </c>
      <c r="AA56" s="161">
        <f t="shared" si="21"/>
        <v>150500</v>
      </c>
      <c r="AB56" s="161">
        <f t="shared" si="21"/>
        <v>150500</v>
      </c>
      <c r="AC56" s="161">
        <f t="shared" si="21"/>
        <v>0</v>
      </c>
      <c r="AD56" s="161">
        <f t="shared" si="21"/>
        <v>0</v>
      </c>
      <c r="AE56" s="199"/>
    </row>
    <row r="57" spans="2:31" s="153" customFormat="1" x14ac:dyDescent="0.35">
      <c r="B57" s="416"/>
      <c r="C57" s="416"/>
      <c r="D57" s="416"/>
      <c r="E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V57" s="201" t="s">
        <v>294</v>
      </c>
      <c r="W57" s="188" t="s">
        <v>612</v>
      </c>
      <c r="X57" s="189" t="s">
        <v>273</v>
      </c>
      <c r="Y57" s="190">
        <f>$M$28*Y$56</f>
        <v>488224.67555555538</v>
      </c>
      <c r="Z57" s="190">
        <f>$M$28*Z$56</f>
        <v>488224.67555555538</v>
      </c>
      <c r="AA57" s="190">
        <f>AA56*(M29-M28)</f>
        <v>122056.16888888889</v>
      </c>
      <c r="AB57" s="190">
        <f>AB56*(M30-M29)</f>
        <v>152570.21111111104</v>
      </c>
      <c r="AC57" s="190"/>
      <c r="AD57" s="190"/>
      <c r="AE57" s="202"/>
    </row>
    <row r="58" spans="2:31" s="153" customFormat="1" x14ac:dyDescent="0.35">
      <c r="B58" s="416"/>
      <c r="C58" s="416"/>
      <c r="D58" s="416"/>
      <c r="E58" s="416"/>
      <c r="J58" s="416"/>
      <c r="K58" s="416"/>
      <c r="L58" s="416"/>
      <c r="M58" s="416"/>
      <c r="N58" s="416"/>
      <c r="O58" s="416"/>
      <c r="P58" s="176"/>
      <c r="Q58" s="416"/>
      <c r="R58" s="416"/>
      <c r="S58" s="416"/>
      <c r="T58" s="416"/>
      <c r="V58" s="203" t="s">
        <v>294</v>
      </c>
      <c r="W58" s="204" t="s">
        <v>529</v>
      </c>
      <c r="X58" s="205" t="s">
        <v>273</v>
      </c>
      <c r="Y58" s="206">
        <f>$L$28*Y$56</f>
        <v>3720861.666666666</v>
      </c>
      <c r="Z58" s="206">
        <f>$L$28*Z$56</f>
        <v>3720861.666666666</v>
      </c>
      <c r="AA58" s="206">
        <f>AA56*(L29-L28)</f>
        <v>930215.41666666651</v>
      </c>
      <c r="AB58" s="206">
        <f>AB56*(L30-L29)</f>
        <v>1162769.2708333335</v>
      </c>
      <c r="AC58" s="206"/>
      <c r="AD58" s="206"/>
      <c r="AE58" s="207"/>
    </row>
    <row r="59" spans="2:31" x14ac:dyDescent="0.35">
      <c r="V59" s="194" t="s">
        <v>328</v>
      </c>
      <c r="W59" s="195" t="s">
        <v>329</v>
      </c>
      <c r="X59" s="196"/>
      <c r="Y59" s="195"/>
      <c r="Z59" s="195"/>
      <c r="AA59" s="195"/>
      <c r="AB59" s="195"/>
      <c r="AC59" s="195"/>
      <c r="AD59" s="195"/>
      <c r="AE59" s="197"/>
    </row>
    <row r="60" spans="2:31" x14ac:dyDescent="0.35">
      <c r="V60" s="198" t="s">
        <v>330</v>
      </c>
      <c r="W60" s="142" t="s">
        <v>332</v>
      </c>
      <c r="X60" s="158" t="s">
        <v>273</v>
      </c>
      <c r="Y60" s="160">
        <v>900000</v>
      </c>
      <c r="Z60" s="160">
        <v>900000</v>
      </c>
      <c r="AA60" s="141">
        <v>0</v>
      </c>
      <c r="AB60" s="173">
        <v>0</v>
      </c>
      <c r="AC60" s="173">
        <v>0</v>
      </c>
      <c r="AD60" s="174">
        <v>0</v>
      </c>
      <c r="AE60" s="199"/>
    </row>
    <row r="61" spans="2:31" x14ac:dyDescent="0.35">
      <c r="V61" s="198" t="s">
        <v>331</v>
      </c>
      <c r="W61" s="142" t="s">
        <v>333</v>
      </c>
      <c r="X61" s="158" t="s">
        <v>266</v>
      </c>
      <c r="Y61" s="160">
        <v>3</v>
      </c>
      <c r="Z61" s="160">
        <v>3</v>
      </c>
      <c r="AA61" s="141">
        <v>0</v>
      </c>
      <c r="AB61" s="173">
        <v>0</v>
      </c>
      <c r="AC61" s="173">
        <v>0</v>
      </c>
      <c r="AD61" s="174">
        <v>0</v>
      </c>
      <c r="AE61" s="199"/>
    </row>
    <row r="62" spans="2:31" x14ac:dyDescent="0.35">
      <c r="V62" s="201" t="s">
        <v>328</v>
      </c>
      <c r="W62" s="188" t="s">
        <v>606</v>
      </c>
      <c r="X62" s="189" t="s">
        <v>273</v>
      </c>
      <c r="Y62" s="190">
        <f>Y60*Y61</f>
        <v>2700000</v>
      </c>
      <c r="Z62" s="190">
        <f>Z60*Z61</f>
        <v>2700000</v>
      </c>
      <c r="AA62" s="190"/>
      <c r="AB62" s="190"/>
      <c r="AC62" s="190">
        <f>AC60*AC61</f>
        <v>0</v>
      </c>
      <c r="AD62" s="190">
        <f>AD60*AD61</f>
        <v>0</v>
      </c>
      <c r="AE62" s="202"/>
    </row>
    <row r="63" spans="2:31" x14ac:dyDescent="0.35">
      <c r="V63" s="203" t="s">
        <v>328</v>
      </c>
      <c r="W63" s="204" t="s">
        <v>470</v>
      </c>
      <c r="X63" s="205" t="s">
        <v>273</v>
      </c>
      <c r="Y63" s="206">
        <f>Y62*$Y$46</f>
        <v>24300000</v>
      </c>
      <c r="Z63" s="206">
        <f>Z62*$Y$46</f>
        <v>24300000</v>
      </c>
      <c r="AA63" s="206"/>
      <c r="AB63" s="206">
        <f>AA63-AA106</f>
        <v>0</v>
      </c>
      <c r="AC63" s="206">
        <f>AC62*$Y$46</f>
        <v>0</v>
      </c>
      <c r="AD63" s="206">
        <f>AD62*$Y$46</f>
        <v>0</v>
      </c>
      <c r="AE63" s="207"/>
    </row>
    <row r="64" spans="2:31" x14ac:dyDescent="0.35">
      <c r="V64" s="220" t="s">
        <v>478</v>
      </c>
      <c r="W64" s="221" t="s">
        <v>607</v>
      </c>
      <c r="X64" s="222" t="s">
        <v>273</v>
      </c>
      <c r="Y64" s="223">
        <v>50000</v>
      </c>
      <c r="Z64" s="223">
        <v>50000</v>
      </c>
      <c r="AA64" s="223">
        <v>0</v>
      </c>
      <c r="AB64" s="223">
        <v>0</v>
      </c>
      <c r="AC64" s="223">
        <v>0</v>
      </c>
      <c r="AD64" s="223">
        <v>0</v>
      </c>
      <c r="AE64" s="224"/>
    </row>
    <row r="65" spans="2:31" ht="22" customHeight="1" x14ac:dyDescent="0.35">
      <c r="V65" s="203" t="s">
        <v>478</v>
      </c>
      <c r="W65" s="204" t="s">
        <v>511</v>
      </c>
      <c r="X65" s="205" t="s">
        <v>273</v>
      </c>
      <c r="Y65" s="206">
        <f t="shared" ref="Y65:AD65" si="22">Y64*$Y$17</f>
        <v>450000</v>
      </c>
      <c r="Z65" s="206">
        <f t="shared" si="22"/>
        <v>450000</v>
      </c>
      <c r="AA65" s="206">
        <f t="shared" si="22"/>
        <v>0</v>
      </c>
      <c r="AB65" s="206">
        <f t="shared" si="22"/>
        <v>0</v>
      </c>
      <c r="AC65" s="206">
        <f t="shared" si="22"/>
        <v>0</v>
      </c>
      <c r="AD65" s="206">
        <f t="shared" si="22"/>
        <v>0</v>
      </c>
      <c r="AE65" s="207"/>
    </row>
    <row r="66" spans="2:31" ht="22" customHeight="1" x14ac:dyDescent="0.35">
      <c r="V66" s="225" t="s">
        <v>497</v>
      </c>
      <c r="W66" s="226" t="s">
        <v>509</v>
      </c>
      <c r="X66" s="227" t="s">
        <v>273</v>
      </c>
      <c r="Y66" s="228">
        <v>500000</v>
      </c>
      <c r="Z66" s="228">
        <v>500000</v>
      </c>
      <c r="AA66" s="228">
        <v>0</v>
      </c>
      <c r="AB66" s="228">
        <v>0</v>
      </c>
      <c r="AC66" s="226">
        <v>0</v>
      </c>
      <c r="AD66" s="226">
        <v>0</v>
      </c>
      <c r="AE66" s="229"/>
    </row>
    <row r="67" spans="2:31" ht="22" customHeight="1" x14ac:dyDescent="0.35">
      <c r="V67" s="225" t="s">
        <v>508</v>
      </c>
      <c r="W67" s="226" t="s">
        <v>518</v>
      </c>
      <c r="X67" s="227" t="s">
        <v>273</v>
      </c>
      <c r="Y67" s="228">
        <v>500000</v>
      </c>
      <c r="Z67" s="228">
        <v>500000</v>
      </c>
      <c r="AA67" s="228">
        <v>0</v>
      </c>
      <c r="AB67" s="228">
        <v>0</v>
      </c>
      <c r="AC67" s="226">
        <v>0</v>
      </c>
      <c r="AD67" s="226">
        <v>0</v>
      </c>
      <c r="AE67" s="229"/>
    </row>
    <row r="68" spans="2:31" ht="22" customHeight="1" thickBot="1" x14ac:dyDescent="0.4">
      <c r="V68" s="194" t="s">
        <v>517</v>
      </c>
      <c r="W68" s="195" t="s">
        <v>498</v>
      </c>
      <c r="X68" s="196" t="s">
        <v>273</v>
      </c>
      <c r="Y68" s="270">
        <v>5000000</v>
      </c>
      <c r="Z68" s="270">
        <v>5000000</v>
      </c>
      <c r="AA68" s="270">
        <v>0</v>
      </c>
      <c r="AB68" s="270">
        <v>0</v>
      </c>
      <c r="AC68" s="195">
        <v>0</v>
      </c>
      <c r="AD68" s="195">
        <v>0</v>
      </c>
      <c r="AE68" s="197"/>
    </row>
    <row r="69" spans="2:31" ht="15.5" x14ac:dyDescent="0.35">
      <c r="V69" s="265">
        <v>1</v>
      </c>
      <c r="W69" s="266" t="s">
        <v>608</v>
      </c>
      <c r="X69" s="267" t="s">
        <v>273</v>
      </c>
      <c r="Y69" s="268">
        <f>SUM(Y45+Y56+Y62+Y64+Y68+Y57)</f>
        <v>11888724.675555555</v>
      </c>
      <c r="Z69" s="268">
        <f>SUM(Z45+Z56+Z62+Z64+Z68+Z57)</f>
        <v>11888724.675555555</v>
      </c>
      <c r="AA69" s="268">
        <f>SUM(AA45+AA56+AA62+AA64+AA68)</f>
        <v>150500</v>
      </c>
      <c r="AB69" s="268">
        <f>SUM(AB45+AB56+AB62+AB64+AB68)</f>
        <v>150500</v>
      </c>
      <c r="AC69" s="268">
        <f>SUM(AC45+AC56+AC62+AC64+AC68)</f>
        <v>0</v>
      </c>
      <c r="AD69" s="268">
        <f>SUM(AD45+AD56+AD62+AD64+AD68)</f>
        <v>0</v>
      </c>
      <c r="AE69" s="269"/>
    </row>
    <row r="70" spans="2:31" ht="16" thickBot="1" x14ac:dyDescent="0.4">
      <c r="V70" s="241">
        <v>1</v>
      </c>
      <c r="W70" s="242" t="s">
        <v>429</v>
      </c>
      <c r="X70" s="243" t="s">
        <v>273</v>
      </c>
      <c r="Y70" s="244">
        <f>SUM(Y47+Y63+Y65+Y68+Y66+Y67+Y58)</f>
        <v>65970861.666666664</v>
      </c>
      <c r="Z70" s="244">
        <f>SUM(Z47+Z63+Z65+Z68+Z66+Z67+Z58)</f>
        <v>65970861.666666664</v>
      </c>
      <c r="AA70" s="244">
        <f>SUM(AA47+AA63+AA65+AA68+AA66+AA67+AA58)</f>
        <v>32430215.416666668</v>
      </c>
      <c r="AB70" s="244">
        <f>SUM(AB47+AB63+AB65+AB68+AB66+AB67+AB58)</f>
        <v>32662769.270833332</v>
      </c>
      <c r="AC70" s="244">
        <f>SUM(AC47+AC56+AC63+AC65+AC68+AC66+AC67)</f>
        <v>0</v>
      </c>
      <c r="AD70" s="244">
        <f>SUM(AD47+AD56+AD63+AD65+AD68+AD66+AD67)</f>
        <v>0</v>
      </c>
      <c r="AE70" s="245"/>
    </row>
    <row r="71" spans="2:31" ht="15.5" x14ac:dyDescent="0.35">
      <c r="V71" s="271">
        <v>2</v>
      </c>
      <c r="W71" s="235" t="s">
        <v>310</v>
      </c>
      <c r="X71" s="234"/>
      <c r="Y71" s="235"/>
      <c r="Z71" s="235"/>
      <c r="AA71" s="235"/>
      <c r="AB71" s="235"/>
      <c r="AC71" s="235"/>
      <c r="AD71" s="235"/>
      <c r="AE71" s="272"/>
    </row>
    <row r="72" spans="2:31" x14ac:dyDescent="0.35">
      <c r="V72" s="246" t="s">
        <v>312</v>
      </c>
      <c r="W72" s="247" t="s">
        <v>313</v>
      </c>
      <c r="X72" s="248"/>
      <c r="Y72" s="249"/>
      <c r="Z72" s="249"/>
      <c r="AA72" s="248"/>
      <c r="AB72" s="248"/>
      <c r="AC72" s="248"/>
      <c r="AD72" s="248"/>
      <c r="AE72" s="250"/>
    </row>
    <row r="73" spans="2:31" x14ac:dyDescent="0.35">
      <c r="V73" s="201" t="s">
        <v>426</v>
      </c>
      <c r="W73" s="188" t="s">
        <v>613</v>
      </c>
      <c r="X73" s="189" t="s">
        <v>266</v>
      </c>
      <c r="Y73" s="190">
        <f>O28</f>
        <v>8.650714074074072</v>
      </c>
      <c r="Z73" s="190">
        <f>Y73</f>
        <v>8.650714074074072</v>
      </c>
      <c r="AA73" s="190">
        <f>Z73*$Q$31+Z73</f>
        <v>10.81339259259259</v>
      </c>
      <c r="AB73" s="190">
        <f>AA73*$Q$31+AA73</f>
        <v>13.516740740740739</v>
      </c>
      <c r="AC73" s="190"/>
      <c r="AD73" s="190"/>
      <c r="AE73" s="202"/>
    </row>
    <row r="74" spans="2:31" x14ac:dyDescent="0.35">
      <c r="V74" s="254" t="s">
        <v>427</v>
      </c>
      <c r="W74" s="185" t="s">
        <v>539</v>
      </c>
      <c r="X74" s="186" t="s">
        <v>266</v>
      </c>
      <c r="Y74" s="187">
        <f>N28</f>
        <v>64.880355555555539</v>
      </c>
      <c r="Z74" s="187">
        <f>Y74</f>
        <v>64.880355555555539</v>
      </c>
      <c r="AA74" s="187">
        <f>Z74*$Q$31+Z74</f>
        <v>81.10044444444442</v>
      </c>
      <c r="AB74" s="187">
        <f>AA74*$Q$31+AA74</f>
        <v>101.37555555555552</v>
      </c>
      <c r="AC74" s="187"/>
      <c r="AD74" s="187"/>
      <c r="AE74" s="255"/>
    </row>
    <row r="75" spans="2:31" x14ac:dyDescent="0.35">
      <c r="V75" s="198" t="s">
        <v>536</v>
      </c>
      <c r="W75" s="423" t="s">
        <v>532</v>
      </c>
      <c r="X75" s="158" t="s">
        <v>273</v>
      </c>
      <c r="Y75" s="151">
        <f>I12</f>
        <v>33340</v>
      </c>
      <c r="Z75" s="151">
        <f>I12</f>
        <v>33340</v>
      </c>
      <c r="AA75" s="168">
        <f>(Z75*$Q$10)+Z75</f>
        <v>35007</v>
      </c>
      <c r="AB75" s="168">
        <f>(AA75*$Q$10)+AA75</f>
        <v>36757.35</v>
      </c>
      <c r="AC75" s="168">
        <f>(AB75*$Q$10)+AB75</f>
        <v>38595.217499999999</v>
      </c>
      <c r="AD75" s="168">
        <f>(AC75*$Q$10)+AC75</f>
        <v>40524.978374999999</v>
      </c>
      <c r="AE75" s="199"/>
    </row>
    <row r="76" spans="2:31" x14ac:dyDescent="0.35">
      <c r="V76" s="198"/>
      <c r="W76" s="463" t="s">
        <v>406</v>
      </c>
      <c r="X76" s="189" t="s">
        <v>273</v>
      </c>
      <c r="Y76" s="190">
        <f>Y75*Y73*$Q$22</f>
        <v>3460977.6867555548</v>
      </c>
      <c r="Z76" s="190">
        <f t="shared" ref="Z76:AE76" si="23">Z75*Z73*$Q$22</f>
        <v>3460977.6867555548</v>
      </c>
      <c r="AA76" s="190">
        <f t="shared" si="23"/>
        <v>4542533.213866666</v>
      </c>
      <c r="AB76" s="190">
        <f t="shared" si="23"/>
        <v>5962074.8431999991</v>
      </c>
      <c r="AC76" s="190">
        <f t="shared" si="23"/>
        <v>0</v>
      </c>
      <c r="AD76" s="190">
        <f t="shared" si="23"/>
        <v>0</v>
      </c>
      <c r="AE76" s="202">
        <f t="shared" si="23"/>
        <v>0</v>
      </c>
    </row>
    <row r="77" spans="2:31" s="153" customFormat="1" x14ac:dyDescent="0.35">
      <c r="O77" s="140"/>
      <c r="P77" s="416"/>
      <c r="Q77" s="416"/>
      <c r="R77" s="416"/>
      <c r="S77" s="416"/>
      <c r="T77" s="416"/>
      <c r="V77" s="254" t="s">
        <v>312</v>
      </c>
      <c r="W77" s="185" t="s">
        <v>407</v>
      </c>
      <c r="X77" s="186" t="s">
        <v>273</v>
      </c>
      <c r="Y77" s="187">
        <f>Y$75*Y74*$Q$22</f>
        <v>25957332.650666658</v>
      </c>
      <c r="Z77" s="187">
        <f>Z$75*Z74*$Q$22</f>
        <v>25957332.650666658</v>
      </c>
      <c r="AA77" s="187">
        <f>AA$75*AA74*$Q$22</f>
        <v>34068999.103999987</v>
      </c>
      <c r="AB77" s="187">
        <f>AB$75*AB74*$Q$22</f>
        <v>44715561.323999986</v>
      </c>
      <c r="AC77" s="187">
        <f>AC$75*$N$28*$Q$22</f>
        <v>30048857.209727988</v>
      </c>
      <c r="AD77" s="187">
        <f>AD$75*$N$28*$Q$22</f>
        <v>31551300.070214391</v>
      </c>
      <c r="AE77" s="255"/>
    </row>
    <row r="78" spans="2:31" s="153" customFormat="1" x14ac:dyDescent="0.35">
      <c r="O78" s="139"/>
      <c r="P78" s="416"/>
      <c r="Q78" s="416"/>
      <c r="R78" s="416"/>
      <c r="S78" s="416"/>
      <c r="T78" s="416"/>
      <c r="V78" s="246" t="s">
        <v>326</v>
      </c>
      <c r="W78" s="247" t="s">
        <v>327</v>
      </c>
      <c r="X78" s="248"/>
      <c r="Y78" s="249"/>
      <c r="Z78" s="249"/>
      <c r="AA78" s="248"/>
      <c r="AB78" s="248"/>
      <c r="AC78" s="248"/>
      <c r="AD78" s="248"/>
      <c r="AE78" s="250"/>
    </row>
    <row r="79" spans="2:31" s="153" customFormat="1" x14ac:dyDescent="0.35">
      <c r="O79" s="139"/>
      <c r="P79" s="416"/>
      <c r="Q79" s="416"/>
      <c r="R79" s="416"/>
      <c r="S79" s="416"/>
      <c r="T79" s="416"/>
      <c r="V79" s="256" t="s">
        <v>335</v>
      </c>
      <c r="W79" s="160" t="s">
        <v>334</v>
      </c>
      <c r="X79" s="151" t="s">
        <v>273</v>
      </c>
      <c r="Y79" s="160">
        <f>$C$39*$C$37</f>
        <v>4980</v>
      </c>
      <c r="Z79" s="160">
        <f>$C$39*$C$37</f>
        <v>4980</v>
      </c>
      <c r="AA79" s="168">
        <f>(Z79*$Q$29)+Z79</f>
        <v>5229</v>
      </c>
      <c r="AB79" s="168">
        <f>(AA79*$Q$29+AA79)</f>
        <v>5490.45</v>
      </c>
      <c r="AC79" s="152"/>
      <c r="AD79" s="152"/>
      <c r="AE79" s="199"/>
    </row>
    <row r="80" spans="2:31" s="153" customFormat="1" x14ac:dyDescent="0.35">
      <c r="B80" s="416"/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6"/>
      <c r="P80" s="416"/>
      <c r="Q80" s="416"/>
      <c r="R80" s="416"/>
      <c r="S80" s="416"/>
      <c r="T80" s="416"/>
      <c r="V80" s="256" t="s">
        <v>336</v>
      </c>
      <c r="W80" s="160" t="s">
        <v>337</v>
      </c>
      <c r="X80" s="151" t="s">
        <v>273</v>
      </c>
      <c r="Y80" s="160">
        <v>10000</v>
      </c>
      <c r="Z80" s="160">
        <v>10000</v>
      </c>
      <c r="AA80" s="160">
        <f>Z80*$Q$29+Z80</f>
        <v>10500</v>
      </c>
      <c r="AB80" s="160">
        <f>AA80*$Q$29+AA80</f>
        <v>11025</v>
      </c>
      <c r="AC80" s="152"/>
      <c r="AD80" s="152"/>
      <c r="AE80" s="199"/>
    </row>
    <row r="81" spans="2:34" s="153" customFormat="1" x14ac:dyDescent="0.35">
      <c r="B81" s="416"/>
      <c r="C81" s="416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V81" s="256" t="s">
        <v>338</v>
      </c>
      <c r="W81" s="160" t="s">
        <v>339</v>
      </c>
      <c r="X81" s="151" t="s">
        <v>273</v>
      </c>
      <c r="Y81" s="160">
        <v>80</v>
      </c>
      <c r="Z81" s="160">
        <v>80</v>
      </c>
      <c r="AA81" s="160">
        <f>Z81*$Q$29+Z81</f>
        <v>84</v>
      </c>
      <c r="AB81" s="160">
        <f>AA81*$Q$29+AA81</f>
        <v>88.2</v>
      </c>
      <c r="AC81" s="152"/>
      <c r="AD81" s="152"/>
      <c r="AE81" s="199"/>
    </row>
    <row r="82" spans="2:34" s="153" customFormat="1" x14ac:dyDescent="0.35">
      <c r="B82" s="416"/>
      <c r="C82" s="416"/>
      <c r="D82" s="416"/>
      <c r="E82" s="416"/>
      <c r="F82" s="416"/>
      <c r="G82" s="416"/>
      <c r="H82" s="416"/>
      <c r="I82" s="416"/>
      <c r="J82" s="416"/>
      <c r="K82" s="416"/>
      <c r="L82" s="416"/>
      <c r="M82" s="416"/>
      <c r="N82" s="416"/>
      <c r="O82" s="416"/>
      <c r="P82" s="416"/>
      <c r="Q82" s="416"/>
      <c r="R82" s="416"/>
      <c r="S82" s="416"/>
      <c r="T82" s="416"/>
      <c r="V82" s="256" t="s">
        <v>340</v>
      </c>
      <c r="W82" s="160" t="s">
        <v>341</v>
      </c>
      <c r="X82" s="151" t="s">
        <v>273</v>
      </c>
      <c r="Y82" s="160">
        <f>Y81*6*30</f>
        <v>14400</v>
      </c>
      <c r="Z82" s="160">
        <f>Z81*6*30</f>
        <v>14400</v>
      </c>
      <c r="AA82" s="160">
        <f>AA81*6*30</f>
        <v>15120</v>
      </c>
      <c r="AB82" s="160">
        <f>AB81*6*30</f>
        <v>15876.000000000002</v>
      </c>
      <c r="AC82" s="152"/>
      <c r="AD82" s="152"/>
      <c r="AE82" s="199"/>
    </row>
    <row r="83" spans="2:34" x14ac:dyDescent="0.35">
      <c r="V83" s="201" t="s">
        <v>326</v>
      </c>
      <c r="W83" s="188" t="s">
        <v>614</v>
      </c>
      <c r="X83" s="189" t="s">
        <v>273</v>
      </c>
      <c r="Y83" s="190">
        <f>SUM(Y79+Y80+Y82)*$Q$22</f>
        <v>352560</v>
      </c>
      <c r="Z83" s="190">
        <f>SUM(Z79+Z80+Z82)*$Q$22</f>
        <v>352560</v>
      </c>
      <c r="AA83" s="190">
        <f>SUM(AA79+AA80+AA82)*$Q$22</f>
        <v>370188</v>
      </c>
      <c r="AB83" s="190">
        <f>SUM(AB79+AB80+AB82)*$Q$22</f>
        <v>388697.4</v>
      </c>
      <c r="AC83" s="190"/>
      <c r="AD83" s="190"/>
      <c r="AE83" s="202"/>
    </row>
    <row r="84" spans="2:34" x14ac:dyDescent="0.35">
      <c r="B84" s="156"/>
      <c r="C84" s="177"/>
      <c r="V84" s="203" t="s">
        <v>326</v>
      </c>
      <c r="W84" s="204" t="s">
        <v>393</v>
      </c>
      <c r="X84" s="205" t="s">
        <v>273</v>
      </c>
      <c r="Y84" s="206">
        <f>Y83*$Y$46</f>
        <v>3173040</v>
      </c>
      <c r="Z84" s="206">
        <f>Z83*$Y$46</f>
        <v>3173040</v>
      </c>
      <c r="AA84" s="206">
        <f>AA83*$Y$46</f>
        <v>3331692</v>
      </c>
      <c r="AB84" s="206">
        <f>AB83*$Y$46</f>
        <v>3498276.6</v>
      </c>
      <c r="AC84" s="206"/>
      <c r="AD84" s="206"/>
      <c r="AE84" s="207"/>
    </row>
    <row r="85" spans="2:34" s="143" customFormat="1" ht="18.5" customHeight="1" x14ac:dyDescent="0.35">
      <c r="B85" s="162"/>
      <c r="C85" s="273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7"/>
      <c r="Q85" s="164"/>
      <c r="R85" s="164"/>
      <c r="S85" s="164"/>
      <c r="T85" s="164"/>
      <c r="V85" s="257" t="s">
        <v>342</v>
      </c>
      <c r="W85" s="258" t="s">
        <v>587</v>
      </c>
      <c r="X85" s="259" t="s">
        <v>273</v>
      </c>
      <c r="Y85" s="260">
        <f>J35</f>
        <v>5184000</v>
      </c>
      <c r="Z85" s="260">
        <f>Y85</f>
        <v>5184000</v>
      </c>
      <c r="AA85" s="261">
        <f>(Z85*$Q$33)+Z85</f>
        <v>5702400</v>
      </c>
      <c r="AB85" s="261">
        <f>(AA85*$Q$33)+AA85</f>
        <v>6272640</v>
      </c>
      <c r="AC85" s="261">
        <f>(AB85*$Q$26)+AB85</f>
        <v>6586272</v>
      </c>
      <c r="AD85" s="261">
        <f>(AC85*$Q$26)+AC85</f>
        <v>6915585.5999999996</v>
      </c>
      <c r="AE85" s="262"/>
    </row>
    <row r="86" spans="2:34" s="143" customFormat="1" ht="18.5" customHeight="1" x14ac:dyDescent="0.35">
      <c r="B86" s="162"/>
      <c r="C86" s="273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7"/>
      <c r="Q86" s="164"/>
      <c r="R86" s="164"/>
      <c r="S86" s="164"/>
      <c r="T86" s="164"/>
      <c r="V86" s="254"/>
      <c r="W86" s="467" t="s">
        <v>615</v>
      </c>
      <c r="X86" s="468" t="s">
        <v>273</v>
      </c>
      <c r="Y86" s="190">
        <f>J34</f>
        <v>576000</v>
      </c>
      <c r="Z86" s="190">
        <f>Y86</f>
        <v>576000</v>
      </c>
      <c r="AA86" s="190">
        <f>(Z86*$Q$33)+Z86</f>
        <v>633600</v>
      </c>
      <c r="AB86" s="190">
        <f>(AA86*$Q$33)+AA86</f>
        <v>696960</v>
      </c>
      <c r="AC86" s="465"/>
      <c r="AD86" s="465"/>
      <c r="AE86" s="466"/>
    </row>
    <row r="87" spans="2:34" s="143" customFormat="1" ht="18.5" customHeight="1" x14ac:dyDescent="0.35">
      <c r="B87" s="162"/>
      <c r="C87" s="273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7"/>
      <c r="Q87" s="164"/>
      <c r="R87" s="164"/>
      <c r="S87" s="164"/>
      <c r="T87" s="164"/>
      <c r="V87" s="254"/>
      <c r="W87" s="463" t="s">
        <v>566</v>
      </c>
      <c r="X87" s="468" t="s">
        <v>273</v>
      </c>
      <c r="Y87" s="190">
        <f>(Y97*$Q$22)*$Q$32</f>
        <v>1693440</v>
      </c>
      <c r="Z87" s="190">
        <f>(Z97*$Q$22)*$Q$32</f>
        <v>1693440</v>
      </c>
      <c r="AA87" s="190">
        <f>(AA97*$Q$22)*$Q$32</f>
        <v>2116800</v>
      </c>
      <c r="AB87" s="190">
        <f>(AB97*$Q$22)*$Q$32</f>
        <v>2646000</v>
      </c>
      <c r="AC87" s="465"/>
      <c r="AD87" s="465"/>
      <c r="AE87" s="466"/>
    </row>
    <row r="88" spans="2:34" ht="13.5" thickBot="1" x14ac:dyDescent="0.4">
      <c r="B88" s="142"/>
      <c r="C88" s="166"/>
      <c r="P88" s="165"/>
      <c r="V88" s="254" t="s">
        <v>564</v>
      </c>
      <c r="W88" s="185" t="s">
        <v>567</v>
      </c>
      <c r="X88" s="186" t="s">
        <v>273</v>
      </c>
      <c r="Y88" s="187">
        <f>(Y96*$Q$22)*$Q$32</f>
        <v>12700800</v>
      </c>
      <c r="Z88" s="187">
        <f t="shared" ref="Z88:AB88" si="24">(Z96*$Q$22)*$Q$32</f>
        <v>12700800</v>
      </c>
      <c r="AA88" s="187">
        <f t="shared" si="24"/>
        <v>15876000</v>
      </c>
      <c r="AB88" s="187">
        <f t="shared" si="24"/>
        <v>19845000</v>
      </c>
      <c r="AC88" s="187"/>
      <c r="AD88" s="187"/>
      <c r="AE88" s="255"/>
    </row>
    <row r="89" spans="2:34" ht="15.5" x14ac:dyDescent="0.35">
      <c r="B89" s="142"/>
      <c r="C89" s="166"/>
      <c r="P89" s="165"/>
      <c r="V89" s="464"/>
      <c r="W89" s="266" t="s">
        <v>430</v>
      </c>
      <c r="X89" s="267" t="s">
        <v>273</v>
      </c>
      <c r="Y89" s="469">
        <f>SUM(Y35+Y45+Y76+Y83+Y86+Y87)</f>
        <v>23082977.686755553</v>
      </c>
      <c r="Z89" s="469">
        <f t="shared" ref="Z89:AB89" si="25">SUM(Z35+Z45+Z76+Z83+Z86+Z87)</f>
        <v>23082977.686755553</v>
      </c>
      <c r="AA89" s="469">
        <f t="shared" si="25"/>
        <v>22243121.213866666</v>
      </c>
      <c r="AB89" s="469">
        <f t="shared" si="25"/>
        <v>25440132.243199997</v>
      </c>
      <c r="AC89" s="187"/>
      <c r="AD89" s="187"/>
      <c r="AE89" s="185"/>
    </row>
    <row r="90" spans="2:34" ht="16" thickBot="1" x14ac:dyDescent="0.4">
      <c r="B90" s="142"/>
      <c r="C90" s="166"/>
      <c r="P90" s="165"/>
      <c r="V90" s="241">
        <v>2</v>
      </c>
      <c r="W90" s="242" t="s">
        <v>431</v>
      </c>
      <c r="X90" s="243" t="s">
        <v>273</v>
      </c>
      <c r="Y90" s="244">
        <f>SUM(Y77+Y84+Y18+Y35+Y85+Y88)</f>
        <v>70235172.650666654</v>
      </c>
      <c r="Z90" s="244">
        <f>SUM(Z77+Z84+Z18+Z35+Z85+Z88)</f>
        <v>70235172.650666654</v>
      </c>
      <c r="AA90" s="244">
        <f>SUM(AA77+AA84+AA18+AA35+AA85+AA88)</f>
        <v>86316591.103999987</v>
      </c>
      <c r="AB90" s="244">
        <f>SUM(AB77+AB84+AB18+AB35+AB85+AB88)</f>
        <v>106822096.67399999</v>
      </c>
      <c r="AC90" s="244" t="e">
        <f>SUM(AC77+AC84+AC18+AC35+AC85)</f>
        <v>#REF!</v>
      </c>
      <c r="AD90" s="244" t="e">
        <f>SUM(AD77+AD84+AD18+AD35+AD85)</f>
        <v>#REF!</v>
      </c>
      <c r="AE90" s="245"/>
    </row>
    <row r="91" spans="2:34" ht="15.5" x14ac:dyDescent="0.35">
      <c r="P91" s="165"/>
      <c r="V91" s="251" t="s">
        <v>344</v>
      </c>
      <c r="W91" s="252" t="s">
        <v>547</v>
      </c>
      <c r="X91" s="253"/>
      <c r="Y91" s="252"/>
      <c r="Z91" s="252"/>
      <c r="AA91" s="252"/>
      <c r="AB91" s="252"/>
      <c r="AC91" s="252"/>
      <c r="AD91" s="252"/>
      <c r="AE91" s="274"/>
    </row>
    <row r="92" spans="2:34" s="153" customFormat="1" x14ac:dyDescent="0.35">
      <c r="B92" s="416"/>
      <c r="C92" s="416"/>
      <c r="D92" s="416"/>
      <c r="E92" s="416"/>
      <c r="F92" s="416"/>
      <c r="G92" s="416"/>
      <c r="H92" s="416"/>
      <c r="I92" s="416"/>
      <c r="J92" s="416"/>
      <c r="K92" s="416"/>
      <c r="L92" s="416"/>
      <c r="M92" s="416"/>
      <c r="N92" s="140"/>
      <c r="O92" s="416"/>
      <c r="P92" s="146"/>
      <c r="Q92" s="416"/>
      <c r="R92" s="416"/>
      <c r="S92" s="416"/>
      <c r="T92" s="416"/>
      <c r="V92" s="246" t="s">
        <v>200</v>
      </c>
      <c r="W92" s="247" t="s">
        <v>374</v>
      </c>
      <c r="X92" s="248"/>
      <c r="Y92" s="280"/>
      <c r="Z92" s="280"/>
      <c r="AA92" s="281"/>
      <c r="AB92" s="281"/>
      <c r="AC92" s="281"/>
      <c r="AD92" s="281"/>
      <c r="AE92" s="250"/>
    </row>
    <row r="93" spans="2:34" s="153" customFormat="1" x14ac:dyDescent="0.35">
      <c r="B93" s="416"/>
      <c r="C93" s="416"/>
      <c r="D93" s="416"/>
      <c r="E93" s="416"/>
      <c r="F93" s="416"/>
      <c r="G93" s="416"/>
      <c r="H93" s="416"/>
      <c r="I93" s="416"/>
      <c r="J93" s="416"/>
      <c r="K93" s="416"/>
      <c r="L93" s="416"/>
      <c r="M93" s="416"/>
      <c r="N93" s="140"/>
      <c r="O93" s="416"/>
      <c r="P93" s="146"/>
      <c r="Q93" s="416"/>
      <c r="R93" s="416"/>
      <c r="S93" s="416"/>
      <c r="T93" s="416"/>
      <c r="V93" s="198" t="s">
        <v>262</v>
      </c>
      <c r="W93" s="142" t="s">
        <v>165</v>
      </c>
      <c r="X93" s="424" t="s">
        <v>266</v>
      </c>
      <c r="Y93" s="151">
        <v>420</v>
      </c>
      <c r="Z93" s="151">
        <v>420</v>
      </c>
      <c r="AA93" s="168">
        <f>(Z93*$Q$27)+Z93</f>
        <v>436.8</v>
      </c>
      <c r="AB93" s="168">
        <f>(AA93*$Q$27)+AA93</f>
        <v>454.27199999999999</v>
      </c>
      <c r="AC93" s="168">
        <f>(AB93*$Q$27)+AB93</f>
        <v>472.44288</v>
      </c>
      <c r="AD93" s="168">
        <f>(AC93*$Q$27)+AC93</f>
        <v>491.3405952</v>
      </c>
      <c r="AE93" s="199"/>
    </row>
    <row r="94" spans="2:34" x14ac:dyDescent="0.35">
      <c r="P94" s="165"/>
      <c r="V94" s="198" t="s">
        <v>358</v>
      </c>
      <c r="W94" s="142" t="s">
        <v>93</v>
      </c>
      <c r="X94" s="424" t="s">
        <v>343</v>
      </c>
      <c r="Y94" s="166">
        <v>0.1</v>
      </c>
      <c r="Z94" s="166">
        <v>0.1</v>
      </c>
      <c r="AA94" s="166">
        <v>0.1</v>
      </c>
      <c r="AB94" s="166">
        <v>0.1</v>
      </c>
      <c r="AC94" s="166">
        <v>0.15</v>
      </c>
      <c r="AD94" s="166">
        <v>0.15</v>
      </c>
      <c r="AE94" s="199"/>
    </row>
    <row r="95" spans="2:34" x14ac:dyDescent="0.35">
      <c r="V95" s="198" t="s">
        <v>263</v>
      </c>
      <c r="W95" s="142" t="s">
        <v>94</v>
      </c>
      <c r="X95" s="424" t="s">
        <v>266</v>
      </c>
      <c r="Y95" s="152">
        <v>3</v>
      </c>
      <c r="Z95" s="152">
        <v>3</v>
      </c>
      <c r="AA95" s="152">
        <v>3</v>
      </c>
      <c r="AB95" s="152">
        <v>3</v>
      </c>
      <c r="AC95" s="152">
        <v>3</v>
      </c>
      <c r="AD95" s="152">
        <v>3</v>
      </c>
      <c r="AE95" s="199"/>
      <c r="AH95" s="310"/>
    </row>
    <row r="96" spans="2:34" x14ac:dyDescent="0.35">
      <c r="V96" s="198" t="s">
        <v>264</v>
      </c>
      <c r="W96" s="142" t="s">
        <v>437</v>
      </c>
      <c r="X96" s="424" t="s">
        <v>266</v>
      </c>
      <c r="Y96" s="168">
        <f>G38</f>
        <v>211680</v>
      </c>
      <c r="Z96" s="168">
        <f>G38</f>
        <v>211680</v>
      </c>
      <c r="AA96" s="168">
        <f>Z96*$Q$30+Z96</f>
        <v>264600</v>
      </c>
      <c r="AB96" s="168">
        <f>AA96*$Q$30+AA96</f>
        <v>330750</v>
      </c>
      <c r="AC96" s="168">
        <f>$J$25/$Q$21*$H$4*$D$40</f>
        <v>0</v>
      </c>
      <c r="AD96" s="168">
        <f>$J$25/$Q$21*$H$4*$D$40</f>
        <v>0</v>
      </c>
      <c r="AE96" s="199"/>
      <c r="AH96" s="310"/>
    </row>
    <row r="97" spans="2:36" x14ac:dyDescent="0.35">
      <c r="V97" s="198"/>
      <c r="W97" s="467" t="s">
        <v>438</v>
      </c>
      <c r="X97" s="468" t="s">
        <v>273</v>
      </c>
      <c r="Y97" s="190">
        <f>K25/$Q$21*$H$4*$D$8</f>
        <v>28224</v>
      </c>
      <c r="Z97" s="190">
        <f>Y97</f>
        <v>28224</v>
      </c>
      <c r="AA97" s="190">
        <f>(Z97*$Q$30)+Z97</f>
        <v>35280</v>
      </c>
      <c r="AB97" s="190">
        <f>(AA97*$Q$30)+AA97</f>
        <v>44100</v>
      </c>
      <c r="AC97" s="168"/>
      <c r="AD97" s="168"/>
      <c r="AE97" s="199"/>
      <c r="AH97" s="310"/>
    </row>
    <row r="98" spans="2:36" x14ac:dyDescent="0.35">
      <c r="V98" s="203" t="s">
        <v>267</v>
      </c>
      <c r="W98" s="204" t="s">
        <v>563</v>
      </c>
      <c r="X98" s="205" t="s">
        <v>273</v>
      </c>
      <c r="Y98" s="206">
        <f t="shared" ref="Y98:AD98" si="26">Y$96*Y$93*Y$94*$Q$22</f>
        <v>106686720</v>
      </c>
      <c r="Z98" s="206">
        <f t="shared" si="26"/>
        <v>106686720</v>
      </c>
      <c r="AA98" s="206">
        <f t="shared" si="26"/>
        <v>138692736</v>
      </c>
      <c r="AB98" s="206">
        <f t="shared" si="26"/>
        <v>180300556.80000001</v>
      </c>
      <c r="AC98" s="206">
        <f t="shared" si="26"/>
        <v>0</v>
      </c>
      <c r="AD98" s="206">
        <f t="shared" si="26"/>
        <v>0</v>
      </c>
      <c r="AE98" s="207"/>
    </row>
    <row r="99" spans="2:36" x14ac:dyDescent="0.35">
      <c r="V99" s="246" t="s">
        <v>201</v>
      </c>
      <c r="W99" s="247" t="s">
        <v>351</v>
      </c>
      <c r="X99" s="248"/>
      <c r="Y99" s="280"/>
      <c r="Z99" s="280"/>
      <c r="AA99" s="281"/>
      <c r="AB99" s="281"/>
      <c r="AC99" s="281"/>
      <c r="AD99" s="281"/>
      <c r="AE99" s="250"/>
    </row>
    <row r="100" spans="2:36" x14ac:dyDescent="0.35">
      <c r="V100" s="219" t="s">
        <v>459</v>
      </c>
      <c r="W100" s="156" t="s">
        <v>456</v>
      </c>
      <c r="X100" s="424" t="s">
        <v>273</v>
      </c>
      <c r="Y100" s="152">
        <v>70</v>
      </c>
      <c r="Z100" s="152">
        <v>70</v>
      </c>
      <c r="AA100" s="170">
        <f>(Z100*$Q$28)+Z100</f>
        <v>72.8</v>
      </c>
      <c r="AB100" s="170">
        <f>(AA100*(1+$Q$28))</f>
        <v>75.712000000000003</v>
      </c>
      <c r="AC100" s="170">
        <f>(AB100*(1+$Q$28))</f>
        <v>78.740480000000005</v>
      </c>
      <c r="AD100" s="170">
        <f>(AC100*(1+$Q$28))</f>
        <v>81.890099200000009</v>
      </c>
      <c r="AE100" s="199"/>
    </row>
    <row r="101" spans="2:36" ht="13.5" thickBot="1" x14ac:dyDescent="0.4">
      <c r="V101" s="254" t="s">
        <v>460</v>
      </c>
      <c r="W101" s="185" t="s">
        <v>458</v>
      </c>
      <c r="X101" s="186" t="s">
        <v>273</v>
      </c>
      <c r="Y101" s="187">
        <f>Y$96*Y$100*$Q$22</f>
        <v>177811200</v>
      </c>
      <c r="Z101" s="187">
        <f>Y$96*Y$100*$Q$22</f>
        <v>177811200</v>
      </c>
      <c r="AA101" s="187">
        <f>Z$96*Z$100*$Q$22</f>
        <v>177811200</v>
      </c>
      <c r="AB101" s="187">
        <f>AA$96*AA$100*$Q$22</f>
        <v>231154560</v>
      </c>
      <c r="AC101" s="187">
        <f>AB$96*AB$100*$Q$22</f>
        <v>300500928</v>
      </c>
      <c r="AD101" s="187">
        <f>AC$96*AC$100*$Q$22</f>
        <v>0</v>
      </c>
      <c r="AE101" s="255"/>
    </row>
    <row r="102" spans="2:36" x14ac:dyDescent="0.35">
      <c r="V102" s="275" t="s">
        <v>202</v>
      </c>
      <c r="W102" s="276" t="s">
        <v>375</v>
      </c>
      <c r="X102" s="277"/>
      <c r="Y102" s="282"/>
      <c r="Z102" s="282"/>
      <c r="AA102" s="278"/>
      <c r="AB102" s="278"/>
      <c r="AC102" s="278"/>
      <c r="AD102" s="278"/>
      <c r="AE102" s="279"/>
    </row>
    <row r="103" spans="2:36" s="153" customFormat="1" ht="16" thickBot="1" x14ac:dyDescent="0.4">
      <c r="B103" s="416"/>
      <c r="C103" s="416"/>
      <c r="D103" s="416"/>
      <c r="E103" s="416"/>
      <c r="F103" s="416"/>
      <c r="G103" s="416"/>
      <c r="H103" s="416"/>
      <c r="I103" s="416"/>
      <c r="J103" s="416"/>
      <c r="K103" s="416"/>
      <c r="L103" s="416"/>
      <c r="M103" s="416"/>
      <c r="N103" s="416"/>
      <c r="O103" s="416"/>
      <c r="P103" s="416"/>
      <c r="Q103" s="416"/>
      <c r="R103" s="416"/>
      <c r="S103" s="416"/>
      <c r="T103" s="416"/>
      <c r="V103" s="241" t="s">
        <v>463</v>
      </c>
      <c r="W103" s="242" t="s">
        <v>465</v>
      </c>
      <c r="X103" s="243" t="s">
        <v>273</v>
      </c>
      <c r="Y103" s="244">
        <f t="shared" ref="Y103:AD103" si="27">SUM(Y98+Y101)</f>
        <v>284497920</v>
      </c>
      <c r="Z103" s="244">
        <f t="shared" si="27"/>
        <v>284497920</v>
      </c>
      <c r="AA103" s="244">
        <f t="shared" si="27"/>
        <v>316503936</v>
      </c>
      <c r="AB103" s="244">
        <f t="shared" si="27"/>
        <v>411455116.80000001</v>
      </c>
      <c r="AC103" s="244">
        <f t="shared" si="27"/>
        <v>300500928</v>
      </c>
      <c r="AD103" s="244">
        <f t="shared" si="27"/>
        <v>0</v>
      </c>
      <c r="AE103" s="245"/>
    </row>
    <row r="104" spans="2:36" ht="15.5" x14ac:dyDescent="0.35">
      <c r="V104" s="288" t="s">
        <v>345</v>
      </c>
      <c r="W104" s="289" t="s">
        <v>466</v>
      </c>
      <c r="X104" s="290" t="s">
        <v>273</v>
      </c>
      <c r="Y104" s="291">
        <f>Y103-Y90-Y70</f>
        <v>148291885.68266669</v>
      </c>
      <c r="Z104" s="291">
        <f>Z103-Z90-Z70</f>
        <v>148291885.68266669</v>
      </c>
      <c r="AA104" s="291">
        <f>AA103-AA90-AA70</f>
        <v>197757129.47933337</v>
      </c>
      <c r="AB104" s="291">
        <f>AB103-AB90-AB70</f>
        <v>271970250.85516673</v>
      </c>
      <c r="AC104" s="291" t="e">
        <f>AC103-AC90-AC68</f>
        <v>#REF!</v>
      </c>
      <c r="AD104" s="291" t="e">
        <f>AD103-AD90-AD68</f>
        <v>#REF!</v>
      </c>
      <c r="AE104" s="292"/>
    </row>
    <row r="105" spans="2:36" x14ac:dyDescent="0.35">
      <c r="V105" s="246"/>
      <c r="W105" s="247"/>
      <c r="X105" s="248"/>
      <c r="Y105" s="293"/>
      <c r="Z105" s="293"/>
      <c r="AA105" s="293"/>
      <c r="AB105" s="293"/>
      <c r="AC105" s="281"/>
      <c r="AD105" s="281"/>
      <c r="AE105" s="250"/>
      <c r="AG105" s="168"/>
      <c r="AH105" s="168"/>
      <c r="AI105" s="168"/>
      <c r="AJ105" s="168"/>
    </row>
    <row r="106" spans="2:36" ht="14.4" hidden="1" customHeight="1" thickBot="1" x14ac:dyDescent="0.4">
      <c r="V106" s="219"/>
      <c r="W106" s="156"/>
      <c r="X106" s="424"/>
      <c r="Y106" s="168"/>
      <c r="Z106" s="168"/>
      <c r="AA106" s="168"/>
      <c r="AB106" s="168"/>
      <c r="AE106" s="199"/>
    </row>
    <row r="107" spans="2:36" ht="14.4" hidden="1" customHeight="1" thickBot="1" x14ac:dyDescent="0.4">
      <c r="V107" s="219"/>
      <c r="W107" s="156"/>
      <c r="X107" s="424"/>
      <c r="Y107" s="168"/>
      <c r="Z107" s="168"/>
      <c r="AA107" s="168"/>
      <c r="AB107" s="168"/>
      <c r="AE107" s="199"/>
    </row>
    <row r="108" spans="2:36" ht="14.4" hidden="1" customHeight="1" thickBot="1" x14ac:dyDescent="0.4">
      <c r="V108" s="219"/>
      <c r="W108" s="156"/>
      <c r="X108" s="424"/>
      <c r="Y108" s="168"/>
      <c r="Z108" s="168"/>
      <c r="AA108" s="168"/>
      <c r="AB108" s="168"/>
      <c r="AE108" s="199"/>
    </row>
    <row r="109" spans="2:36" ht="14.4" hidden="1" customHeight="1" thickBot="1" x14ac:dyDescent="0.4">
      <c r="V109" s="219"/>
      <c r="W109" s="156"/>
      <c r="X109" s="424"/>
      <c r="Y109" s="168"/>
      <c r="Z109" s="168"/>
      <c r="AA109" s="173"/>
      <c r="AB109" s="173"/>
      <c r="AE109" s="199"/>
    </row>
    <row r="110" spans="2:36" ht="14.4" hidden="1" customHeight="1" thickBot="1" x14ac:dyDescent="0.4">
      <c r="V110" s="219"/>
      <c r="W110" s="156"/>
      <c r="X110" s="424"/>
      <c r="Y110" s="168"/>
      <c r="Z110" s="168"/>
      <c r="AA110" s="173"/>
      <c r="AB110" s="173"/>
      <c r="AE110" s="199"/>
    </row>
    <row r="111" spans="2:36" ht="16.25" hidden="1" customHeight="1" thickBot="1" x14ac:dyDescent="0.4">
      <c r="V111" s="283"/>
      <c r="W111" s="284"/>
      <c r="X111" s="285"/>
      <c r="Y111" s="286"/>
      <c r="Z111" s="286"/>
      <c r="AA111" s="294"/>
      <c r="AB111" s="294"/>
      <c r="AC111" s="286"/>
      <c r="AD111" s="286"/>
      <c r="AE111" s="287"/>
    </row>
    <row r="112" spans="2:36" ht="16.25" hidden="1" customHeight="1" thickBot="1" x14ac:dyDescent="0.4">
      <c r="V112" s="246" t="s">
        <v>353</v>
      </c>
      <c r="W112" s="247" t="s">
        <v>472</v>
      </c>
      <c r="X112" s="248" t="s">
        <v>273</v>
      </c>
      <c r="Y112" s="293">
        <f>(Y$58/$Y$50)</f>
        <v>1240287.222222222</v>
      </c>
      <c r="Z112" s="293">
        <f>(Z$58/$Y$50)</f>
        <v>1240287.222222222</v>
      </c>
      <c r="AA112" s="293">
        <f>(AA$58/$Y$50)</f>
        <v>310071.8055555555</v>
      </c>
      <c r="AB112" s="293">
        <f>(AB$58/$Y$50)</f>
        <v>387589.7569444445</v>
      </c>
      <c r="AC112" s="281"/>
      <c r="AD112" s="281"/>
      <c r="AE112" s="250"/>
      <c r="AG112" s="414"/>
      <c r="AH112" s="414"/>
      <c r="AI112" s="414"/>
      <c r="AJ112" s="414"/>
    </row>
    <row r="113" spans="2:36" ht="13.5" thickBot="1" x14ac:dyDescent="0.4">
      <c r="V113" s="219" t="s">
        <v>553</v>
      </c>
      <c r="W113" s="156" t="s">
        <v>473</v>
      </c>
      <c r="X113" s="424" t="s">
        <v>273</v>
      </c>
      <c r="Y113" s="168">
        <f>(Y$70/$Q$17)</f>
        <v>6597086.166666666</v>
      </c>
      <c r="Z113" s="168">
        <f>(Z$70/$Q$17)</f>
        <v>6597086.166666666</v>
      </c>
      <c r="AA113" s="168">
        <f>(AA$70/$Q$17)</f>
        <v>3243021.541666667</v>
      </c>
      <c r="AB113" s="168">
        <f>(AB$70/$Q$17)</f>
        <v>3266276.927083333</v>
      </c>
      <c r="AE113" s="199"/>
    </row>
    <row r="114" spans="2:36" ht="13.75" hidden="1" customHeight="1" x14ac:dyDescent="0.35">
      <c r="V114" s="219" t="s">
        <v>554</v>
      </c>
      <c r="W114" s="156" t="s">
        <v>558</v>
      </c>
      <c r="X114" s="424" t="s">
        <v>273</v>
      </c>
      <c r="Y114" s="168">
        <f>(Y$47/$Q$13)</f>
        <v>1575000</v>
      </c>
      <c r="Z114" s="168">
        <f>(Z$47/$Q$13)</f>
        <v>1575000</v>
      </c>
      <c r="AA114" s="168">
        <f>(AA$47/$Q$13)</f>
        <v>1575000</v>
      </c>
      <c r="AB114" s="168">
        <f>(AB$47/$Q$13)</f>
        <v>1575000</v>
      </c>
      <c r="AE114" s="199"/>
    </row>
    <row r="115" spans="2:36" ht="13.75" hidden="1" customHeight="1" x14ac:dyDescent="0.35">
      <c r="V115" s="219" t="s">
        <v>555</v>
      </c>
      <c r="W115" s="156" t="s">
        <v>514</v>
      </c>
      <c r="X115" s="424" t="s">
        <v>273</v>
      </c>
      <c r="Y115" s="168">
        <f>(Y$65/$Q$19)</f>
        <v>90000</v>
      </c>
      <c r="Z115" s="168">
        <f>(Z$65/$Q$19)</f>
        <v>90000</v>
      </c>
      <c r="AA115" s="168">
        <f>(AA$65/$Q$19)</f>
        <v>0</v>
      </c>
      <c r="AB115" s="168">
        <f>(AB$65/$Q$19)</f>
        <v>0</v>
      </c>
      <c r="AE115" s="199"/>
    </row>
    <row r="116" spans="2:36" ht="13.75" hidden="1" customHeight="1" x14ac:dyDescent="0.35">
      <c r="V116" s="219" t="s">
        <v>556</v>
      </c>
      <c r="W116" s="156" t="s">
        <v>515</v>
      </c>
      <c r="X116" s="424" t="s">
        <v>273</v>
      </c>
      <c r="Y116" s="168">
        <f>(Y$66/$Q$24)</f>
        <v>166666.66666666666</v>
      </c>
      <c r="Z116" s="168">
        <f>(Z$66/$Q$24)</f>
        <v>166666.66666666666</v>
      </c>
      <c r="AA116" s="168">
        <f>(AA$66/$Q$24)</f>
        <v>0</v>
      </c>
      <c r="AB116" s="168">
        <f>(AB$66/$Q$24)</f>
        <v>0</v>
      </c>
      <c r="AE116" s="199"/>
    </row>
    <row r="117" spans="2:36" ht="13.75" hidden="1" customHeight="1" x14ac:dyDescent="0.35">
      <c r="V117" s="219" t="s">
        <v>557</v>
      </c>
      <c r="W117" s="156" t="s">
        <v>521</v>
      </c>
      <c r="X117" s="424" t="s">
        <v>273</v>
      </c>
      <c r="Y117" s="168">
        <f>(Y$67/$Q$25)</f>
        <v>100000</v>
      </c>
      <c r="Z117" s="168">
        <f>(Z$67/$Q$25)</f>
        <v>100000</v>
      </c>
      <c r="AA117" s="168">
        <f>(AA$67/$Q$25)</f>
        <v>0</v>
      </c>
      <c r="AB117" s="168">
        <f>(AB$67/$Q$25)</f>
        <v>0</v>
      </c>
      <c r="AE117" s="199"/>
    </row>
    <row r="118" spans="2:36" ht="13.75" hidden="1" customHeight="1" x14ac:dyDescent="0.35">
      <c r="V118" s="283" t="s">
        <v>353</v>
      </c>
      <c r="W118" s="284" t="s">
        <v>481</v>
      </c>
      <c r="X118" s="285" t="s">
        <v>273</v>
      </c>
      <c r="Y118" s="286">
        <f t="shared" ref="Y118:AD118" si="28">SUM(Y112:Y117)</f>
        <v>9769040.0555555541</v>
      </c>
      <c r="Z118" s="286">
        <f t="shared" si="28"/>
        <v>9769040.0555555541</v>
      </c>
      <c r="AA118" s="294">
        <f t="shared" si="28"/>
        <v>5128093.347222222</v>
      </c>
      <c r="AB118" s="294">
        <f t="shared" si="28"/>
        <v>5228866.684027778</v>
      </c>
      <c r="AC118" s="286">
        <f t="shared" si="28"/>
        <v>0</v>
      </c>
      <c r="AD118" s="286">
        <f t="shared" si="28"/>
        <v>0</v>
      </c>
      <c r="AE118" s="287"/>
    </row>
    <row r="119" spans="2:36" ht="14.4" hidden="1" customHeight="1" thickBot="1" x14ac:dyDescent="0.4">
      <c r="V119" s="283" t="s">
        <v>354</v>
      </c>
      <c r="W119" s="284" t="s">
        <v>346</v>
      </c>
      <c r="X119" s="285" t="s">
        <v>273</v>
      </c>
      <c r="Y119" s="286">
        <f>Y104-Y111-Y118</f>
        <v>138522845.62711114</v>
      </c>
      <c r="Z119" s="286">
        <f>Z104-Z111-Z118</f>
        <v>138522845.62711114</v>
      </c>
      <c r="AA119" s="294">
        <f>AA104-AA105-AA112</f>
        <v>197447057.67377782</v>
      </c>
      <c r="AB119" s="294">
        <f>AB104-AB105-AB112</f>
        <v>271582661.09822232</v>
      </c>
      <c r="AC119" s="295" t="e">
        <f>AC104-AC105-AC112</f>
        <v>#REF!</v>
      </c>
      <c r="AD119" s="295" t="e">
        <f>AD104-AD105-AD112</f>
        <v>#REF!</v>
      </c>
      <c r="AE119" s="287"/>
      <c r="AG119" s="414"/>
      <c r="AH119" s="414"/>
      <c r="AI119" s="414"/>
      <c r="AJ119" s="414"/>
    </row>
    <row r="120" spans="2:36" ht="16.25" hidden="1" customHeight="1" thickBot="1" x14ac:dyDescent="0.4">
      <c r="V120" s="283" t="s">
        <v>355</v>
      </c>
      <c r="W120" s="284" t="s">
        <v>347</v>
      </c>
      <c r="X120" s="285" t="s">
        <v>273</v>
      </c>
      <c r="Y120" s="286">
        <f>$Y$111*$Q$16</f>
        <v>0</v>
      </c>
      <c r="Z120" s="286">
        <f>$Y$111*$Q$16</f>
        <v>0</v>
      </c>
      <c r="AA120" s="294">
        <f>$Y$111*$Q$16</f>
        <v>0</v>
      </c>
      <c r="AB120" s="294">
        <f>$Y$111*$Q$16</f>
        <v>0</v>
      </c>
      <c r="AC120" s="295"/>
      <c r="AD120" s="295"/>
      <c r="AE120" s="287"/>
      <c r="AG120" s="168"/>
      <c r="AH120" s="168"/>
      <c r="AI120" s="168"/>
      <c r="AJ120" s="168"/>
    </row>
    <row r="121" spans="2:36" ht="16" thickBot="1" x14ac:dyDescent="0.4">
      <c r="V121" s="283" t="s">
        <v>356</v>
      </c>
      <c r="W121" s="284" t="s">
        <v>348</v>
      </c>
      <c r="X121" s="285" t="s">
        <v>273</v>
      </c>
      <c r="Y121" s="286">
        <f t="shared" ref="Y121:AD121" si="29">Y119-Y120</f>
        <v>138522845.62711114</v>
      </c>
      <c r="Z121" s="286">
        <f t="shared" si="29"/>
        <v>138522845.62711114</v>
      </c>
      <c r="AA121" s="294">
        <f t="shared" si="29"/>
        <v>197447057.67377782</v>
      </c>
      <c r="AB121" s="294">
        <f t="shared" si="29"/>
        <v>271582661.09822232</v>
      </c>
      <c r="AC121" s="295" t="e">
        <f t="shared" si="29"/>
        <v>#REF!</v>
      </c>
      <c r="AD121" s="295" t="e">
        <f t="shared" si="29"/>
        <v>#REF!</v>
      </c>
      <c r="AE121" s="287"/>
      <c r="AG121" s="310"/>
    </row>
    <row r="122" spans="2:36" ht="16" thickBot="1" x14ac:dyDescent="0.4">
      <c r="V122" s="283" t="s">
        <v>357</v>
      </c>
      <c r="W122" s="284" t="s">
        <v>349</v>
      </c>
      <c r="X122" s="285" t="s">
        <v>273</v>
      </c>
      <c r="Y122" s="286">
        <f>$Y$103*$Q$8</f>
        <v>79659417.600000009</v>
      </c>
      <c r="Z122" s="286">
        <f>$Y$103*$Q$8</f>
        <v>79659417.600000009</v>
      </c>
      <c r="AA122" s="294">
        <f>$Y$103*$Q$8</f>
        <v>79659417.600000009</v>
      </c>
      <c r="AB122" s="294">
        <f>$Y$103*$Q$8</f>
        <v>79659417.600000009</v>
      </c>
      <c r="AC122" s="295"/>
      <c r="AD122" s="295"/>
      <c r="AE122" s="287"/>
      <c r="AG122" s="168"/>
      <c r="AH122" s="168"/>
      <c r="AI122" s="168"/>
      <c r="AJ122" s="168"/>
    </row>
    <row r="123" spans="2:36" ht="16" thickBot="1" x14ac:dyDescent="0.4">
      <c r="V123" s="283" t="s">
        <v>258</v>
      </c>
      <c r="W123" s="284" t="s">
        <v>350</v>
      </c>
      <c r="X123" s="285" t="s">
        <v>273</v>
      </c>
      <c r="Y123" s="286">
        <f t="shared" ref="Y123:AD123" si="30">Y121-Y122</f>
        <v>58863428.027111128</v>
      </c>
      <c r="Z123" s="286">
        <f t="shared" si="30"/>
        <v>58863428.027111128</v>
      </c>
      <c r="AA123" s="294">
        <f t="shared" si="30"/>
        <v>117787640.07377781</v>
      </c>
      <c r="AB123" s="294">
        <f t="shared" si="30"/>
        <v>191923243.49822229</v>
      </c>
      <c r="AC123" s="295" t="e">
        <f t="shared" si="30"/>
        <v>#REF!</v>
      </c>
      <c r="AD123" s="295" t="e">
        <f t="shared" si="30"/>
        <v>#REF!</v>
      </c>
      <c r="AE123" s="287"/>
      <c r="AG123" s="310"/>
    </row>
    <row r="124" spans="2:36" s="153" customFormat="1" x14ac:dyDescent="0.35"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6"/>
      <c r="O124" s="416"/>
      <c r="P124" s="416"/>
      <c r="Q124" s="416"/>
      <c r="R124" s="416"/>
      <c r="S124" s="416"/>
      <c r="T124" s="416"/>
      <c r="V124" s="418"/>
      <c r="W124" s="152"/>
      <c r="X124" s="418"/>
      <c r="Y124" s="152"/>
      <c r="Z124" s="152"/>
      <c r="AA124" s="152"/>
      <c r="AB124" s="152"/>
      <c r="AC124" s="152"/>
      <c r="AD124" s="152"/>
      <c r="AE124" s="152"/>
      <c r="AG124" s="415"/>
      <c r="AH124" s="415"/>
      <c r="AI124" s="415"/>
      <c r="AJ124" s="415"/>
    </row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</sheetData>
  <mergeCells count="8">
    <mergeCell ref="V3:AE3"/>
    <mergeCell ref="X4:Y4"/>
    <mergeCell ref="Z4:AD4"/>
    <mergeCell ref="B31:C31"/>
    <mergeCell ref="F31:G31"/>
    <mergeCell ref="I31:J31"/>
    <mergeCell ref="K1:N1"/>
    <mergeCell ref="B1:C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D3E9-6002-4CD1-86A7-AFF45C22FF95}">
  <dimension ref="A1:AM140"/>
  <sheetViews>
    <sheetView zoomScale="90" zoomScaleNormal="90" workbookViewId="0">
      <selection activeCell="Y125" sqref="Y125"/>
    </sheetView>
  </sheetViews>
  <sheetFormatPr defaultColWidth="8.81640625" defaultRowHeight="13" x14ac:dyDescent="0.35"/>
  <cols>
    <col min="1" max="1" width="1.36328125" style="152" customWidth="1"/>
    <col min="2" max="2" width="25.81640625" style="140" customWidth="1"/>
    <col min="3" max="3" width="10.6328125" style="140" bestFit="1" customWidth="1"/>
    <col min="4" max="4" width="6.81640625" style="140" bestFit="1" customWidth="1"/>
    <col min="5" max="5" width="0.81640625" style="140" customWidth="1"/>
    <col min="6" max="6" width="19.54296875" style="140" customWidth="1"/>
    <col min="7" max="7" width="10.453125" style="140" customWidth="1"/>
    <col min="8" max="8" width="7.54296875" style="140" customWidth="1"/>
    <col min="9" max="9" width="10.453125" style="140" customWidth="1"/>
    <col min="10" max="10" width="7.81640625" style="140" customWidth="1"/>
    <col min="11" max="11" width="10.81640625" style="140" customWidth="1"/>
    <col min="12" max="12" width="12.54296875" style="140" customWidth="1"/>
    <col min="13" max="13" width="21.36328125" style="140" customWidth="1"/>
    <col min="14" max="15" width="9.08984375" style="140" customWidth="1"/>
    <col min="16" max="16" width="10" style="140" customWidth="1"/>
    <col min="17" max="17" width="8.81640625" style="140" customWidth="1"/>
    <col min="18" max="18" width="8.36328125" style="140" customWidth="1"/>
    <col min="19" max="19" width="8" style="140" customWidth="1"/>
    <col min="20" max="20" width="1.90625" style="140" customWidth="1"/>
    <col min="21" max="21" width="1.90625" style="152" customWidth="1"/>
    <col min="22" max="22" width="5.1796875" style="308" bestFit="1" customWidth="1"/>
    <col min="23" max="23" width="57.6328125" style="152" bestFit="1" customWidth="1"/>
    <col min="24" max="24" width="6.90625" style="308" customWidth="1"/>
    <col min="25" max="26" width="14.1796875" style="152" bestFit="1" customWidth="1"/>
    <col min="27" max="28" width="16.453125" style="152" bestFit="1" customWidth="1"/>
    <col min="29" max="30" width="13.81640625" style="152" hidden="1" customWidth="1"/>
    <col min="31" max="31" width="23.90625" style="152" customWidth="1"/>
    <col min="32" max="16384" width="8.81640625" style="152"/>
  </cols>
  <sheetData>
    <row r="1" spans="1:36" ht="13.5" thickBot="1" x14ac:dyDescent="0.4">
      <c r="B1" s="510" t="s">
        <v>28</v>
      </c>
      <c r="C1" s="510"/>
      <c r="I1" s="144">
        <v>0.7</v>
      </c>
      <c r="J1" s="144">
        <v>0.45</v>
      </c>
      <c r="K1" s="144">
        <v>0.06</v>
      </c>
      <c r="L1" s="145">
        <v>6</v>
      </c>
      <c r="M1" s="145">
        <v>6</v>
      </c>
      <c r="N1" s="146">
        <v>0.35</v>
      </c>
      <c r="O1" s="146">
        <v>0.35</v>
      </c>
      <c r="P1" s="306">
        <v>96</v>
      </c>
      <c r="Q1" s="306"/>
      <c r="R1" s="306"/>
      <c r="S1" s="306"/>
    </row>
    <row r="2" spans="1:36" ht="65.5" hidden="1" thickBot="1" x14ac:dyDescent="0.4">
      <c r="A2" s="153"/>
      <c r="B2" s="307" t="s">
        <v>0</v>
      </c>
      <c r="C2" s="140">
        <v>500</v>
      </c>
      <c r="F2" s="306" t="s">
        <v>322</v>
      </c>
      <c r="G2" s="306" t="s">
        <v>162</v>
      </c>
      <c r="H2" s="306" t="s">
        <v>163</v>
      </c>
      <c r="I2" s="144" t="s">
        <v>164</v>
      </c>
      <c r="J2" s="144" t="s">
        <v>417</v>
      </c>
      <c r="K2" s="306" t="s">
        <v>87</v>
      </c>
      <c r="L2" s="306" t="s">
        <v>418</v>
      </c>
      <c r="M2" s="306" t="s">
        <v>419</v>
      </c>
      <c r="N2" s="306" t="s">
        <v>421</v>
      </c>
      <c r="O2" s="306" t="s">
        <v>420</v>
      </c>
      <c r="P2" s="306" t="s">
        <v>422</v>
      </c>
      <c r="Q2" s="306" t="s">
        <v>423</v>
      </c>
      <c r="R2" s="306" t="s">
        <v>424</v>
      </c>
      <c r="S2" s="306" t="s">
        <v>425</v>
      </c>
    </row>
    <row r="3" spans="1:36" ht="21.5" thickBot="1" x14ac:dyDescent="0.4">
      <c r="B3" s="307" t="s">
        <v>1</v>
      </c>
      <c r="C3" s="140">
        <v>200000</v>
      </c>
      <c r="F3" s="140" t="s">
        <v>304</v>
      </c>
      <c r="G3" s="148">
        <v>0.12</v>
      </c>
      <c r="H3" s="140">
        <f t="shared" ref="H3:H9" si="0">$C$9*G3</f>
        <v>53760</v>
      </c>
      <c r="I3" s="140">
        <f t="shared" ref="I3:I9" si="1">H3*$I$1</f>
        <v>37632</v>
      </c>
      <c r="J3" s="140">
        <f>I3*$J$1</f>
        <v>16934.400000000001</v>
      </c>
      <c r="K3" s="139">
        <f t="shared" ref="K3:K9" si="2">I3*$K$1</f>
        <v>2257.92</v>
      </c>
      <c r="L3" s="139">
        <f>J3/$L$1</f>
        <v>2822.4</v>
      </c>
      <c r="M3" s="139">
        <f>K3/$M$1</f>
        <v>376.32</v>
      </c>
      <c r="N3" s="139">
        <f t="shared" ref="N3:N9" si="3">L3*$N$1</f>
        <v>987.83999999999992</v>
      </c>
      <c r="O3" s="139">
        <f>M3*$O$1</f>
        <v>131.71199999999999</v>
      </c>
      <c r="P3" s="139">
        <f>N3/$G$34</f>
        <v>13.719999999999999</v>
      </c>
      <c r="Q3" s="139">
        <f>O3/$G$34</f>
        <v>1.8293333333333333</v>
      </c>
      <c r="R3" s="139">
        <f>N3/$H$18</f>
        <v>13.719999999999999</v>
      </c>
      <c r="S3" s="139">
        <f>O3/$H$18</f>
        <v>1.8293333333333333</v>
      </c>
      <c r="V3" s="514" t="s">
        <v>544</v>
      </c>
      <c r="W3" s="515"/>
      <c r="X3" s="515"/>
      <c r="Y3" s="515"/>
      <c r="Z3" s="515"/>
      <c r="AA3" s="515"/>
      <c r="AB3" s="515"/>
      <c r="AC3" s="515"/>
      <c r="AD3" s="515"/>
      <c r="AE3" s="516"/>
    </row>
    <row r="4" spans="1:36" s="305" customFormat="1" ht="38.5" customHeight="1" x14ac:dyDescent="0.35">
      <c r="B4" s="307" t="s">
        <v>3</v>
      </c>
      <c r="C4" s="140" t="s">
        <v>2</v>
      </c>
      <c r="D4" s="140"/>
      <c r="E4" s="140"/>
      <c r="F4" s="140" t="s">
        <v>314</v>
      </c>
      <c r="G4" s="148">
        <v>0.12</v>
      </c>
      <c r="H4" s="140">
        <f t="shared" si="0"/>
        <v>53760</v>
      </c>
      <c r="I4" s="140">
        <f t="shared" si="1"/>
        <v>37632</v>
      </c>
      <c r="J4" s="140">
        <f t="shared" ref="J4:J9" si="4">I4*$J$1</f>
        <v>16934.400000000001</v>
      </c>
      <c r="K4" s="139">
        <f t="shared" si="2"/>
        <v>2257.92</v>
      </c>
      <c r="L4" s="139">
        <f t="shared" ref="L4:L9" si="5">J4/$L$1</f>
        <v>2822.4</v>
      </c>
      <c r="M4" s="139">
        <f t="shared" ref="M4:M9" si="6">K4/$M$1</f>
        <v>376.32</v>
      </c>
      <c r="N4" s="139">
        <f t="shared" si="3"/>
        <v>987.83999999999992</v>
      </c>
      <c r="O4" s="139">
        <f t="shared" ref="O4:O9" si="7">M4*$O$1</f>
        <v>131.71199999999999</v>
      </c>
      <c r="P4" s="139">
        <f t="shared" ref="P4:Q9" si="8">N4/$G$34</f>
        <v>13.719999999999999</v>
      </c>
      <c r="Q4" s="139">
        <f t="shared" si="8"/>
        <v>1.8293333333333333</v>
      </c>
      <c r="R4" s="139">
        <f t="shared" ref="R4:S9" si="9">N4/$H$18</f>
        <v>13.719999999999999</v>
      </c>
      <c r="S4" s="139">
        <f t="shared" si="9"/>
        <v>1.8293333333333333</v>
      </c>
      <c r="T4" s="306"/>
      <c r="V4" s="178" t="s">
        <v>186</v>
      </c>
      <c r="W4" s="309" t="s">
        <v>540</v>
      </c>
      <c r="X4" s="513" t="s">
        <v>541</v>
      </c>
      <c r="Y4" s="513"/>
      <c r="Z4" s="517" t="s">
        <v>542</v>
      </c>
      <c r="AA4" s="517"/>
      <c r="AB4" s="517"/>
      <c r="AC4" s="517"/>
      <c r="AD4" s="517"/>
      <c r="AE4" s="180" t="s">
        <v>543</v>
      </c>
      <c r="AG4" s="305">
        <v>10000000</v>
      </c>
    </row>
    <row r="5" spans="1:36" s="305" customFormat="1" ht="22.5" customHeight="1" x14ac:dyDescent="0.35">
      <c r="B5" s="307" t="s">
        <v>4</v>
      </c>
      <c r="C5" s="148">
        <v>0.7</v>
      </c>
      <c r="D5" s="140"/>
      <c r="E5" s="140"/>
      <c r="F5" s="140" t="s">
        <v>315</v>
      </c>
      <c r="G5" s="148">
        <v>0.13</v>
      </c>
      <c r="H5" s="140">
        <f t="shared" si="0"/>
        <v>58240</v>
      </c>
      <c r="I5" s="140">
        <f t="shared" si="1"/>
        <v>40768</v>
      </c>
      <c r="J5" s="140">
        <f t="shared" si="4"/>
        <v>18345.600000000002</v>
      </c>
      <c r="K5" s="139">
        <f t="shared" si="2"/>
        <v>2446.08</v>
      </c>
      <c r="L5" s="139">
        <f t="shared" si="5"/>
        <v>3057.6000000000004</v>
      </c>
      <c r="M5" s="139">
        <f t="shared" si="6"/>
        <v>407.68</v>
      </c>
      <c r="N5" s="139">
        <f t="shared" si="3"/>
        <v>1070.1600000000001</v>
      </c>
      <c r="O5" s="139">
        <f t="shared" si="7"/>
        <v>142.68799999999999</v>
      </c>
      <c r="P5" s="139">
        <f t="shared" si="8"/>
        <v>14.863333333333335</v>
      </c>
      <c r="Q5" s="139">
        <f t="shared" si="8"/>
        <v>1.9817777777777776</v>
      </c>
      <c r="R5" s="139">
        <f t="shared" si="9"/>
        <v>14.863333333333335</v>
      </c>
      <c r="S5" s="139">
        <f t="shared" si="9"/>
        <v>1.9817777777777776</v>
      </c>
      <c r="T5" s="306"/>
      <c r="V5" s="312" t="s">
        <v>274</v>
      </c>
      <c r="W5" s="313" t="s">
        <v>239</v>
      </c>
      <c r="X5" s="314" t="s">
        <v>265</v>
      </c>
      <c r="Y5" s="314" t="s">
        <v>545</v>
      </c>
      <c r="Z5" s="314" t="s">
        <v>241</v>
      </c>
      <c r="AA5" s="314" t="s">
        <v>242</v>
      </c>
      <c r="AB5" s="314" t="s">
        <v>243</v>
      </c>
      <c r="AC5" s="314" t="s">
        <v>244</v>
      </c>
      <c r="AD5" s="314" t="s">
        <v>245</v>
      </c>
      <c r="AE5" s="315" t="s">
        <v>246</v>
      </c>
    </row>
    <row r="6" spans="1:36" ht="23.5" customHeight="1" x14ac:dyDescent="0.35">
      <c r="B6" s="307" t="s">
        <v>5</v>
      </c>
      <c r="C6" s="149">
        <v>8000000</v>
      </c>
      <c r="F6" s="140" t="s">
        <v>316</v>
      </c>
      <c r="G6" s="148">
        <v>0.13</v>
      </c>
      <c r="H6" s="140">
        <f t="shared" si="0"/>
        <v>58240</v>
      </c>
      <c r="I6" s="140">
        <f t="shared" si="1"/>
        <v>40768</v>
      </c>
      <c r="J6" s="140">
        <f t="shared" si="4"/>
        <v>18345.600000000002</v>
      </c>
      <c r="K6" s="139">
        <f t="shared" si="2"/>
        <v>2446.08</v>
      </c>
      <c r="L6" s="139">
        <f t="shared" si="5"/>
        <v>3057.6000000000004</v>
      </c>
      <c r="M6" s="139">
        <f t="shared" si="6"/>
        <v>407.68</v>
      </c>
      <c r="N6" s="139">
        <f t="shared" si="3"/>
        <v>1070.1600000000001</v>
      </c>
      <c r="O6" s="139">
        <f t="shared" si="7"/>
        <v>142.68799999999999</v>
      </c>
      <c r="P6" s="139">
        <f t="shared" si="8"/>
        <v>14.863333333333335</v>
      </c>
      <c r="Q6" s="139">
        <f t="shared" si="8"/>
        <v>1.9817777777777776</v>
      </c>
      <c r="R6" s="139">
        <f t="shared" si="9"/>
        <v>14.863333333333335</v>
      </c>
      <c r="S6" s="139">
        <f t="shared" si="9"/>
        <v>1.9817777777777776</v>
      </c>
      <c r="V6" s="320">
        <v>1</v>
      </c>
      <c r="W6" s="321" t="s">
        <v>261</v>
      </c>
      <c r="X6" s="322" t="s">
        <v>273</v>
      </c>
      <c r="Y6" s="321">
        <v>66012500</v>
      </c>
      <c r="Z6" s="321">
        <v>66163000</v>
      </c>
      <c r="AA6" s="321">
        <v>46028571.428571433</v>
      </c>
      <c r="AB6" s="321">
        <v>37517142.857142858</v>
      </c>
      <c r="AC6" s="321"/>
      <c r="AD6" s="321"/>
      <c r="AE6" s="323"/>
      <c r="AG6" s="159">
        <f>Y6/Cr</f>
        <v>6.6012500000000003</v>
      </c>
      <c r="AH6" s="159">
        <f>Z6/Cr</f>
        <v>6.6162999999999998</v>
      </c>
      <c r="AI6" s="159">
        <f>AA6/Cr</f>
        <v>4.6028571428571432</v>
      </c>
      <c r="AJ6" s="159">
        <f>AB6/Cr</f>
        <v>3.7517142857142858</v>
      </c>
    </row>
    <row r="7" spans="1:36" ht="15.5" hidden="1" customHeight="1" x14ac:dyDescent="0.35">
      <c r="B7" s="307" t="s">
        <v>142</v>
      </c>
      <c r="C7" s="149">
        <f>C6*D7</f>
        <v>1920000</v>
      </c>
      <c r="D7" s="144">
        <v>0.24</v>
      </c>
      <c r="F7" s="140" t="s">
        <v>317</v>
      </c>
      <c r="G7" s="148">
        <v>0.14000000000000001</v>
      </c>
      <c r="H7" s="140">
        <f t="shared" si="0"/>
        <v>62720.000000000007</v>
      </c>
      <c r="I7" s="140">
        <f t="shared" si="1"/>
        <v>43904</v>
      </c>
      <c r="J7" s="140">
        <f t="shared" si="4"/>
        <v>19756.8</v>
      </c>
      <c r="K7" s="139">
        <f t="shared" si="2"/>
        <v>2634.24</v>
      </c>
      <c r="L7" s="139">
        <f t="shared" si="5"/>
        <v>3292.7999999999997</v>
      </c>
      <c r="M7" s="139">
        <f t="shared" si="6"/>
        <v>439.03999999999996</v>
      </c>
      <c r="N7" s="139">
        <f t="shared" si="3"/>
        <v>1152.4799999999998</v>
      </c>
      <c r="O7" s="139">
        <f t="shared" si="7"/>
        <v>153.66399999999999</v>
      </c>
      <c r="P7" s="139">
        <f t="shared" si="8"/>
        <v>16.006666666666664</v>
      </c>
      <c r="Q7" s="139">
        <f t="shared" si="8"/>
        <v>2.1342222222222222</v>
      </c>
      <c r="R7" s="139">
        <f t="shared" si="9"/>
        <v>16.006666666666664</v>
      </c>
      <c r="S7" s="139">
        <f t="shared" si="9"/>
        <v>2.1342222222222222</v>
      </c>
      <c r="V7" s="324" t="s">
        <v>275</v>
      </c>
      <c r="W7" s="325" t="s">
        <v>295</v>
      </c>
      <c r="X7" s="326"/>
      <c r="Y7" s="325"/>
      <c r="Z7" s="325"/>
      <c r="AA7" s="325"/>
      <c r="AB7" s="325"/>
      <c r="AC7" s="325"/>
      <c r="AD7" s="325"/>
      <c r="AE7" s="327"/>
      <c r="AG7" s="159"/>
      <c r="AH7" s="159"/>
      <c r="AI7" s="159"/>
      <c r="AJ7" s="159"/>
    </row>
    <row r="8" spans="1:36" hidden="1" x14ac:dyDescent="0.35">
      <c r="B8" s="307" t="s">
        <v>143</v>
      </c>
      <c r="C8" s="140">
        <f>C7/30</f>
        <v>64000</v>
      </c>
      <c r="D8" s="144" t="s">
        <v>145</v>
      </c>
      <c r="F8" s="140" t="s">
        <v>318</v>
      </c>
      <c r="G8" s="148">
        <v>0.17</v>
      </c>
      <c r="H8" s="140">
        <f t="shared" si="0"/>
        <v>76160</v>
      </c>
      <c r="I8" s="140">
        <f t="shared" si="1"/>
        <v>53312</v>
      </c>
      <c r="J8" s="140">
        <f t="shared" si="4"/>
        <v>23990.400000000001</v>
      </c>
      <c r="K8" s="139">
        <f t="shared" si="2"/>
        <v>3198.72</v>
      </c>
      <c r="L8" s="139">
        <f t="shared" si="5"/>
        <v>3998.4</v>
      </c>
      <c r="M8" s="139">
        <f t="shared" si="6"/>
        <v>533.12</v>
      </c>
      <c r="N8" s="139">
        <f t="shared" si="3"/>
        <v>1399.44</v>
      </c>
      <c r="O8" s="139">
        <f t="shared" si="7"/>
        <v>186.59199999999998</v>
      </c>
      <c r="P8" s="139">
        <f t="shared" si="8"/>
        <v>19.436666666666667</v>
      </c>
      <c r="Q8" s="139">
        <f t="shared" si="8"/>
        <v>2.5915555555555554</v>
      </c>
      <c r="R8" s="139">
        <f t="shared" si="9"/>
        <v>19.436666666666667</v>
      </c>
      <c r="S8" s="139">
        <f t="shared" si="9"/>
        <v>2.5915555555555554</v>
      </c>
      <c r="V8" s="328" t="s">
        <v>276</v>
      </c>
      <c r="W8" s="329" t="s">
        <v>270</v>
      </c>
      <c r="X8" s="330" t="s">
        <v>266</v>
      </c>
      <c r="Y8" s="331">
        <v>2</v>
      </c>
      <c r="Z8" s="331">
        <v>2</v>
      </c>
      <c r="AA8" s="331">
        <f t="shared" ref="AA8:AB11" si="10">Z8*$N$43+Z8</f>
        <v>2.5</v>
      </c>
      <c r="AB8" s="331">
        <f t="shared" si="10"/>
        <v>3.125</v>
      </c>
      <c r="AC8" s="331">
        <v>2</v>
      </c>
      <c r="AD8" s="331">
        <v>2</v>
      </c>
      <c r="AE8" s="332"/>
      <c r="AG8" s="159"/>
      <c r="AH8" s="159"/>
      <c r="AI8" s="159"/>
      <c r="AJ8" s="159"/>
    </row>
    <row r="9" spans="1:36" hidden="1" x14ac:dyDescent="0.35">
      <c r="B9" s="307" t="s">
        <v>144</v>
      </c>
      <c r="C9" s="140">
        <f>C8*7</f>
        <v>448000</v>
      </c>
      <c r="D9" s="144"/>
      <c r="F9" s="140" t="s">
        <v>319</v>
      </c>
      <c r="G9" s="148">
        <v>0.19</v>
      </c>
      <c r="H9" s="140">
        <f t="shared" si="0"/>
        <v>85120</v>
      </c>
      <c r="I9" s="140">
        <f t="shared" si="1"/>
        <v>59583.999999999993</v>
      </c>
      <c r="J9" s="140">
        <f t="shared" si="4"/>
        <v>26812.799999999996</v>
      </c>
      <c r="K9" s="139">
        <f t="shared" si="2"/>
        <v>3575.0399999999995</v>
      </c>
      <c r="L9" s="139">
        <f t="shared" si="5"/>
        <v>4468.7999999999993</v>
      </c>
      <c r="M9" s="139">
        <f t="shared" si="6"/>
        <v>595.83999999999992</v>
      </c>
      <c r="N9" s="139">
        <f t="shared" si="3"/>
        <v>1564.0799999999997</v>
      </c>
      <c r="O9" s="139">
        <f t="shared" si="7"/>
        <v>208.54399999999995</v>
      </c>
      <c r="P9" s="139">
        <f t="shared" si="8"/>
        <v>21.723333333333329</v>
      </c>
      <c r="Q9" s="139">
        <f t="shared" si="8"/>
        <v>2.8964444444444437</v>
      </c>
      <c r="R9" s="139">
        <f t="shared" si="9"/>
        <v>21.723333333333329</v>
      </c>
      <c r="S9" s="139">
        <f t="shared" si="9"/>
        <v>2.8964444444444437</v>
      </c>
      <c r="V9" s="328" t="s">
        <v>277</v>
      </c>
      <c r="W9" s="329" t="s">
        <v>271</v>
      </c>
      <c r="X9" s="330" t="s">
        <v>266</v>
      </c>
      <c r="Y9" s="331">
        <v>3</v>
      </c>
      <c r="Z9" s="331">
        <v>3</v>
      </c>
      <c r="AA9" s="331">
        <f t="shared" si="10"/>
        <v>3.75</v>
      </c>
      <c r="AB9" s="331">
        <f t="shared" si="10"/>
        <v>4.6875</v>
      </c>
      <c r="AC9" s="331">
        <v>3</v>
      </c>
      <c r="AD9" s="331">
        <v>1</v>
      </c>
      <c r="AE9" s="332"/>
      <c r="AG9" s="159"/>
      <c r="AH9" s="159"/>
      <c r="AI9" s="159"/>
      <c r="AJ9" s="159"/>
    </row>
    <row r="10" spans="1:36" ht="22.5" hidden="1" customHeight="1" x14ac:dyDescent="0.35">
      <c r="B10" s="307" t="s">
        <v>6</v>
      </c>
      <c r="C10" s="140">
        <v>70</v>
      </c>
      <c r="F10" s="306" t="s">
        <v>72</v>
      </c>
      <c r="G10" s="144">
        <f>SUM(G3:G9)</f>
        <v>1</v>
      </c>
      <c r="H10" s="306">
        <f>SUM(H3:H9)</f>
        <v>448000</v>
      </c>
      <c r="I10" s="306">
        <f>SUM(I3:I9)</f>
        <v>313600</v>
      </c>
      <c r="J10" s="306">
        <f>SUM(J3:J9)</f>
        <v>141120</v>
      </c>
      <c r="K10" s="145">
        <f>SUM(K3:K9)</f>
        <v>18816</v>
      </c>
      <c r="L10" s="145">
        <f>AVERAGE(L3:L9)</f>
        <v>3360</v>
      </c>
      <c r="M10" s="145">
        <f>AVERAGE(M3:M9)</f>
        <v>448</v>
      </c>
      <c r="N10" s="145">
        <f>SUM(N3:N9)</f>
        <v>8232</v>
      </c>
      <c r="O10" s="145">
        <f>SUM(O3:O9)</f>
        <v>1097.5999999999999</v>
      </c>
      <c r="P10" s="145">
        <f>MAX(P3:P9)</f>
        <v>21.723333333333329</v>
      </c>
      <c r="Q10" s="145">
        <f>MAX(Q3:Q9)</f>
        <v>2.8964444444444437</v>
      </c>
      <c r="R10" s="145">
        <f t="shared" ref="R10:S10" si="11">MAX(R3:R9)</f>
        <v>21.723333333333329</v>
      </c>
      <c r="S10" s="145">
        <f t="shared" si="11"/>
        <v>2.8964444444444437</v>
      </c>
      <c r="V10" s="328" t="s">
        <v>278</v>
      </c>
      <c r="W10" s="329" t="s">
        <v>272</v>
      </c>
      <c r="X10" s="330" t="s">
        <v>266</v>
      </c>
      <c r="Y10" s="331">
        <v>1</v>
      </c>
      <c r="Z10" s="331">
        <v>1</v>
      </c>
      <c r="AA10" s="331">
        <f t="shared" si="10"/>
        <v>1.25</v>
      </c>
      <c r="AB10" s="331">
        <f t="shared" si="10"/>
        <v>1.5625</v>
      </c>
      <c r="AC10" s="331">
        <v>1</v>
      </c>
      <c r="AD10" s="331">
        <v>1</v>
      </c>
      <c r="AE10" s="332"/>
      <c r="AG10" s="159"/>
      <c r="AH10" s="159"/>
      <c r="AI10" s="159"/>
      <c r="AJ10" s="159"/>
    </row>
    <row r="11" spans="1:36" hidden="1" x14ac:dyDescent="0.35">
      <c r="B11" s="307" t="s">
        <v>7</v>
      </c>
      <c r="C11" s="140" t="s">
        <v>8</v>
      </c>
      <c r="P11" s="140" t="s">
        <v>488</v>
      </c>
      <c r="Q11" s="140" t="s">
        <v>488</v>
      </c>
      <c r="R11" s="140" t="s">
        <v>488</v>
      </c>
      <c r="S11" s="140" t="s">
        <v>488</v>
      </c>
      <c r="V11" s="328" t="s">
        <v>279</v>
      </c>
      <c r="W11" s="329" t="s">
        <v>116</v>
      </c>
      <c r="X11" s="330" t="s">
        <v>266</v>
      </c>
      <c r="Y11" s="331">
        <f>SUM(Y8:Y10)</f>
        <v>6</v>
      </c>
      <c r="Z11" s="331">
        <v>6</v>
      </c>
      <c r="AA11" s="331">
        <f t="shared" si="10"/>
        <v>7.5</v>
      </c>
      <c r="AB11" s="331">
        <f t="shared" si="10"/>
        <v>9.375</v>
      </c>
      <c r="AC11" s="331">
        <f t="shared" ref="AC11" si="12">SUM(AC8:AC10)</f>
        <v>6</v>
      </c>
      <c r="AD11" s="331">
        <v>6</v>
      </c>
      <c r="AE11" s="332"/>
      <c r="AG11" s="159"/>
      <c r="AH11" s="159"/>
      <c r="AI11" s="159"/>
      <c r="AJ11" s="159"/>
    </row>
    <row r="12" spans="1:36" ht="15" hidden="1" customHeight="1" x14ac:dyDescent="0.35">
      <c r="B12" s="307" t="s">
        <v>9</v>
      </c>
      <c r="C12" s="140" t="s">
        <v>10</v>
      </c>
      <c r="F12" s="306" t="s">
        <v>92</v>
      </c>
      <c r="G12" s="306" t="s">
        <v>325</v>
      </c>
      <c r="H12" s="306" t="s">
        <v>174</v>
      </c>
      <c r="I12" s="306" t="s">
        <v>137</v>
      </c>
      <c r="J12" s="306"/>
      <c r="P12" s="140">
        <v>3</v>
      </c>
      <c r="Q12" s="140">
        <v>1</v>
      </c>
      <c r="R12" s="140">
        <v>3</v>
      </c>
      <c r="S12" s="140">
        <v>1</v>
      </c>
      <c r="V12" s="328" t="s">
        <v>280</v>
      </c>
      <c r="W12" s="333" t="s">
        <v>499</v>
      </c>
      <c r="X12" s="330" t="s">
        <v>273</v>
      </c>
      <c r="Y12" s="331">
        <v>10000</v>
      </c>
      <c r="Z12" s="331">
        <v>10000</v>
      </c>
      <c r="AA12" s="331">
        <f>(Y12*$N$21)+Y12</f>
        <v>10500</v>
      </c>
      <c r="AB12" s="331">
        <f>(AA12*$N$21)+AA12</f>
        <v>11025</v>
      </c>
      <c r="AC12" s="331">
        <f>(AB12*$N$21)+AB12</f>
        <v>11576.25</v>
      </c>
      <c r="AD12" s="331">
        <f>(AC12*N21)+AC12</f>
        <v>12155.0625</v>
      </c>
      <c r="AE12" s="332"/>
      <c r="AG12" s="159"/>
      <c r="AH12" s="159"/>
      <c r="AI12" s="159"/>
      <c r="AJ12" s="159"/>
    </row>
    <row r="13" spans="1:36" hidden="1" x14ac:dyDescent="0.35">
      <c r="F13" s="140" t="s">
        <v>320</v>
      </c>
      <c r="G13" s="140" t="s">
        <v>323</v>
      </c>
      <c r="H13" s="140">
        <v>3</v>
      </c>
      <c r="I13" s="140">
        <v>3</v>
      </c>
      <c r="M13" s="306" t="s">
        <v>444</v>
      </c>
      <c r="N13" s="306" t="s">
        <v>445</v>
      </c>
      <c r="P13" s="139">
        <v>25</v>
      </c>
      <c r="Q13" s="139">
        <v>4</v>
      </c>
      <c r="R13" s="139">
        <f>R10+R12</f>
        <v>24.723333333333329</v>
      </c>
      <c r="S13" s="139">
        <f>S10+S12</f>
        <v>3.8964444444444437</v>
      </c>
      <c r="V13" s="328" t="s">
        <v>281</v>
      </c>
      <c r="W13" s="334" t="s">
        <v>500</v>
      </c>
      <c r="X13" s="335" t="s">
        <v>273</v>
      </c>
      <c r="Y13" s="336">
        <f>Y11*Y12</f>
        <v>60000</v>
      </c>
      <c r="Z13" s="336">
        <f>Z11*Z12</f>
        <v>60000</v>
      </c>
      <c r="AA13" s="336">
        <f t="shared" ref="AA13:AD13" si="13">AA11*AA12</f>
        <v>78750</v>
      </c>
      <c r="AB13" s="336">
        <f t="shared" si="13"/>
        <v>103359.375</v>
      </c>
      <c r="AC13" s="336">
        <f t="shared" si="13"/>
        <v>69457.5</v>
      </c>
      <c r="AD13" s="336">
        <f t="shared" si="13"/>
        <v>72930.375</v>
      </c>
      <c r="AE13" s="332"/>
      <c r="AG13" s="159"/>
      <c r="AH13" s="159"/>
      <c r="AI13" s="159"/>
      <c r="AJ13" s="159"/>
    </row>
    <row r="14" spans="1:36" hidden="1" x14ac:dyDescent="0.35">
      <c r="B14" s="509" t="s">
        <v>140</v>
      </c>
      <c r="C14" s="509"/>
      <c r="F14" s="140" t="s">
        <v>321</v>
      </c>
      <c r="G14" s="140" t="s">
        <v>324</v>
      </c>
      <c r="H14" s="140">
        <v>3</v>
      </c>
      <c r="I14" s="140">
        <v>3</v>
      </c>
      <c r="M14" s="307" t="s">
        <v>446</v>
      </c>
      <c r="N14" s="148">
        <v>0.35</v>
      </c>
      <c r="P14" s="152"/>
      <c r="R14" s="139"/>
      <c r="V14" s="328" t="s">
        <v>282</v>
      </c>
      <c r="W14" s="333" t="s">
        <v>155</v>
      </c>
      <c r="X14" s="330" t="s">
        <v>266</v>
      </c>
      <c r="Y14" s="331">
        <v>2</v>
      </c>
      <c r="Z14" s="331">
        <v>2</v>
      </c>
      <c r="AA14" s="331">
        <f>Z14*$N$43+Z14</f>
        <v>2.5</v>
      </c>
      <c r="AB14" s="331">
        <f>AA14*$N$43+AA14</f>
        <v>3.125</v>
      </c>
      <c r="AC14" s="330">
        <v>2</v>
      </c>
      <c r="AD14" s="330">
        <v>2</v>
      </c>
      <c r="AE14" s="332"/>
      <c r="AG14" s="159"/>
      <c r="AH14" s="159"/>
      <c r="AI14" s="159"/>
      <c r="AJ14" s="159"/>
    </row>
    <row r="15" spans="1:36" hidden="1" x14ac:dyDescent="0.35">
      <c r="B15" s="152" t="s">
        <v>138</v>
      </c>
      <c r="C15" s="152">
        <v>5</v>
      </c>
      <c r="F15" s="306" t="s">
        <v>72</v>
      </c>
      <c r="G15" s="306"/>
      <c r="H15" s="306">
        <f>SUM(H13:H14)</f>
        <v>6</v>
      </c>
      <c r="I15" s="306">
        <f>SUM(I13:I14)</f>
        <v>6</v>
      </c>
      <c r="J15" s="306"/>
      <c r="M15" s="142" t="s">
        <v>432</v>
      </c>
      <c r="N15" s="148">
        <v>0.25</v>
      </c>
      <c r="P15" s="152"/>
      <c r="V15" s="328" t="s">
        <v>283</v>
      </c>
      <c r="W15" s="333" t="s">
        <v>501</v>
      </c>
      <c r="X15" s="330" t="s">
        <v>273</v>
      </c>
      <c r="Y15" s="331">
        <v>15000</v>
      </c>
      <c r="Z15" s="331">
        <v>15000</v>
      </c>
      <c r="AA15" s="337">
        <f>Z15*$N$21+Z15</f>
        <v>15750</v>
      </c>
      <c r="AB15" s="337">
        <f>AA15*$N$21+AA15</f>
        <v>16537.5</v>
      </c>
      <c r="AC15" s="337">
        <f>AB15*$N$21+AB15</f>
        <v>17364.375</v>
      </c>
      <c r="AD15" s="337">
        <f>AC15*$N$21+AC15</f>
        <v>18232.59375</v>
      </c>
      <c r="AE15" s="332"/>
      <c r="AG15" s="159"/>
      <c r="AH15" s="159"/>
      <c r="AI15" s="159"/>
      <c r="AJ15" s="159"/>
    </row>
    <row r="16" spans="1:36" hidden="1" x14ac:dyDescent="0.35">
      <c r="B16" s="152" t="s">
        <v>139</v>
      </c>
      <c r="C16" s="152">
        <v>5</v>
      </c>
      <c r="F16" s="511" t="s">
        <v>166</v>
      </c>
      <c r="G16" s="511"/>
      <c r="H16" s="140">
        <v>3</v>
      </c>
      <c r="I16" s="140">
        <v>2</v>
      </c>
      <c r="M16" s="307" t="s">
        <v>447</v>
      </c>
      <c r="N16" s="140">
        <v>500</v>
      </c>
      <c r="P16" s="152"/>
      <c r="V16" s="328" t="s">
        <v>284</v>
      </c>
      <c r="W16" s="334" t="s">
        <v>502</v>
      </c>
      <c r="X16" s="335" t="s">
        <v>273</v>
      </c>
      <c r="Y16" s="336">
        <f>Y14*Y15</f>
        <v>30000</v>
      </c>
      <c r="Z16" s="336">
        <f>Z14*Z15</f>
        <v>30000</v>
      </c>
      <c r="AA16" s="336">
        <f t="shared" ref="AA16:AD16" si="14">AA14*AA15</f>
        <v>39375</v>
      </c>
      <c r="AB16" s="336">
        <f t="shared" si="14"/>
        <v>51679.6875</v>
      </c>
      <c r="AC16" s="336">
        <f t="shared" si="14"/>
        <v>34728.75</v>
      </c>
      <c r="AD16" s="336">
        <f t="shared" si="14"/>
        <v>36465.1875</v>
      </c>
      <c r="AE16" s="338"/>
      <c r="AG16" s="159"/>
      <c r="AH16" s="159"/>
      <c r="AI16" s="159"/>
      <c r="AJ16" s="159"/>
    </row>
    <row r="17" spans="2:36" hidden="1" x14ac:dyDescent="0.35">
      <c r="B17" s="152" t="s">
        <v>141</v>
      </c>
      <c r="C17" s="152">
        <f>SUM(C15:C16)</f>
        <v>10</v>
      </c>
      <c r="F17" s="511" t="s">
        <v>167</v>
      </c>
      <c r="G17" s="511"/>
      <c r="H17" s="140">
        <v>12</v>
      </c>
      <c r="I17" s="140">
        <v>2</v>
      </c>
      <c r="M17" s="307" t="s">
        <v>448</v>
      </c>
      <c r="N17" s="148">
        <v>0.05</v>
      </c>
      <c r="P17" s="152"/>
      <c r="V17" s="328" t="s">
        <v>413</v>
      </c>
      <c r="W17" s="334" t="s">
        <v>485</v>
      </c>
      <c r="X17" s="335" t="s">
        <v>273</v>
      </c>
      <c r="Y17" s="336">
        <f>(Y13+Y16)*$N$34</f>
        <v>1080000</v>
      </c>
      <c r="Z17" s="336">
        <f>(Z13+Z16)*$N$34</f>
        <v>1080000</v>
      </c>
      <c r="AA17" s="336">
        <f t="shared" ref="AA17:AD17" si="15">(AA13+AA16)*$N$34</f>
        <v>1417500</v>
      </c>
      <c r="AB17" s="336">
        <f t="shared" si="15"/>
        <v>1860468.75</v>
      </c>
      <c r="AC17" s="336">
        <f t="shared" si="15"/>
        <v>1250235</v>
      </c>
      <c r="AD17" s="336">
        <f t="shared" si="15"/>
        <v>1312746.75</v>
      </c>
      <c r="AE17" s="338"/>
      <c r="AG17" s="159"/>
      <c r="AH17" s="159"/>
      <c r="AI17" s="159"/>
      <c r="AJ17" s="159"/>
    </row>
    <row r="18" spans="2:36" ht="29" hidden="1" customHeight="1" x14ac:dyDescent="0.35">
      <c r="B18" s="152" t="s">
        <v>152</v>
      </c>
      <c r="C18" s="170">
        <f>K10</f>
        <v>18816</v>
      </c>
      <c r="F18" s="511" t="s">
        <v>168</v>
      </c>
      <c r="G18" s="511"/>
      <c r="H18" s="140">
        <f>H17*H15</f>
        <v>72</v>
      </c>
      <c r="I18" s="140">
        <f>I17*I13</f>
        <v>6</v>
      </c>
      <c r="M18" s="307" t="s">
        <v>450</v>
      </c>
      <c r="N18" s="148">
        <v>0.2</v>
      </c>
      <c r="P18" s="152"/>
      <c r="V18" s="328" t="s">
        <v>414</v>
      </c>
      <c r="W18" s="333" t="s">
        <v>416</v>
      </c>
      <c r="X18" s="330" t="s">
        <v>266</v>
      </c>
      <c r="Y18" s="331">
        <v>9</v>
      </c>
      <c r="Z18" s="331">
        <v>9</v>
      </c>
      <c r="AA18" s="333">
        <v>9</v>
      </c>
      <c r="AB18" s="333">
        <v>9</v>
      </c>
      <c r="AC18" s="333">
        <v>9</v>
      </c>
      <c r="AD18" s="330">
        <v>9</v>
      </c>
      <c r="AE18" s="338"/>
      <c r="AG18" s="159"/>
      <c r="AH18" s="159"/>
      <c r="AI18" s="159"/>
      <c r="AJ18" s="159"/>
    </row>
    <row r="19" spans="2:36" ht="23" hidden="1" customHeight="1" x14ac:dyDescent="0.35">
      <c r="B19" s="152" t="s">
        <v>153</v>
      </c>
      <c r="C19" s="170">
        <f>C18/7*30</f>
        <v>80640</v>
      </c>
      <c r="F19" s="511" t="s">
        <v>110</v>
      </c>
      <c r="G19" s="511"/>
      <c r="H19" s="140">
        <v>5</v>
      </c>
      <c r="I19" s="140">
        <v>55</v>
      </c>
      <c r="M19" s="307" t="s">
        <v>451</v>
      </c>
      <c r="P19" s="152"/>
      <c r="V19" s="339" t="s">
        <v>275</v>
      </c>
      <c r="W19" s="340" t="s">
        <v>486</v>
      </c>
      <c r="X19" s="341" t="s">
        <v>273</v>
      </c>
      <c r="Y19" s="342">
        <f>(Y18*Y17)</f>
        <v>9720000</v>
      </c>
      <c r="Z19" s="342">
        <f>(Z18*Z17)</f>
        <v>9720000</v>
      </c>
      <c r="AA19" s="342">
        <f t="shared" ref="AA19:AD19" si="16">(AA18*AA17)</f>
        <v>12757500</v>
      </c>
      <c r="AB19" s="342">
        <f t="shared" si="16"/>
        <v>16744218.75</v>
      </c>
      <c r="AC19" s="342">
        <f t="shared" si="16"/>
        <v>11252115</v>
      </c>
      <c r="AD19" s="342">
        <f t="shared" si="16"/>
        <v>11814720.75</v>
      </c>
      <c r="AE19" s="343"/>
      <c r="AG19" s="159"/>
      <c r="AH19" s="159"/>
      <c r="AI19" s="159"/>
      <c r="AJ19" s="159"/>
    </row>
    <row r="20" spans="2:36" ht="22.5" hidden="1" customHeight="1" x14ac:dyDescent="0.35">
      <c r="B20" s="152" t="s">
        <v>146</v>
      </c>
      <c r="C20" s="166">
        <v>0.5</v>
      </c>
      <c r="F20" s="511" t="s">
        <v>111</v>
      </c>
      <c r="G20" s="511"/>
      <c r="H20" s="140">
        <f>H19*H18</f>
        <v>360</v>
      </c>
      <c r="I20" s="140">
        <f>I19*I18</f>
        <v>330</v>
      </c>
      <c r="M20" s="307" t="s">
        <v>349</v>
      </c>
      <c r="N20" s="148">
        <v>0.05</v>
      </c>
      <c r="P20" s="152"/>
      <c r="V20" s="344" t="s">
        <v>440</v>
      </c>
      <c r="W20" s="345" t="s">
        <v>439</v>
      </c>
      <c r="X20" s="346" t="s">
        <v>266</v>
      </c>
      <c r="Y20" s="345">
        <v>1</v>
      </c>
      <c r="Z20" s="345">
        <v>1</v>
      </c>
      <c r="AA20" s="345">
        <v>1</v>
      </c>
      <c r="AB20" s="345">
        <v>1</v>
      </c>
      <c r="AC20" s="345">
        <v>1</v>
      </c>
      <c r="AD20" s="345">
        <v>1</v>
      </c>
      <c r="AE20" s="347"/>
      <c r="AG20" s="159"/>
      <c r="AH20" s="159"/>
      <c r="AI20" s="159"/>
      <c r="AJ20" s="159"/>
    </row>
    <row r="21" spans="2:36" ht="24.5" hidden="1" customHeight="1" x14ac:dyDescent="0.35">
      <c r="B21" s="152" t="s">
        <v>147</v>
      </c>
      <c r="C21" s="170">
        <f>C19*C20</f>
        <v>40320</v>
      </c>
      <c r="F21" s="508" t="s">
        <v>112</v>
      </c>
      <c r="G21" s="508"/>
      <c r="H21" s="140">
        <f>H20*30</f>
        <v>10800</v>
      </c>
      <c r="I21" s="140">
        <f>I20*30</f>
        <v>9900</v>
      </c>
      <c r="M21" s="307" t="s">
        <v>449</v>
      </c>
      <c r="N21" s="148">
        <v>0.05</v>
      </c>
      <c r="P21" s="152"/>
      <c r="V21" s="328" t="s">
        <v>441</v>
      </c>
      <c r="W21" s="333" t="s">
        <v>490</v>
      </c>
      <c r="X21" s="330" t="s">
        <v>266</v>
      </c>
      <c r="Y21" s="333">
        <v>2</v>
      </c>
      <c r="Z21" s="333">
        <v>1</v>
      </c>
      <c r="AA21" s="333">
        <v>1</v>
      </c>
      <c r="AB21" s="333">
        <v>1</v>
      </c>
      <c r="AC21" s="333">
        <v>1</v>
      </c>
      <c r="AD21" s="333">
        <v>1</v>
      </c>
      <c r="AE21" s="332"/>
      <c r="AG21" s="159"/>
      <c r="AH21" s="159"/>
      <c r="AI21" s="159"/>
      <c r="AJ21" s="159"/>
    </row>
    <row r="22" spans="2:36" ht="24.5" hidden="1" customHeight="1" x14ac:dyDescent="0.35">
      <c r="B22" s="152" t="s">
        <v>148</v>
      </c>
      <c r="C22" s="152">
        <f>C17*C21</f>
        <v>403200</v>
      </c>
      <c r="F22" s="140" t="s">
        <v>76</v>
      </c>
      <c r="H22" s="140">
        <v>4000</v>
      </c>
      <c r="M22" s="307" t="s">
        <v>452</v>
      </c>
      <c r="N22" s="148">
        <v>0.05</v>
      </c>
      <c r="P22" s="152"/>
      <c r="V22" s="328" t="s">
        <v>442</v>
      </c>
      <c r="W22" s="333" t="s">
        <v>489</v>
      </c>
      <c r="X22" s="330" t="s">
        <v>266</v>
      </c>
      <c r="Y22" s="333">
        <v>1</v>
      </c>
      <c r="Z22" s="333">
        <v>1</v>
      </c>
      <c r="AA22" s="333">
        <v>1</v>
      </c>
      <c r="AB22" s="333">
        <v>1</v>
      </c>
      <c r="AC22" s="333">
        <v>1</v>
      </c>
      <c r="AD22" s="333">
        <v>1</v>
      </c>
      <c r="AE22" s="332"/>
      <c r="AG22" s="159"/>
      <c r="AH22" s="159"/>
      <c r="AI22" s="159"/>
      <c r="AJ22" s="159"/>
    </row>
    <row r="23" spans="2:36" hidden="1" x14ac:dyDescent="0.35">
      <c r="B23" s="152" t="s">
        <v>149</v>
      </c>
      <c r="C23" s="170" t="e">
        <f>#REF!</f>
        <v>#REF!</v>
      </c>
      <c r="F23" s="508" t="s">
        <v>80</v>
      </c>
      <c r="G23" s="508"/>
      <c r="I23" s="140">
        <f>SUM(H21:I22)</f>
        <v>24700</v>
      </c>
      <c r="M23" s="307" t="s">
        <v>453</v>
      </c>
      <c r="N23" s="148">
        <v>0.08</v>
      </c>
      <c r="P23" s="152"/>
      <c r="V23" s="328" t="s">
        <v>443</v>
      </c>
      <c r="W23" s="333" t="s">
        <v>492</v>
      </c>
      <c r="X23" s="330" t="s">
        <v>266</v>
      </c>
      <c r="Y23" s="333">
        <v>2</v>
      </c>
      <c r="Z23" s="333">
        <v>1</v>
      </c>
      <c r="AA23" s="333">
        <v>1</v>
      </c>
      <c r="AB23" s="333">
        <v>1</v>
      </c>
      <c r="AC23" s="333">
        <v>1</v>
      </c>
      <c r="AD23" s="333">
        <v>1</v>
      </c>
      <c r="AE23" s="332"/>
      <c r="AG23" s="159"/>
      <c r="AH23" s="159"/>
      <c r="AI23" s="159"/>
      <c r="AJ23" s="159"/>
    </row>
    <row r="24" spans="2:36" ht="39.5" hidden="1" customHeight="1" x14ac:dyDescent="0.35">
      <c r="B24" s="152" t="s">
        <v>150</v>
      </c>
      <c r="C24" s="170">
        <f>Y17</f>
        <v>1080000</v>
      </c>
      <c r="F24" s="508" t="s">
        <v>406</v>
      </c>
      <c r="G24" s="508"/>
      <c r="I24" s="140">
        <f>I23*S10</f>
        <v>71542.177777777761</v>
      </c>
      <c r="M24" s="307" t="s">
        <v>454</v>
      </c>
      <c r="N24" s="140">
        <v>3</v>
      </c>
      <c r="P24" s="152"/>
      <c r="V24" s="328" t="s">
        <v>491</v>
      </c>
      <c r="W24" s="333" t="s">
        <v>484</v>
      </c>
      <c r="X24" s="330" t="s">
        <v>273</v>
      </c>
      <c r="Y24" s="348">
        <v>800000</v>
      </c>
      <c r="Z24" s="348">
        <f>60000*$N$34</f>
        <v>720000</v>
      </c>
      <c r="AA24" s="348">
        <f t="shared" ref="AA24:AD27" si="17">(Z24*$N$23)+Z24</f>
        <v>777600</v>
      </c>
      <c r="AB24" s="348">
        <f t="shared" si="17"/>
        <v>839808</v>
      </c>
      <c r="AC24" s="348">
        <f t="shared" si="17"/>
        <v>906992.64000000001</v>
      </c>
      <c r="AD24" s="348">
        <f t="shared" si="17"/>
        <v>979552.05119999999</v>
      </c>
      <c r="AE24" s="332"/>
      <c r="AG24" s="159"/>
      <c r="AH24" s="159"/>
      <c r="AI24" s="159"/>
      <c r="AJ24" s="159"/>
    </row>
    <row r="25" spans="2:36" ht="39.5" hidden="1" customHeight="1" x14ac:dyDescent="0.35">
      <c r="B25" s="152" t="s">
        <v>151</v>
      </c>
      <c r="C25" s="170">
        <f>C42</f>
        <v>44380</v>
      </c>
      <c r="F25" s="508" t="s">
        <v>407</v>
      </c>
      <c r="G25" s="508"/>
      <c r="I25" s="140">
        <f>I23*R10</f>
        <v>536566.33333333326</v>
      </c>
      <c r="M25" s="307" t="s">
        <v>476</v>
      </c>
      <c r="N25" s="140">
        <v>20</v>
      </c>
      <c r="P25" s="152"/>
      <c r="V25" s="328" t="s">
        <v>495</v>
      </c>
      <c r="W25" s="333" t="s">
        <v>493</v>
      </c>
      <c r="X25" s="330" t="s">
        <v>273</v>
      </c>
      <c r="Y25" s="348">
        <v>300000</v>
      </c>
      <c r="Z25" s="348">
        <f>25000*$N$34</f>
        <v>300000</v>
      </c>
      <c r="AA25" s="348">
        <f t="shared" si="17"/>
        <v>324000</v>
      </c>
      <c r="AB25" s="348">
        <f t="shared" si="17"/>
        <v>349920</v>
      </c>
      <c r="AC25" s="348">
        <f t="shared" si="17"/>
        <v>377913.59999999998</v>
      </c>
      <c r="AD25" s="348">
        <f t="shared" si="17"/>
        <v>408146.68799999997</v>
      </c>
      <c r="AE25" s="332"/>
      <c r="AG25" s="159"/>
      <c r="AH25" s="159"/>
      <c r="AI25" s="159"/>
      <c r="AJ25" s="159"/>
    </row>
    <row r="26" spans="2:36" hidden="1" x14ac:dyDescent="0.35">
      <c r="B26" s="153"/>
      <c r="C26" s="171" t="e">
        <f>SUM(C22:C25)</f>
        <v>#REF!</v>
      </c>
      <c r="M26" s="307" t="s">
        <v>474</v>
      </c>
      <c r="N26" s="140">
        <v>7</v>
      </c>
      <c r="V26" s="328" t="s">
        <v>495</v>
      </c>
      <c r="W26" s="333" t="s">
        <v>560</v>
      </c>
      <c r="X26" s="330" t="s">
        <v>273</v>
      </c>
      <c r="Y26" s="349">
        <v>800000</v>
      </c>
      <c r="Z26" s="349">
        <f>50000*$N$34</f>
        <v>600000</v>
      </c>
      <c r="AA26" s="348">
        <f t="shared" si="17"/>
        <v>648000</v>
      </c>
      <c r="AB26" s="348">
        <f t="shared" si="17"/>
        <v>699840</v>
      </c>
      <c r="AC26" s="348">
        <f t="shared" si="17"/>
        <v>755827.19999999995</v>
      </c>
      <c r="AD26" s="348">
        <f t="shared" si="17"/>
        <v>816293.37599999993</v>
      </c>
      <c r="AE26" s="332"/>
      <c r="AG26" s="159"/>
      <c r="AH26" s="159"/>
      <c r="AI26" s="159"/>
      <c r="AJ26" s="159"/>
    </row>
    <row r="27" spans="2:36" ht="26" hidden="1" x14ac:dyDescent="0.35">
      <c r="M27" s="140" t="s">
        <v>455</v>
      </c>
      <c r="N27" s="148">
        <v>0.05</v>
      </c>
      <c r="V27" s="328" t="s">
        <v>496</v>
      </c>
      <c r="W27" s="333" t="s">
        <v>494</v>
      </c>
      <c r="X27" s="330" t="s">
        <v>273</v>
      </c>
      <c r="Y27" s="333">
        <v>400000</v>
      </c>
      <c r="Z27" s="333">
        <f>25000*$N$34</f>
        <v>300000</v>
      </c>
      <c r="AA27" s="348">
        <f t="shared" si="17"/>
        <v>324000</v>
      </c>
      <c r="AB27" s="348">
        <f t="shared" si="17"/>
        <v>349920</v>
      </c>
      <c r="AC27" s="348">
        <f t="shared" si="17"/>
        <v>377913.59999999998</v>
      </c>
      <c r="AD27" s="348">
        <f t="shared" si="17"/>
        <v>408146.68799999997</v>
      </c>
      <c r="AE27" s="332"/>
      <c r="AG27" s="159"/>
      <c r="AH27" s="159"/>
      <c r="AI27" s="159"/>
      <c r="AJ27" s="159"/>
    </row>
    <row r="28" spans="2:36" ht="23.5" hidden="1" customHeight="1" x14ac:dyDescent="0.35">
      <c r="B28" s="510" t="s">
        <v>125</v>
      </c>
      <c r="C28" s="510"/>
      <c r="F28" s="512" t="s">
        <v>85</v>
      </c>
      <c r="G28" s="512"/>
      <c r="M28" s="307" t="s">
        <v>347</v>
      </c>
      <c r="N28" s="148">
        <v>0.1</v>
      </c>
      <c r="V28" s="339" t="s">
        <v>275</v>
      </c>
      <c r="W28" s="350" t="s">
        <v>487</v>
      </c>
      <c r="X28" s="351" t="s">
        <v>273</v>
      </c>
      <c r="Y28" s="352">
        <f>Y24*Y20+Y25*Y21+Y26*Y22+Y27*Y23</f>
        <v>3000000</v>
      </c>
      <c r="Z28" s="352">
        <f>SUM(Z24:Z27)</f>
        <v>1920000</v>
      </c>
      <c r="AA28" s="352">
        <f t="shared" ref="AA28:AD28" si="18">SUM(AA24:AA27)</f>
        <v>2073600</v>
      </c>
      <c r="AB28" s="352">
        <f t="shared" si="18"/>
        <v>2239488</v>
      </c>
      <c r="AC28" s="352">
        <f t="shared" si="18"/>
        <v>2418647.04</v>
      </c>
      <c r="AD28" s="352">
        <f t="shared" si="18"/>
        <v>2612138.8032</v>
      </c>
      <c r="AE28" s="353"/>
      <c r="AG28" s="159"/>
      <c r="AH28" s="159"/>
      <c r="AI28" s="159"/>
      <c r="AJ28" s="159"/>
    </row>
    <row r="29" spans="2:36" hidden="1" x14ac:dyDescent="0.35">
      <c r="B29" s="152" t="s">
        <v>169</v>
      </c>
      <c r="C29" s="153">
        <v>900000</v>
      </c>
      <c r="F29" s="152" t="s">
        <v>165</v>
      </c>
      <c r="G29" s="152">
        <v>450</v>
      </c>
      <c r="M29" s="307" t="s">
        <v>475</v>
      </c>
      <c r="N29" s="140">
        <v>10</v>
      </c>
      <c r="V29" s="324" t="s">
        <v>285</v>
      </c>
      <c r="W29" s="325" t="s">
        <v>562</v>
      </c>
      <c r="X29" s="326"/>
      <c r="Y29" s="325"/>
      <c r="Z29" s="325"/>
      <c r="AA29" s="325"/>
      <c r="AB29" s="325"/>
      <c r="AC29" s="325"/>
      <c r="AD29" s="325"/>
      <c r="AE29" s="327"/>
      <c r="AG29" s="159"/>
      <c r="AH29" s="159"/>
      <c r="AI29" s="159"/>
      <c r="AJ29" s="159"/>
    </row>
    <row r="30" spans="2:36" ht="26" hidden="1" x14ac:dyDescent="0.35">
      <c r="B30" s="152" t="s">
        <v>170</v>
      </c>
      <c r="C30" s="152">
        <v>120</v>
      </c>
      <c r="F30" s="152" t="s">
        <v>93</v>
      </c>
      <c r="G30" s="166">
        <v>0.15</v>
      </c>
      <c r="M30" s="307" t="s">
        <v>477</v>
      </c>
      <c r="N30" s="140">
        <v>5</v>
      </c>
      <c r="V30" s="328" t="s">
        <v>286</v>
      </c>
      <c r="W30" s="329" t="s">
        <v>561</v>
      </c>
      <c r="X30" s="354" t="s">
        <v>273</v>
      </c>
      <c r="Y30" s="331">
        <v>800000</v>
      </c>
      <c r="Z30" s="331">
        <f t="shared" ref="Z30:Z36" si="19">Y30</f>
        <v>800000</v>
      </c>
      <c r="AA30" s="355">
        <v>0</v>
      </c>
      <c r="AB30" s="356">
        <v>0</v>
      </c>
      <c r="AC30" s="356">
        <v>0</v>
      </c>
      <c r="AD30" s="357">
        <v>0</v>
      </c>
      <c r="AE30" s="338"/>
      <c r="AG30" s="159"/>
      <c r="AH30" s="159"/>
      <c r="AI30" s="159"/>
      <c r="AJ30" s="159"/>
    </row>
    <row r="31" spans="2:36" hidden="1" x14ac:dyDescent="0.35">
      <c r="B31" s="152" t="s">
        <v>171</v>
      </c>
      <c r="C31" s="152">
        <v>2</v>
      </c>
      <c r="F31" s="152" t="s">
        <v>94</v>
      </c>
      <c r="G31" s="152">
        <v>3</v>
      </c>
      <c r="M31" s="307" t="s">
        <v>479</v>
      </c>
      <c r="N31" s="140">
        <v>5</v>
      </c>
      <c r="V31" s="328" t="s">
        <v>287</v>
      </c>
      <c r="W31" s="329" t="s">
        <v>120</v>
      </c>
      <c r="X31" s="354" t="s">
        <v>273</v>
      </c>
      <c r="Y31" s="331">
        <v>800000</v>
      </c>
      <c r="Z31" s="331">
        <f t="shared" si="19"/>
        <v>800000</v>
      </c>
      <c r="AA31" s="355">
        <v>0</v>
      </c>
      <c r="AB31" s="356">
        <v>0</v>
      </c>
      <c r="AC31" s="356">
        <v>0</v>
      </c>
      <c r="AD31" s="357">
        <v>0</v>
      </c>
      <c r="AE31" s="338"/>
      <c r="AG31" s="159"/>
      <c r="AH31" s="159"/>
      <c r="AI31" s="159"/>
      <c r="AJ31" s="159"/>
    </row>
    <row r="32" spans="2:36" ht="26" hidden="1" x14ac:dyDescent="0.35">
      <c r="B32" s="152" t="s">
        <v>172</v>
      </c>
      <c r="C32" s="152">
        <f>C29*C31/C30</f>
        <v>15000</v>
      </c>
      <c r="F32" s="163" t="s">
        <v>95</v>
      </c>
      <c r="G32" s="152">
        <v>15</v>
      </c>
      <c r="M32" s="307" t="s">
        <v>480</v>
      </c>
      <c r="N32" s="140">
        <v>1</v>
      </c>
      <c r="V32" s="328" t="s">
        <v>288</v>
      </c>
      <c r="W32" s="329" t="s">
        <v>119</v>
      </c>
      <c r="X32" s="354" t="s">
        <v>273</v>
      </c>
      <c r="Y32" s="331">
        <v>400000</v>
      </c>
      <c r="Z32" s="331">
        <f t="shared" si="19"/>
        <v>400000</v>
      </c>
      <c r="AA32" s="355">
        <v>0</v>
      </c>
      <c r="AB32" s="356">
        <v>0</v>
      </c>
      <c r="AC32" s="356">
        <v>0</v>
      </c>
      <c r="AD32" s="357">
        <v>0</v>
      </c>
      <c r="AE32" s="338"/>
      <c r="AG32" s="159"/>
      <c r="AH32" s="159"/>
      <c r="AI32" s="159"/>
      <c r="AJ32" s="159"/>
    </row>
    <row r="33" spans="2:39" hidden="1" x14ac:dyDescent="0.35">
      <c r="B33" s="152" t="s">
        <v>126</v>
      </c>
      <c r="C33" s="152">
        <v>150</v>
      </c>
      <c r="F33" s="152" t="s">
        <v>96</v>
      </c>
      <c r="G33" s="152">
        <f>G31*4</f>
        <v>12</v>
      </c>
      <c r="M33" s="307" t="s">
        <v>482</v>
      </c>
      <c r="N33" s="140">
        <v>7</v>
      </c>
      <c r="V33" s="328" t="s">
        <v>289</v>
      </c>
      <c r="W33" s="329" t="s">
        <v>121</v>
      </c>
      <c r="X33" s="330" t="s">
        <v>266</v>
      </c>
      <c r="Y33" s="331">
        <v>5</v>
      </c>
      <c r="Z33" s="331">
        <f t="shared" si="19"/>
        <v>5</v>
      </c>
      <c r="AA33" s="355">
        <v>0</v>
      </c>
      <c r="AB33" s="356">
        <v>0</v>
      </c>
      <c r="AC33" s="356">
        <v>0</v>
      </c>
      <c r="AD33" s="357">
        <v>0</v>
      </c>
      <c r="AE33" s="338"/>
      <c r="AG33" s="159"/>
      <c r="AH33" s="159"/>
      <c r="AI33" s="159"/>
      <c r="AJ33" s="159"/>
    </row>
    <row r="34" spans="2:39" hidden="1" x14ac:dyDescent="0.35">
      <c r="B34" s="152" t="s">
        <v>127</v>
      </c>
      <c r="C34" s="152">
        <v>166</v>
      </c>
      <c r="F34" s="152" t="s">
        <v>97</v>
      </c>
      <c r="G34" s="152">
        <f>G33*H15</f>
        <v>72</v>
      </c>
      <c r="M34" s="307" t="s">
        <v>483</v>
      </c>
      <c r="N34" s="140">
        <v>12</v>
      </c>
      <c r="V34" s="328" t="s">
        <v>290</v>
      </c>
      <c r="W34" s="329" t="s">
        <v>122</v>
      </c>
      <c r="X34" s="354" t="s">
        <v>273</v>
      </c>
      <c r="Y34" s="331">
        <v>300000</v>
      </c>
      <c r="Z34" s="331">
        <f t="shared" si="19"/>
        <v>300000</v>
      </c>
      <c r="AA34" s="355">
        <v>0</v>
      </c>
      <c r="AB34" s="356">
        <v>0</v>
      </c>
      <c r="AC34" s="356">
        <v>0</v>
      </c>
      <c r="AD34" s="357">
        <v>0</v>
      </c>
      <c r="AE34" s="332"/>
      <c r="AG34" s="159"/>
      <c r="AH34" s="159"/>
      <c r="AI34" s="159"/>
      <c r="AJ34" s="159"/>
    </row>
    <row r="35" spans="2:39" hidden="1" x14ac:dyDescent="0.35">
      <c r="B35" s="152" t="s">
        <v>128</v>
      </c>
      <c r="C35" s="152">
        <v>120</v>
      </c>
      <c r="M35" s="307" t="s">
        <v>503</v>
      </c>
      <c r="N35" s="140">
        <v>150500</v>
      </c>
      <c r="V35" s="328" t="s">
        <v>291</v>
      </c>
      <c r="W35" s="329" t="s">
        <v>123</v>
      </c>
      <c r="X35" s="354" t="s">
        <v>273</v>
      </c>
      <c r="Y35" s="331">
        <f>Y33*Y34</f>
        <v>1500000</v>
      </c>
      <c r="Z35" s="331">
        <f t="shared" si="19"/>
        <v>1500000</v>
      </c>
      <c r="AA35" s="331">
        <f t="shared" ref="AA35:AD35" si="20">AA33*AA34</f>
        <v>0</v>
      </c>
      <c r="AB35" s="331">
        <f t="shared" si="20"/>
        <v>0</v>
      </c>
      <c r="AC35" s="331">
        <f t="shared" si="20"/>
        <v>0</v>
      </c>
      <c r="AD35" s="331">
        <f t="shared" si="20"/>
        <v>0</v>
      </c>
      <c r="AE35" s="332"/>
      <c r="AG35" s="159"/>
      <c r="AH35" s="159"/>
      <c r="AI35" s="159"/>
      <c r="AJ35" s="159"/>
    </row>
    <row r="36" spans="2:39" hidden="1" x14ac:dyDescent="0.35">
      <c r="B36" s="152" t="s">
        <v>129</v>
      </c>
      <c r="C36" s="175">
        <f>C33-C35</f>
        <v>30</v>
      </c>
      <c r="M36" s="307" t="s">
        <v>516</v>
      </c>
      <c r="N36" s="140">
        <v>3</v>
      </c>
      <c r="V36" s="328" t="s">
        <v>292</v>
      </c>
      <c r="W36" s="329" t="s">
        <v>522</v>
      </c>
      <c r="X36" s="358" t="s">
        <v>266</v>
      </c>
      <c r="Y36" s="331">
        <v>3</v>
      </c>
      <c r="Z36" s="331">
        <f t="shared" si="19"/>
        <v>3</v>
      </c>
      <c r="AA36" s="355">
        <v>0</v>
      </c>
      <c r="AB36" s="356">
        <v>0</v>
      </c>
      <c r="AC36" s="356">
        <v>0</v>
      </c>
      <c r="AD36" s="357">
        <v>0</v>
      </c>
      <c r="AE36" s="332"/>
      <c r="AG36" s="159"/>
      <c r="AH36" s="159"/>
      <c r="AI36" s="159"/>
      <c r="AJ36" s="159"/>
    </row>
    <row r="37" spans="2:39" hidden="1" x14ac:dyDescent="0.35">
      <c r="B37" s="152" t="s">
        <v>130</v>
      </c>
      <c r="C37" s="153">
        <f>C36*C34</f>
        <v>4980</v>
      </c>
      <c r="M37" s="307" t="s">
        <v>519</v>
      </c>
      <c r="N37" s="140">
        <v>5</v>
      </c>
      <c r="V37" s="328"/>
      <c r="W37" s="329"/>
      <c r="X37" s="354"/>
      <c r="Y37" s="331"/>
      <c r="Z37" s="331"/>
      <c r="AA37" s="331"/>
      <c r="AB37" s="331"/>
      <c r="AC37" s="331">
        <f t="shared" ref="AC37:AD37" si="21">$N$35*AC36</f>
        <v>0</v>
      </c>
      <c r="AD37" s="331">
        <f t="shared" si="21"/>
        <v>0</v>
      </c>
      <c r="AE37" s="332"/>
      <c r="AG37" s="159"/>
      <c r="AH37" s="159"/>
      <c r="AI37" s="159"/>
      <c r="AJ37" s="159"/>
    </row>
    <row r="38" spans="2:39" hidden="1" x14ac:dyDescent="0.35">
      <c r="B38" s="152" t="s">
        <v>131</v>
      </c>
      <c r="C38" s="153">
        <v>10000</v>
      </c>
      <c r="M38" s="307" t="s">
        <v>524</v>
      </c>
      <c r="N38" s="148">
        <v>0.1</v>
      </c>
      <c r="V38" s="328" t="s">
        <v>293</v>
      </c>
      <c r="W38" s="334" t="s">
        <v>504</v>
      </c>
      <c r="X38" s="335" t="s">
        <v>273</v>
      </c>
      <c r="Y38" s="336">
        <f>Y30+Y31+Y32+Y35+Y37</f>
        <v>3500000</v>
      </c>
      <c r="Z38" s="336">
        <f>Z30+Z31+Z32+Z35+Z37</f>
        <v>3500000</v>
      </c>
      <c r="AA38" s="336">
        <f>Z38-Z124</f>
        <v>2800000</v>
      </c>
      <c r="AB38" s="336">
        <f>AA38-AA124</f>
        <v>2240000</v>
      </c>
      <c r="AC38" s="336">
        <f t="shared" ref="AC38:AD38" si="22">AC30+AC31+AC32+AC35+AC37</f>
        <v>0</v>
      </c>
      <c r="AD38" s="336">
        <f t="shared" si="22"/>
        <v>0</v>
      </c>
      <c r="AE38" s="338"/>
      <c r="AG38" s="159"/>
      <c r="AH38" s="159"/>
      <c r="AI38" s="159"/>
      <c r="AJ38" s="159"/>
    </row>
    <row r="39" spans="2:39" hidden="1" x14ac:dyDescent="0.35">
      <c r="B39" s="152" t="s">
        <v>132</v>
      </c>
      <c r="C39" s="152">
        <v>80</v>
      </c>
      <c r="M39" s="307" t="s">
        <v>525</v>
      </c>
      <c r="N39" s="148">
        <v>0.04</v>
      </c>
      <c r="V39" s="328" t="s">
        <v>415</v>
      </c>
      <c r="W39" s="329" t="s">
        <v>416</v>
      </c>
      <c r="X39" s="354" t="s">
        <v>266</v>
      </c>
      <c r="Y39" s="331">
        <v>9</v>
      </c>
      <c r="Z39" s="331">
        <v>9</v>
      </c>
      <c r="AA39" s="355">
        <v>0</v>
      </c>
      <c r="AB39" s="356">
        <v>0</v>
      </c>
      <c r="AC39" s="356">
        <v>0</v>
      </c>
      <c r="AD39" s="357">
        <v>0</v>
      </c>
      <c r="AE39" s="359"/>
      <c r="AG39" s="159"/>
      <c r="AH39" s="159"/>
      <c r="AI39" s="159"/>
      <c r="AJ39" s="159"/>
    </row>
    <row r="40" spans="2:39" hidden="1" x14ac:dyDescent="0.35">
      <c r="B40" s="152" t="s">
        <v>133</v>
      </c>
      <c r="C40" s="152">
        <v>6</v>
      </c>
      <c r="D40" s="140">
        <v>30</v>
      </c>
      <c r="M40" s="307" t="s">
        <v>526</v>
      </c>
      <c r="N40" s="148">
        <v>0.04</v>
      </c>
      <c r="V40" s="339" t="s">
        <v>285</v>
      </c>
      <c r="W40" s="340" t="s">
        <v>505</v>
      </c>
      <c r="X40" s="341" t="s">
        <v>273</v>
      </c>
      <c r="Y40" s="342">
        <f>Y38*Y39</f>
        <v>31500000</v>
      </c>
      <c r="Z40" s="342">
        <f>Z38*Z39</f>
        <v>31500000</v>
      </c>
      <c r="AA40" s="342">
        <f>Z40-Z103</f>
        <v>25200000</v>
      </c>
      <c r="AB40" s="342">
        <f>AA40-AA103</f>
        <v>20160000</v>
      </c>
      <c r="AC40" s="342">
        <f t="shared" ref="AC40:AD40" si="23">AC38*AC39</f>
        <v>0</v>
      </c>
      <c r="AD40" s="342">
        <f t="shared" si="23"/>
        <v>0</v>
      </c>
      <c r="AE40" s="343"/>
      <c r="AG40" s="159"/>
      <c r="AH40" s="159"/>
      <c r="AI40" s="159"/>
      <c r="AJ40" s="159"/>
    </row>
    <row r="41" spans="2:39" hidden="1" x14ac:dyDescent="0.35">
      <c r="B41" s="152" t="s">
        <v>134</v>
      </c>
      <c r="C41" s="153">
        <f>C39*C40*30</f>
        <v>14400</v>
      </c>
      <c r="M41" s="140" t="s">
        <v>533</v>
      </c>
      <c r="N41" s="148">
        <v>0.05</v>
      </c>
      <c r="V41" s="324" t="s">
        <v>294</v>
      </c>
      <c r="W41" s="325" t="s">
        <v>311</v>
      </c>
      <c r="X41" s="326"/>
      <c r="Y41" s="325"/>
      <c r="Z41" s="325"/>
      <c r="AA41" s="325"/>
      <c r="AB41" s="325"/>
      <c r="AC41" s="325"/>
      <c r="AD41" s="325"/>
      <c r="AE41" s="327"/>
      <c r="AG41" s="159"/>
      <c r="AH41" s="159"/>
      <c r="AI41" s="159"/>
      <c r="AJ41" s="159"/>
    </row>
    <row r="42" spans="2:39" ht="24.5" hidden="1" customHeight="1" x14ac:dyDescent="0.35">
      <c r="B42" s="153" t="s">
        <v>173</v>
      </c>
      <c r="C42" s="153">
        <f>C32+C37+C38+C41</f>
        <v>44380</v>
      </c>
      <c r="M42" s="140" t="s">
        <v>534</v>
      </c>
      <c r="N42" s="148">
        <v>0.25</v>
      </c>
      <c r="V42" s="328" t="s">
        <v>296</v>
      </c>
      <c r="W42" s="329" t="s">
        <v>303</v>
      </c>
      <c r="X42" s="354" t="s">
        <v>273</v>
      </c>
      <c r="Y42" s="331">
        <v>130000</v>
      </c>
      <c r="Z42" s="331">
        <f t="shared" ref="Z42:AB48" si="24">Y42</f>
        <v>130000</v>
      </c>
      <c r="AA42" s="331"/>
      <c r="AB42" s="331"/>
      <c r="AC42" s="356">
        <v>0</v>
      </c>
      <c r="AD42" s="357">
        <v>0</v>
      </c>
      <c r="AE42" s="332"/>
      <c r="AG42" s="159"/>
      <c r="AH42" s="159"/>
      <c r="AI42" s="159"/>
      <c r="AJ42" s="159"/>
    </row>
    <row r="43" spans="2:39" hidden="1" x14ac:dyDescent="0.35">
      <c r="B43" s="152"/>
      <c r="C43" s="152"/>
      <c r="M43" s="140" t="s">
        <v>535</v>
      </c>
      <c r="N43" s="148">
        <v>0.25</v>
      </c>
      <c r="V43" s="328" t="s">
        <v>302</v>
      </c>
      <c r="W43" s="329" t="s">
        <v>305</v>
      </c>
      <c r="X43" s="354" t="s">
        <v>530</v>
      </c>
      <c r="Y43" s="331">
        <v>3</v>
      </c>
      <c r="Z43" s="331">
        <f t="shared" si="24"/>
        <v>3</v>
      </c>
      <c r="AA43" s="331">
        <f t="shared" si="24"/>
        <v>3</v>
      </c>
      <c r="AB43" s="331">
        <f t="shared" si="24"/>
        <v>3</v>
      </c>
      <c r="AC43" s="356">
        <v>0</v>
      </c>
      <c r="AD43" s="357">
        <v>0</v>
      </c>
      <c r="AE43" s="332"/>
      <c r="AG43" s="159"/>
      <c r="AH43" s="159"/>
      <c r="AI43" s="159"/>
      <c r="AJ43" s="159"/>
    </row>
    <row r="44" spans="2:39" hidden="1" x14ac:dyDescent="0.35">
      <c r="M44" s="140" t="s">
        <v>565</v>
      </c>
      <c r="N44" s="140">
        <v>5</v>
      </c>
      <c r="V44" s="328" t="s">
        <v>297</v>
      </c>
      <c r="W44" s="329" t="s">
        <v>306</v>
      </c>
      <c r="X44" s="354" t="s">
        <v>304</v>
      </c>
      <c r="Y44" s="348">
        <v>3</v>
      </c>
      <c r="Z44" s="348">
        <f t="shared" si="24"/>
        <v>3</v>
      </c>
      <c r="AA44" s="348"/>
      <c r="AB44" s="348"/>
      <c r="AC44" s="356">
        <v>0</v>
      </c>
      <c r="AD44" s="357">
        <v>0</v>
      </c>
      <c r="AE44" s="332"/>
      <c r="AG44" s="159"/>
      <c r="AH44" s="159"/>
      <c r="AI44" s="159"/>
      <c r="AJ44" s="159"/>
    </row>
    <row r="45" spans="2:39" hidden="1" x14ac:dyDescent="0.35">
      <c r="V45" s="328" t="s">
        <v>298</v>
      </c>
      <c r="W45" s="329" t="s">
        <v>100</v>
      </c>
      <c r="X45" s="354" t="s">
        <v>266</v>
      </c>
      <c r="Y45" s="348">
        <f>Y43/Y44</f>
        <v>1</v>
      </c>
      <c r="Z45" s="348">
        <f t="shared" si="24"/>
        <v>1</v>
      </c>
      <c r="AA45" s="348"/>
      <c r="AB45" s="348"/>
      <c r="AC45" s="356">
        <v>0</v>
      </c>
      <c r="AD45" s="357">
        <v>0</v>
      </c>
      <c r="AE45" s="332"/>
      <c r="AG45" s="159"/>
      <c r="AH45" s="159"/>
      <c r="AI45" s="159"/>
      <c r="AJ45" s="159"/>
    </row>
    <row r="46" spans="2:39" hidden="1" x14ac:dyDescent="0.35">
      <c r="V46" s="328" t="s">
        <v>299</v>
      </c>
      <c r="W46" s="329" t="s">
        <v>307</v>
      </c>
      <c r="X46" s="354" t="s">
        <v>273</v>
      </c>
      <c r="Y46" s="348">
        <v>13000</v>
      </c>
      <c r="Z46" s="348">
        <f t="shared" si="24"/>
        <v>13000</v>
      </c>
      <c r="AA46" s="348"/>
      <c r="AB46" s="348"/>
      <c r="AC46" s="356">
        <v>0</v>
      </c>
      <c r="AD46" s="357">
        <v>0</v>
      </c>
      <c r="AE46" s="332"/>
      <c r="AG46" s="159"/>
      <c r="AH46" s="159"/>
      <c r="AI46" s="159"/>
      <c r="AJ46" s="159"/>
    </row>
    <row r="47" spans="2:39" hidden="1" x14ac:dyDescent="0.35">
      <c r="B47" s="152"/>
      <c r="C47" s="152"/>
      <c r="V47" s="328" t="s">
        <v>300</v>
      </c>
      <c r="W47" s="329" t="s">
        <v>308</v>
      </c>
      <c r="X47" s="354" t="s">
        <v>273</v>
      </c>
      <c r="Y47" s="348">
        <v>6500</v>
      </c>
      <c r="Z47" s="348">
        <f t="shared" si="24"/>
        <v>6500</v>
      </c>
      <c r="AA47" s="348"/>
      <c r="AB47" s="348"/>
      <c r="AC47" s="356">
        <v>0</v>
      </c>
      <c r="AD47" s="357">
        <v>0</v>
      </c>
      <c r="AE47" s="332"/>
      <c r="AG47" s="159"/>
      <c r="AH47" s="159"/>
      <c r="AI47" s="159"/>
      <c r="AJ47" s="159"/>
      <c r="AM47" s="152" t="s">
        <v>523</v>
      </c>
    </row>
    <row r="48" spans="2:39" hidden="1" x14ac:dyDescent="0.35">
      <c r="B48" s="152"/>
      <c r="C48" s="152"/>
      <c r="V48" s="328" t="s">
        <v>301</v>
      </c>
      <c r="W48" s="329" t="s">
        <v>309</v>
      </c>
      <c r="X48" s="354" t="s">
        <v>273</v>
      </c>
      <c r="Y48" s="348">
        <v>1000</v>
      </c>
      <c r="Z48" s="348">
        <f t="shared" si="24"/>
        <v>1000</v>
      </c>
      <c r="AA48" s="348"/>
      <c r="AB48" s="348"/>
      <c r="AC48" s="356">
        <v>0</v>
      </c>
      <c r="AD48" s="357">
        <v>0</v>
      </c>
      <c r="AE48" s="332"/>
      <c r="AG48" s="159"/>
      <c r="AH48" s="159"/>
      <c r="AI48" s="159"/>
      <c r="AJ48" s="159"/>
    </row>
    <row r="49" spans="2:36" hidden="1" x14ac:dyDescent="0.35">
      <c r="V49" s="360" t="s">
        <v>294</v>
      </c>
      <c r="W49" s="361" t="s">
        <v>527</v>
      </c>
      <c r="X49" s="362" t="s">
        <v>273</v>
      </c>
      <c r="Y49" s="363">
        <f>Y42+Y46+Y47+Y48</f>
        <v>150500</v>
      </c>
      <c r="Z49" s="363">
        <f>Z42+Z46+Z47+Z48</f>
        <v>150500</v>
      </c>
      <c r="AA49" s="363">
        <f t="shared" ref="AA49:AD49" si="25">AA42+AA46+AA47+AA48</f>
        <v>0</v>
      </c>
      <c r="AB49" s="363">
        <f t="shared" si="25"/>
        <v>0</v>
      </c>
      <c r="AC49" s="363">
        <f t="shared" si="25"/>
        <v>0</v>
      </c>
      <c r="AD49" s="363">
        <f t="shared" si="25"/>
        <v>0</v>
      </c>
      <c r="AE49" s="332"/>
      <c r="AG49" s="159"/>
      <c r="AH49" s="159"/>
      <c r="AI49" s="159"/>
      <c r="AJ49" s="159"/>
    </row>
    <row r="50" spans="2:36" s="153" customFormat="1" hidden="1" x14ac:dyDescent="0.35">
      <c r="B50" s="306"/>
      <c r="C50" s="306"/>
      <c r="D50" s="306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V50" s="328" t="s">
        <v>294</v>
      </c>
      <c r="W50" s="334" t="s">
        <v>528</v>
      </c>
      <c r="X50" s="335" t="s">
        <v>273</v>
      </c>
      <c r="Y50" s="336">
        <f>$Q$13*Y$49</f>
        <v>602000</v>
      </c>
      <c r="Z50" s="336">
        <f>$Q$13*Z$49</f>
        <v>602000</v>
      </c>
      <c r="AA50" s="336">
        <f>Z50-Z122</f>
        <v>401333.33333333337</v>
      </c>
      <c r="AB50" s="336">
        <f>AA50-AA122</f>
        <v>267555.55555555562</v>
      </c>
      <c r="AC50" s="336"/>
      <c r="AD50" s="336"/>
      <c r="AE50" s="338"/>
      <c r="AG50" s="413"/>
      <c r="AH50" s="413"/>
      <c r="AI50" s="413"/>
      <c r="AJ50" s="413"/>
    </row>
    <row r="51" spans="2:36" s="153" customFormat="1" hidden="1" x14ac:dyDescent="0.35">
      <c r="B51" s="306"/>
      <c r="C51" s="306"/>
      <c r="D51" s="306"/>
      <c r="E51" s="306"/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V51" s="339" t="s">
        <v>294</v>
      </c>
      <c r="W51" s="340" t="s">
        <v>529</v>
      </c>
      <c r="X51" s="341" t="s">
        <v>273</v>
      </c>
      <c r="Y51" s="342">
        <f>$P$13*Y$49</f>
        <v>3762500</v>
      </c>
      <c r="Z51" s="342">
        <f>$P$13*Z$49</f>
        <v>3762500</v>
      </c>
      <c r="AA51" s="342">
        <f>Z51-Z101</f>
        <v>2508333.333333333</v>
      </c>
      <c r="AB51" s="342">
        <f>AA51-AA101</f>
        <v>1254166.6666666663</v>
      </c>
      <c r="AC51" s="342"/>
      <c r="AD51" s="342"/>
      <c r="AE51" s="343"/>
      <c r="AG51" s="413"/>
      <c r="AH51" s="413"/>
      <c r="AI51" s="413"/>
      <c r="AJ51" s="413"/>
    </row>
    <row r="52" spans="2:36" ht="21" hidden="1" customHeight="1" x14ac:dyDescent="0.35">
      <c r="V52" s="324" t="s">
        <v>328</v>
      </c>
      <c r="W52" s="325" t="s">
        <v>329</v>
      </c>
      <c r="X52" s="326"/>
      <c r="Y52" s="325"/>
      <c r="Z52" s="325"/>
      <c r="AA52" s="325"/>
      <c r="AB52" s="325"/>
      <c r="AC52" s="325"/>
      <c r="AD52" s="325"/>
      <c r="AE52" s="327"/>
      <c r="AG52" s="159"/>
      <c r="AH52" s="159"/>
      <c r="AI52" s="159"/>
      <c r="AJ52" s="159"/>
    </row>
    <row r="53" spans="2:36" hidden="1" x14ac:dyDescent="0.35">
      <c r="V53" s="328" t="s">
        <v>330</v>
      </c>
      <c r="W53" s="329" t="s">
        <v>332</v>
      </c>
      <c r="X53" s="354" t="s">
        <v>273</v>
      </c>
      <c r="Y53" s="348">
        <v>900000</v>
      </c>
      <c r="Z53" s="348">
        <v>900000</v>
      </c>
      <c r="AA53" s="355">
        <v>0</v>
      </c>
      <c r="AB53" s="356">
        <v>0</v>
      </c>
      <c r="AC53" s="356">
        <v>0</v>
      </c>
      <c r="AD53" s="357">
        <v>0</v>
      </c>
      <c r="AE53" s="332"/>
      <c r="AG53" s="159"/>
      <c r="AH53" s="159"/>
      <c r="AI53" s="159"/>
      <c r="AJ53" s="159"/>
    </row>
    <row r="54" spans="2:36" hidden="1" x14ac:dyDescent="0.35">
      <c r="V54" s="328" t="s">
        <v>331</v>
      </c>
      <c r="W54" s="329" t="s">
        <v>333</v>
      </c>
      <c r="X54" s="354" t="s">
        <v>266</v>
      </c>
      <c r="Y54" s="348">
        <v>3</v>
      </c>
      <c r="Z54" s="348">
        <v>3</v>
      </c>
      <c r="AA54" s="355">
        <v>0</v>
      </c>
      <c r="AB54" s="356">
        <v>0</v>
      </c>
      <c r="AC54" s="356">
        <v>0</v>
      </c>
      <c r="AD54" s="357">
        <v>0</v>
      </c>
      <c r="AE54" s="332"/>
      <c r="AG54" s="159"/>
      <c r="AH54" s="159"/>
      <c r="AI54" s="159"/>
      <c r="AJ54" s="159"/>
    </row>
    <row r="55" spans="2:36" s="153" customFormat="1" hidden="1" x14ac:dyDescent="0.35">
      <c r="B55" s="306"/>
      <c r="C55" s="306"/>
      <c r="D55" s="306"/>
      <c r="E55" s="306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V55" s="328" t="s">
        <v>328</v>
      </c>
      <c r="W55" s="334" t="s">
        <v>469</v>
      </c>
      <c r="X55" s="335" t="s">
        <v>273</v>
      </c>
      <c r="Y55" s="336">
        <f>Y53*Y54</f>
        <v>2700000</v>
      </c>
      <c r="Z55" s="336">
        <f>Z53*Z54</f>
        <v>2700000</v>
      </c>
      <c r="AA55" s="336">
        <f>Z55-Z123</f>
        <v>2314285.7142857141</v>
      </c>
      <c r="AB55" s="336">
        <f>AA55-AA123</f>
        <v>1983673.4693877548</v>
      </c>
      <c r="AC55" s="336">
        <f t="shared" ref="AC55:AD55" si="26">AC53*AC54</f>
        <v>0</v>
      </c>
      <c r="AD55" s="336">
        <f t="shared" si="26"/>
        <v>0</v>
      </c>
      <c r="AE55" s="338"/>
      <c r="AG55" s="413"/>
      <c r="AH55" s="413"/>
      <c r="AI55" s="413"/>
      <c r="AJ55" s="413"/>
    </row>
    <row r="56" spans="2:36" s="153" customFormat="1" hidden="1" x14ac:dyDescent="0.35">
      <c r="B56" s="306"/>
      <c r="C56" s="306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V56" s="339" t="s">
        <v>328</v>
      </c>
      <c r="W56" s="340" t="s">
        <v>470</v>
      </c>
      <c r="X56" s="341" t="s">
        <v>273</v>
      </c>
      <c r="Y56" s="342">
        <f>Y55*$Y$39</f>
        <v>24300000</v>
      </c>
      <c r="Z56" s="342">
        <f>Z55*$Y$39</f>
        <v>24300000</v>
      </c>
      <c r="AA56" s="342">
        <f>Z56-Z102</f>
        <v>20828571.428571429</v>
      </c>
      <c r="AB56" s="342">
        <f>AA56-AA102</f>
        <v>17357142.857142858</v>
      </c>
      <c r="AC56" s="342">
        <f t="shared" ref="AC56:AD56" si="27">AC55*$Y$39</f>
        <v>0</v>
      </c>
      <c r="AD56" s="342">
        <f t="shared" si="27"/>
        <v>0</v>
      </c>
      <c r="AE56" s="343"/>
      <c r="AG56" s="413"/>
      <c r="AH56" s="413"/>
      <c r="AI56" s="413"/>
      <c r="AJ56" s="413"/>
    </row>
    <row r="57" spans="2:36" s="153" customFormat="1" hidden="1" x14ac:dyDescent="0.35">
      <c r="B57" s="306"/>
      <c r="C57" s="306"/>
      <c r="D57" s="306"/>
      <c r="E57" s="306"/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V57" s="344" t="s">
        <v>478</v>
      </c>
      <c r="W57" s="325" t="s">
        <v>510</v>
      </c>
      <c r="X57" s="326" t="s">
        <v>273</v>
      </c>
      <c r="Y57" s="364">
        <v>50000</v>
      </c>
      <c r="Z57" s="364">
        <v>50000</v>
      </c>
      <c r="AA57" s="364">
        <v>0</v>
      </c>
      <c r="AB57" s="364">
        <v>0</v>
      </c>
      <c r="AC57" s="364">
        <v>0</v>
      </c>
      <c r="AD57" s="364">
        <v>0</v>
      </c>
      <c r="AE57" s="365"/>
      <c r="AG57" s="413"/>
      <c r="AH57" s="413"/>
      <c r="AI57" s="413"/>
      <c r="AJ57" s="413"/>
    </row>
    <row r="58" spans="2:36" s="153" customFormat="1" hidden="1" x14ac:dyDescent="0.35">
      <c r="B58" s="306"/>
      <c r="C58" s="306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176"/>
      <c r="Q58" s="306"/>
      <c r="R58" s="306"/>
      <c r="S58" s="306"/>
      <c r="T58" s="306"/>
      <c r="V58" s="339" t="s">
        <v>478</v>
      </c>
      <c r="W58" s="340" t="s">
        <v>511</v>
      </c>
      <c r="X58" s="341" t="s">
        <v>273</v>
      </c>
      <c r="Y58" s="342">
        <f>Y57*$Y$18</f>
        <v>450000</v>
      </c>
      <c r="Z58" s="342">
        <f>Z57*$Y$18</f>
        <v>450000</v>
      </c>
      <c r="AA58" s="342">
        <f t="shared" ref="AA58:AD58" si="28">AA57*$Y$18</f>
        <v>0</v>
      </c>
      <c r="AB58" s="342">
        <f t="shared" si="28"/>
        <v>0</v>
      </c>
      <c r="AC58" s="342">
        <f t="shared" si="28"/>
        <v>0</v>
      </c>
      <c r="AD58" s="342">
        <f t="shared" si="28"/>
        <v>0</v>
      </c>
      <c r="AE58" s="343"/>
      <c r="AG58" s="413"/>
      <c r="AH58" s="413"/>
      <c r="AI58" s="413"/>
      <c r="AJ58" s="413"/>
    </row>
    <row r="59" spans="2:36" hidden="1" x14ac:dyDescent="0.35">
      <c r="V59" s="320" t="s">
        <v>497</v>
      </c>
      <c r="W59" s="321" t="s">
        <v>509</v>
      </c>
      <c r="X59" s="322" t="s">
        <v>273</v>
      </c>
      <c r="Y59" s="366">
        <v>500000</v>
      </c>
      <c r="Z59" s="366">
        <v>500000</v>
      </c>
      <c r="AA59" s="366">
        <v>0</v>
      </c>
      <c r="AB59" s="366">
        <v>0</v>
      </c>
      <c r="AC59" s="321">
        <v>0</v>
      </c>
      <c r="AD59" s="321">
        <v>0</v>
      </c>
      <c r="AE59" s="323"/>
      <c r="AG59" s="159"/>
      <c r="AH59" s="159"/>
      <c r="AI59" s="159"/>
      <c r="AJ59" s="159"/>
    </row>
    <row r="60" spans="2:36" hidden="1" x14ac:dyDescent="0.35">
      <c r="V60" s="320" t="s">
        <v>508</v>
      </c>
      <c r="W60" s="321" t="s">
        <v>518</v>
      </c>
      <c r="X60" s="322" t="s">
        <v>273</v>
      </c>
      <c r="Y60" s="366">
        <v>500000</v>
      </c>
      <c r="Z60" s="366">
        <v>500000</v>
      </c>
      <c r="AA60" s="366">
        <v>0</v>
      </c>
      <c r="AB60" s="366">
        <v>0</v>
      </c>
      <c r="AC60" s="321">
        <v>0</v>
      </c>
      <c r="AD60" s="321">
        <v>0</v>
      </c>
      <c r="AE60" s="323"/>
      <c r="AG60" s="159"/>
      <c r="AH60" s="159"/>
      <c r="AI60" s="159"/>
      <c r="AJ60" s="159"/>
    </row>
    <row r="61" spans="2:36" hidden="1" x14ac:dyDescent="0.35">
      <c r="V61" s="324" t="s">
        <v>517</v>
      </c>
      <c r="W61" s="325" t="s">
        <v>498</v>
      </c>
      <c r="X61" s="326" t="s">
        <v>273</v>
      </c>
      <c r="Y61" s="367">
        <v>5000000</v>
      </c>
      <c r="Z61" s="367">
        <v>5000000</v>
      </c>
      <c r="AA61" s="367">
        <v>0</v>
      </c>
      <c r="AB61" s="367">
        <v>0</v>
      </c>
      <c r="AC61" s="325">
        <v>0</v>
      </c>
      <c r="AD61" s="325">
        <v>0</v>
      </c>
      <c r="AE61" s="327"/>
      <c r="AG61" s="159"/>
      <c r="AH61" s="159"/>
      <c r="AI61" s="159"/>
      <c r="AJ61" s="159"/>
    </row>
    <row r="62" spans="2:36" ht="15.5" hidden="1" x14ac:dyDescent="0.35">
      <c r="V62" s="368">
        <v>1</v>
      </c>
      <c r="W62" s="369" t="s">
        <v>428</v>
      </c>
      <c r="X62" s="370" t="s">
        <v>273</v>
      </c>
      <c r="Y62" s="371">
        <f>SUM(Y38+Y49+Y55+Y57+Y61+Y50)</f>
        <v>12002500</v>
      </c>
      <c r="Z62" s="371">
        <f>SUM(Z38+Z49+Z55+Z57+Z61+Z50)</f>
        <v>12002500</v>
      </c>
      <c r="AA62" s="371">
        <f>SUM(AA38+AA49+AA55+AA57+AA61)</f>
        <v>5114285.7142857146</v>
      </c>
      <c r="AB62" s="371">
        <f>SUM(AB38+AB49+AB55+AB57+AB61)</f>
        <v>4223673.4693877548</v>
      </c>
      <c r="AC62" s="371">
        <f>SUM(AC38+AC49+AC55+AC57+AC61)</f>
        <v>0</v>
      </c>
      <c r="AD62" s="371">
        <f>SUM(AD38+AD49+AD55+AD57+AD61)</f>
        <v>0</v>
      </c>
      <c r="AE62" s="372"/>
      <c r="AG62" s="159"/>
      <c r="AH62" s="159"/>
      <c r="AI62" s="159"/>
      <c r="AJ62" s="159"/>
    </row>
    <row r="63" spans="2:36" ht="16" hidden="1" thickBot="1" x14ac:dyDescent="0.4">
      <c r="V63" s="373">
        <v>1</v>
      </c>
      <c r="W63" s="374" t="s">
        <v>429</v>
      </c>
      <c r="X63" s="375" t="s">
        <v>273</v>
      </c>
      <c r="Y63" s="376">
        <f>SUM(Y40+Y56+Y58+Y61+Y59+Y60+Y51)</f>
        <v>66012500</v>
      </c>
      <c r="Z63" s="376">
        <f>SUM(Z40+Z49+Z56+Z58+Z61+Z59+Z60+Z51)</f>
        <v>66163000</v>
      </c>
      <c r="AA63" s="376">
        <f>SUM(AA40+AA49+AA56+AA58+AA61+AA59+AA60)</f>
        <v>46028571.428571433</v>
      </c>
      <c r="AB63" s="376">
        <f>SUM(AB40+AB49+AB56+AB58+AB61+AB59+AB60)</f>
        <v>37517142.857142858</v>
      </c>
      <c r="AC63" s="376">
        <f>SUM(AC40+AC49+AC56+AC58+AC61+AC59+AC60)</f>
        <v>0</v>
      </c>
      <c r="AD63" s="376">
        <f>SUM(AD40+AD49+AD56+AD58+AD61+AD59+AD60)</f>
        <v>0</v>
      </c>
      <c r="AE63" s="377"/>
      <c r="AG63" s="159"/>
      <c r="AH63" s="159"/>
      <c r="AI63" s="159"/>
      <c r="AJ63" s="159"/>
    </row>
    <row r="64" spans="2:36" ht="15.5" x14ac:dyDescent="0.35">
      <c r="V64" s="378">
        <v>2</v>
      </c>
      <c r="W64" s="379" t="s">
        <v>310</v>
      </c>
      <c r="X64" s="380" t="s">
        <v>273</v>
      </c>
      <c r="Y64" s="379">
        <v>46003840</v>
      </c>
      <c r="Z64" s="379">
        <v>44923840</v>
      </c>
      <c r="AA64" s="379">
        <v>54764417</v>
      </c>
      <c r="AB64" s="379">
        <v>67191866.162499994</v>
      </c>
      <c r="AC64" s="379">
        <v>35463833.409500003</v>
      </c>
      <c r="AD64" s="379">
        <v>37975084.491174996</v>
      </c>
      <c r="AE64" s="381"/>
      <c r="AG64" s="159">
        <f>Y64/Cr</f>
        <v>4.600384</v>
      </c>
      <c r="AH64" s="159">
        <f>Z64/Cr</f>
        <v>4.4923840000000004</v>
      </c>
      <c r="AI64" s="159">
        <f>AA64/Cr</f>
        <v>5.4764416999999996</v>
      </c>
      <c r="AJ64" s="159">
        <f>AB64/Cr</f>
        <v>6.7191866162499991</v>
      </c>
    </row>
    <row r="65" spans="2:36" ht="22" hidden="1" customHeight="1" x14ac:dyDescent="0.35">
      <c r="V65" s="246" t="s">
        <v>312</v>
      </c>
      <c r="W65" s="247" t="s">
        <v>313</v>
      </c>
      <c r="X65" s="248"/>
      <c r="Y65" s="249"/>
      <c r="Z65" s="249"/>
      <c r="AA65" s="248"/>
      <c r="AB65" s="248"/>
      <c r="AC65" s="248"/>
      <c r="AD65" s="248"/>
      <c r="AE65" s="250"/>
      <c r="AG65" s="159"/>
      <c r="AH65" s="159"/>
      <c r="AI65" s="159"/>
      <c r="AJ65" s="159"/>
    </row>
    <row r="66" spans="2:36" ht="22" hidden="1" customHeight="1" x14ac:dyDescent="0.35">
      <c r="V66" s="201" t="s">
        <v>426</v>
      </c>
      <c r="W66" s="188" t="s">
        <v>537</v>
      </c>
      <c r="X66" s="189" t="s">
        <v>266</v>
      </c>
      <c r="Y66" s="190">
        <v>5</v>
      </c>
      <c r="Z66" s="190">
        <v>5</v>
      </c>
      <c r="AA66" s="190">
        <f>Z66*$N$43+Z66</f>
        <v>6.25</v>
      </c>
      <c r="AB66" s="190">
        <f>AA66*$N$43+AA66</f>
        <v>7.8125</v>
      </c>
      <c r="AC66" s="190"/>
      <c r="AD66" s="190"/>
      <c r="AE66" s="202"/>
      <c r="AG66" s="159"/>
      <c r="AH66" s="159"/>
      <c r="AI66" s="159"/>
      <c r="AJ66" s="159"/>
    </row>
    <row r="67" spans="2:36" ht="22" hidden="1" customHeight="1" x14ac:dyDescent="0.35">
      <c r="V67" s="254" t="s">
        <v>427</v>
      </c>
      <c r="W67" s="185" t="s">
        <v>539</v>
      </c>
      <c r="X67" s="186" t="s">
        <v>266</v>
      </c>
      <c r="Y67" s="187">
        <v>25</v>
      </c>
      <c r="Z67" s="187">
        <v>25</v>
      </c>
      <c r="AA67" s="187">
        <f>Z67*$N$43+Z67</f>
        <v>31.25</v>
      </c>
      <c r="AB67" s="187">
        <f>AA67*$N$43+AA67</f>
        <v>39.0625</v>
      </c>
      <c r="AC67" s="187"/>
      <c r="AD67" s="187"/>
      <c r="AE67" s="255"/>
      <c r="AG67" s="159"/>
      <c r="AH67" s="159"/>
      <c r="AI67" s="159"/>
      <c r="AJ67" s="159"/>
    </row>
    <row r="68" spans="2:36" ht="22" hidden="1" customHeight="1" x14ac:dyDescent="0.35">
      <c r="V68" s="198" t="s">
        <v>536</v>
      </c>
      <c r="W68" s="307" t="s">
        <v>532</v>
      </c>
      <c r="X68" s="158" t="s">
        <v>273</v>
      </c>
      <c r="Y68" s="151">
        <f>I23</f>
        <v>24700</v>
      </c>
      <c r="Z68" s="151">
        <f>I23</f>
        <v>24700</v>
      </c>
      <c r="AA68" s="168">
        <f>(Z68*$N$22)+Z68</f>
        <v>25935</v>
      </c>
      <c r="AB68" s="168">
        <f>(AA68*$N$22)+AA68</f>
        <v>27231.75</v>
      </c>
      <c r="AC68" s="168">
        <f>(AB68*$N$22)+AB68</f>
        <v>28593.337500000001</v>
      </c>
      <c r="AD68" s="168">
        <f>(AC68*$N$22)+AC68</f>
        <v>30023.004375</v>
      </c>
      <c r="AE68" s="199"/>
      <c r="AG68" s="159"/>
      <c r="AH68" s="159"/>
      <c r="AI68" s="159"/>
      <c r="AJ68" s="159"/>
    </row>
    <row r="69" spans="2:36" hidden="1" x14ac:dyDescent="0.35">
      <c r="V69" s="201" t="s">
        <v>538</v>
      </c>
      <c r="W69" s="188" t="s">
        <v>406</v>
      </c>
      <c r="X69" s="189" t="s">
        <v>273</v>
      </c>
      <c r="Y69" s="190">
        <f t="shared" ref="Y69:AB70" si="29">Y$68*Y66*$N$34</f>
        <v>1482000</v>
      </c>
      <c r="Z69" s="190">
        <f t="shared" si="29"/>
        <v>1482000</v>
      </c>
      <c r="AA69" s="190">
        <f t="shared" si="29"/>
        <v>1945125</v>
      </c>
      <c r="AB69" s="190">
        <f t="shared" si="29"/>
        <v>2552976.5625</v>
      </c>
      <c r="AC69" s="190">
        <f>AC$68*$S$13*$N$34</f>
        <v>1336948.2125999997</v>
      </c>
      <c r="AD69" s="190">
        <f>AD$68*$S$13*$N$34</f>
        <v>1403795.6232299998</v>
      </c>
      <c r="AE69" s="202"/>
      <c r="AG69" s="159"/>
      <c r="AH69" s="159"/>
      <c r="AI69" s="159"/>
      <c r="AJ69" s="159"/>
    </row>
    <row r="70" spans="2:36" hidden="1" x14ac:dyDescent="0.35">
      <c r="V70" s="254" t="s">
        <v>312</v>
      </c>
      <c r="W70" s="185" t="s">
        <v>407</v>
      </c>
      <c r="X70" s="186" t="s">
        <v>273</v>
      </c>
      <c r="Y70" s="187">
        <f t="shared" si="29"/>
        <v>7410000</v>
      </c>
      <c r="Z70" s="187">
        <f t="shared" si="29"/>
        <v>7410000</v>
      </c>
      <c r="AA70" s="187">
        <f t="shared" si="29"/>
        <v>9725625</v>
      </c>
      <c r="AB70" s="187">
        <f t="shared" si="29"/>
        <v>12764882.8125</v>
      </c>
      <c r="AC70" s="187">
        <f>AC$68*$R$13*$N$34</f>
        <v>8483071.3695</v>
      </c>
      <c r="AD70" s="187">
        <f>AD$68*$R$13*$N$34</f>
        <v>8907224.9379749987</v>
      </c>
      <c r="AE70" s="255"/>
      <c r="AG70" s="159"/>
      <c r="AH70" s="159"/>
      <c r="AI70" s="159"/>
      <c r="AJ70" s="159"/>
    </row>
    <row r="71" spans="2:36" hidden="1" x14ac:dyDescent="0.35">
      <c r="V71" s="246" t="s">
        <v>326</v>
      </c>
      <c r="W71" s="247" t="s">
        <v>327</v>
      </c>
      <c r="X71" s="248"/>
      <c r="Y71" s="249"/>
      <c r="Z71" s="249"/>
      <c r="AA71" s="248"/>
      <c r="AB71" s="248"/>
      <c r="AC71" s="248"/>
      <c r="AD71" s="248"/>
      <c r="AE71" s="250"/>
      <c r="AG71" s="159"/>
      <c r="AH71" s="159"/>
      <c r="AI71" s="159"/>
      <c r="AJ71" s="159"/>
    </row>
    <row r="72" spans="2:36" hidden="1" x14ac:dyDescent="0.35">
      <c r="V72" s="256" t="s">
        <v>335</v>
      </c>
      <c r="W72" s="160" t="s">
        <v>334</v>
      </c>
      <c r="X72" s="151" t="s">
        <v>273</v>
      </c>
      <c r="Y72" s="160">
        <f>$C$36*$C$34</f>
        <v>4980</v>
      </c>
      <c r="Z72" s="160">
        <f>$C$36*$C$34</f>
        <v>4980</v>
      </c>
      <c r="AA72" s="168">
        <f>(Z72*$N$41)+Z72</f>
        <v>5229</v>
      </c>
      <c r="AB72" s="168">
        <f>(AA72*$N$41+AA72)</f>
        <v>5490.45</v>
      </c>
      <c r="AE72" s="199"/>
      <c r="AG72" s="159"/>
      <c r="AH72" s="159"/>
      <c r="AI72" s="159"/>
      <c r="AJ72" s="159"/>
    </row>
    <row r="73" spans="2:36" hidden="1" x14ac:dyDescent="0.35">
      <c r="V73" s="256" t="s">
        <v>336</v>
      </c>
      <c r="W73" s="160" t="s">
        <v>337</v>
      </c>
      <c r="X73" s="151" t="s">
        <v>273</v>
      </c>
      <c r="Y73" s="160">
        <v>10000</v>
      </c>
      <c r="Z73" s="160">
        <v>10000</v>
      </c>
      <c r="AA73" s="160">
        <f t="shared" ref="AA73:AB75" si="30">Z73*$N$41+Z73</f>
        <v>10500</v>
      </c>
      <c r="AB73" s="160">
        <f t="shared" si="30"/>
        <v>11025</v>
      </c>
      <c r="AE73" s="199"/>
      <c r="AG73" s="159"/>
      <c r="AH73" s="159"/>
      <c r="AI73" s="159"/>
      <c r="AJ73" s="159"/>
    </row>
    <row r="74" spans="2:36" hidden="1" x14ac:dyDescent="0.35">
      <c r="V74" s="256" t="s">
        <v>338</v>
      </c>
      <c r="W74" s="160" t="s">
        <v>339</v>
      </c>
      <c r="X74" s="151" t="s">
        <v>273</v>
      </c>
      <c r="Y74" s="160">
        <v>80</v>
      </c>
      <c r="Z74" s="160">
        <v>80</v>
      </c>
      <c r="AA74" s="160">
        <f t="shared" si="30"/>
        <v>84</v>
      </c>
      <c r="AB74" s="160">
        <f t="shared" si="30"/>
        <v>88.2</v>
      </c>
      <c r="AE74" s="199"/>
      <c r="AG74" s="159"/>
      <c r="AH74" s="159"/>
      <c r="AI74" s="159"/>
      <c r="AJ74" s="159"/>
    </row>
    <row r="75" spans="2:36" hidden="1" x14ac:dyDescent="0.35">
      <c r="V75" s="256" t="s">
        <v>340</v>
      </c>
      <c r="W75" s="160" t="s">
        <v>341</v>
      </c>
      <c r="X75" s="151" t="s">
        <v>273</v>
      </c>
      <c r="Y75" s="160">
        <f>$C$39*$C$40*$D$40</f>
        <v>14400</v>
      </c>
      <c r="Z75" s="160">
        <f>$C$39*$C$40*$D$40</f>
        <v>14400</v>
      </c>
      <c r="AA75" s="160">
        <f t="shared" si="30"/>
        <v>15120</v>
      </c>
      <c r="AB75" s="160">
        <f t="shared" si="30"/>
        <v>15876</v>
      </c>
      <c r="AE75" s="199"/>
      <c r="AG75" s="159"/>
      <c r="AH75" s="159"/>
      <c r="AI75" s="159"/>
      <c r="AJ75" s="159"/>
    </row>
    <row r="76" spans="2:36" s="153" customFormat="1" hidden="1" x14ac:dyDescent="0.35">
      <c r="B76" s="306"/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V76" s="201" t="s">
        <v>326</v>
      </c>
      <c r="W76" s="188" t="s">
        <v>546</v>
      </c>
      <c r="X76" s="189" t="s">
        <v>273</v>
      </c>
      <c r="Y76" s="190">
        <f>SUM(Y72+Y73+Y75)*$N$34</f>
        <v>352560</v>
      </c>
      <c r="Z76" s="190">
        <f>SUM(Z72+Z73+Z75)*$N$34</f>
        <v>352560</v>
      </c>
      <c r="AA76" s="190">
        <f>SUM(AA72+AA73+AA75)*$N$34</f>
        <v>370188</v>
      </c>
      <c r="AB76" s="190">
        <f>SUM(AB72+AB73+AB75)*$N$34</f>
        <v>388697.4</v>
      </c>
      <c r="AC76" s="190"/>
      <c r="AD76" s="190"/>
      <c r="AE76" s="202"/>
      <c r="AG76" s="413"/>
      <c r="AH76" s="413"/>
      <c r="AI76" s="413"/>
      <c r="AJ76" s="413"/>
    </row>
    <row r="77" spans="2:36" s="153" customFormat="1" hidden="1" x14ac:dyDescent="0.35">
      <c r="B77" s="306"/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V77" s="203" t="s">
        <v>326</v>
      </c>
      <c r="W77" s="204" t="s">
        <v>393</v>
      </c>
      <c r="X77" s="205" t="s">
        <v>273</v>
      </c>
      <c r="Y77" s="206">
        <f>Y76*$Y$39</f>
        <v>3173040</v>
      </c>
      <c r="Z77" s="206">
        <f>Z76*$Y$39</f>
        <v>3173040</v>
      </c>
      <c r="AA77" s="206">
        <f t="shared" ref="AA77:AB77" si="31">AA76*$Y$39</f>
        <v>3331692</v>
      </c>
      <c r="AB77" s="206">
        <f t="shared" si="31"/>
        <v>3498276.6</v>
      </c>
      <c r="AC77" s="206"/>
      <c r="AD77" s="206"/>
      <c r="AE77" s="207"/>
      <c r="AG77" s="413"/>
      <c r="AH77" s="413"/>
      <c r="AI77" s="413"/>
      <c r="AJ77" s="413"/>
    </row>
    <row r="78" spans="2:36" s="153" customFormat="1" hidden="1" x14ac:dyDescent="0.35">
      <c r="B78" s="306"/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V78" s="257" t="s">
        <v>342</v>
      </c>
      <c r="W78" s="258" t="s">
        <v>506</v>
      </c>
      <c r="X78" s="259" t="s">
        <v>273</v>
      </c>
      <c r="Y78" s="260">
        <v>10000000</v>
      </c>
      <c r="Z78" s="260">
        <v>10000000</v>
      </c>
      <c r="AA78" s="261">
        <f>(Z78*$N$38)+Z78</f>
        <v>11000000</v>
      </c>
      <c r="AB78" s="261">
        <f>(AA78*$N$38)+AA78</f>
        <v>12100000</v>
      </c>
      <c r="AC78" s="261">
        <f>(AB78*$N$38)+AB78</f>
        <v>13310000</v>
      </c>
      <c r="AD78" s="261">
        <f>(AC78*$N$38)+AC78</f>
        <v>14641000</v>
      </c>
      <c r="AE78" s="262"/>
      <c r="AG78" s="413"/>
      <c r="AH78" s="413"/>
      <c r="AI78" s="413"/>
      <c r="AJ78" s="413"/>
    </row>
    <row r="79" spans="2:36" s="153" customFormat="1" hidden="1" x14ac:dyDescent="0.35">
      <c r="B79" s="306"/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V79" s="263" t="s">
        <v>342</v>
      </c>
      <c r="W79" s="191" t="s">
        <v>507</v>
      </c>
      <c r="X79" s="189" t="s">
        <v>273</v>
      </c>
      <c r="Y79" s="190">
        <f>Y$78*17%</f>
        <v>1700000.0000000002</v>
      </c>
      <c r="Z79" s="190">
        <f>Z$78*17%</f>
        <v>1700000.0000000002</v>
      </c>
      <c r="AA79" s="190">
        <f t="shared" ref="AA79:AD79" si="32">AA$78*17%</f>
        <v>1870000.0000000002</v>
      </c>
      <c r="AB79" s="190">
        <f t="shared" si="32"/>
        <v>2057000.0000000002</v>
      </c>
      <c r="AC79" s="190">
        <f t="shared" si="32"/>
        <v>2262700</v>
      </c>
      <c r="AD79" s="190">
        <f t="shared" si="32"/>
        <v>2488970</v>
      </c>
      <c r="AE79" s="264"/>
      <c r="AG79" s="413"/>
      <c r="AH79" s="413"/>
      <c r="AI79" s="413"/>
      <c r="AJ79" s="413"/>
    </row>
    <row r="80" spans="2:36" s="153" customFormat="1" hidden="1" x14ac:dyDescent="0.35"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V80" s="201" t="s">
        <v>564</v>
      </c>
      <c r="W80" s="188" t="s">
        <v>566</v>
      </c>
      <c r="X80" s="189" t="s">
        <v>273</v>
      </c>
      <c r="Y80" s="190">
        <f>Y$90*$N$34*$N$44</f>
        <v>1693440</v>
      </c>
      <c r="Z80" s="190">
        <f t="shared" ref="Z80:AB80" si="33">Z$90*$N$34*$N$44</f>
        <v>1693440</v>
      </c>
      <c r="AA80" s="190">
        <f t="shared" si="33"/>
        <v>2116800</v>
      </c>
      <c r="AB80" s="190">
        <f t="shared" si="33"/>
        <v>2646000</v>
      </c>
      <c r="AC80" s="190"/>
      <c r="AD80" s="190"/>
      <c r="AE80" s="202"/>
      <c r="AG80" s="413"/>
      <c r="AH80" s="413"/>
      <c r="AI80" s="413"/>
      <c r="AJ80" s="413"/>
    </row>
    <row r="81" spans="2:36" s="153" customFormat="1" hidden="1" x14ac:dyDescent="0.35">
      <c r="B81" s="306"/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V81" s="254" t="s">
        <v>564</v>
      </c>
      <c r="W81" s="185" t="s">
        <v>567</v>
      </c>
      <c r="X81" s="186" t="s">
        <v>273</v>
      </c>
      <c r="Y81" s="187">
        <f>Y$89*$N$34*$N$44</f>
        <v>12700800</v>
      </c>
      <c r="Z81" s="187">
        <f t="shared" ref="Z81:AB81" si="34">Z$89*$N$34*$N$44</f>
        <v>12700800</v>
      </c>
      <c r="AA81" s="187">
        <f t="shared" si="34"/>
        <v>15876000</v>
      </c>
      <c r="AB81" s="187">
        <f t="shared" si="34"/>
        <v>19845000</v>
      </c>
      <c r="AC81" s="187"/>
      <c r="AD81" s="187"/>
      <c r="AE81" s="255"/>
      <c r="AG81" s="413"/>
      <c r="AH81" s="413"/>
      <c r="AI81" s="413"/>
      <c r="AJ81" s="413"/>
    </row>
    <row r="82" spans="2:36" ht="15.5" hidden="1" x14ac:dyDescent="0.35">
      <c r="V82" s="265">
        <v>2</v>
      </c>
      <c r="W82" s="266" t="s">
        <v>430</v>
      </c>
      <c r="X82" s="267" t="s">
        <v>273</v>
      </c>
      <c r="Y82" s="268">
        <f>SUM(Y69+Y76+Y17+Y28+Y79+Y80)</f>
        <v>9308000</v>
      </c>
      <c r="Z82" s="268">
        <f t="shared" ref="Z82:AB82" si="35">SUM(Z69+Z76+Z17+Z28+Z79+Z80)</f>
        <v>8228000</v>
      </c>
      <c r="AA82" s="268">
        <f t="shared" si="35"/>
        <v>9793213</v>
      </c>
      <c r="AB82" s="268">
        <f t="shared" si="35"/>
        <v>11744630.7125</v>
      </c>
      <c r="AC82" s="268">
        <f>SUM(AC69+AC76+AC17+AC28+AC79)</f>
        <v>7268530.2525999993</v>
      </c>
      <c r="AD82" s="268">
        <f>SUM(AD69+AD76+AD17+AD28+AD79)</f>
        <v>7817651.17643</v>
      </c>
      <c r="AE82" s="269"/>
      <c r="AG82" s="159"/>
      <c r="AH82" s="159"/>
      <c r="AI82" s="159"/>
      <c r="AJ82" s="159"/>
    </row>
    <row r="83" spans="2:36" ht="16" hidden="1" thickBot="1" x14ac:dyDescent="0.4">
      <c r="B83" s="156"/>
      <c r="C83" s="177"/>
      <c r="V83" s="241">
        <v>2</v>
      </c>
      <c r="W83" s="242" t="s">
        <v>431</v>
      </c>
      <c r="X83" s="243" t="s">
        <v>273</v>
      </c>
      <c r="Y83" s="244">
        <f>SUM(Y70+Y77+Y19+Y28+Y78+Y81)</f>
        <v>46003840</v>
      </c>
      <c r="Z83" s="244">
        <f t="shared" ref="Z83:AB83" si="36">SUM(Z70+Z77+Z19+Z28+Z78+Z81)</f>
        <v>44923840</v>
      </c>
      <c r="AA83" s="244">
        <f t="shared" si="36"/>
        <v>54764417</v>
      </c>
      <c r="AB83" s="244">
        <f t="shared" si="36"/>
        <v>67191866.162499994</v>
      </c>
      <c r="AC83" s="244">
        <f>SUM(AC70+AC77+AC19+AC28+AC78)</f>
        <v>35463833.409500003</v>
      </c>
      <c r="AD83" s="244">
        <f>SUM(AD70+AD77+AD19+AD28+AD78)</f>
        <v>37975084.491174996</v>
      </c>
      <c r="AE83" s="245"/>
      <c r="AG83" s="159"/>
      <c r="AH83" s="159"/>
      <c r="AI83" s="159"/>
      <c r="AJ83" s="159"/>
    </row>
    <row r="84" spans="2:36" s="143" customFormat="1" ht="18.5" customHeight="1" thickBot="1" x14ac:dyDescent="0.4">
      <c r="B84" s="162"/>
      <c r="C84" s="273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7"/>
      <c r="Q84" s="164"/>
      <c r="R84" s="164"/>
      <c r="S84" s="164"/>
      <c r="T84" s="164"/>
      <c r="V84" s="316" t="s">
        <v>344</v>
      </c>
      <c r="W84" s="317" t="s">
        <v>547</v>
      </c>
      <c r="X84" s="318" t="s">
        <v>273</v>
      </c>
      <c r="Y84" s="317">
        <v>337841280</v>
      </c>
      <c r="Z84" s="317">
        <v>337841280</v>
      </c>
      <c r="AA84" s="317">
        <v>385850304</v>
      </c>
      <c r="AB84" s="317">
        <v>501605395.19999999</v>
      </c>
      <c r="AC84" s="317"/>
      <c r="AD84" s="317"/>
      <c r="AE84" s="319"/>
      <c r="AG84" s="159">
        <f>Y84/Cr</f>
        <v>33.784128000000003</v>
      </c>
      <c r="AH84" s="159">
        <f>Z84/Cr</f>
        <v>33.784128000000003</v>
      </c>
      <c r="AI84" s="159">
        <f>AA84/Cr</f>
        <v>38.585030400000001</v>
      </c>
      <c r="AJ84" s="159">
        <f>AB84/Cr</f>
        <v>50.16053952</v>
      </c>
    </row>
    <row r="85" spans="2:36" ht="13.5" hidden="1" thickBot="1" x14ac:dyDescent="0.4">
      <c r="B85" s="142"/>
      <c r="C85" s="166"/>
      <c r="P85" s="165"/>
      <c r="V85" s="246" t="s">
        <v>200</v>
      </c>
      <c r="W85" s="247" t="s">
        <v>374</v>
      </c>
      <c r="X85" s="248"/>
      <c r="Y85" s="280"/>
      <c r="Z85" s="280"/>
      <c r="AA85" s="281"/>
      <c r="AB85" s="281"/>
      <c r="AC85" s="281"/>
      <c r="AD85" s="281"/>
      <c r="AE85" s="250"/>
      <c r="AG85" s="159"/>
      <c r="AH85" s="159"/>
      <c r="AI85" s="159"/>
      <c r="AJ85" s="159"/>
    </row>
    <row r="86" spans="2:36" ht="13.5" hidden="1" thickBot="1" x14ac:dyDescent="0.4">
      <c r="B86" s="142"/>
      <c r="C86" s="166"/>
      <c r="P86" s="165"/>
      <c r="V86" s="198" t="s">
        <v>262</v>
      </c>
      <c r="W86" s="142" t="s">
        <v>165</v>
      </c>
      <c r="X86" s="308" t="s">
        <v>266</v>
      </c>
      <c r="Y86" s="151">
        <v>420</v>
      </c>
      <c r="Z86" s="151">
        <v>420</v>
      </c>
      <c r="AA86" s="168">
        <f>(Z86*$N$39)+Z86</f>
        <v>436.8</v>
      </c>
      <c r="AB86" s="168">
        <f>(AA86*$N$39)+AA86</f>
        <v>454.27199999999999</v>
      </c>
      <c r="AC86" s="168">
        <f>(AB86*$N$39)+AB86</f>
        <v>472.44288</v>
      </c>
      <c r="AD86" s="168">
        <f>(AC86*$N$39)+AC86</f>
        <v>491.3405952</v>
      </c>
      <c r="AE86" s="199"/>
      <c r="AG86" s="159"/>
      <c r="AH86" s="159"/>
      <c r="AI86" s="159"/>
      <c r="AJ86" s="159"/>
    </row>
    <row r="87" spans="2:36" ht="13.5" hidden="1" thickBot="1" x14ac:dyDescent="0.4">
      <c r="P87" s="165"/>
      <c r="V87" s="198" t="s">
        <v>358</v>
      </c>
      <c r="W87" s="142" t="s">
        <v>93</v>
      </c>
      <c r="X87" s="308" t="s">
        <v>343</v>
      </c>
      <c r="Y87" s="166">
        <v>0.15</v>
      </c>
      <c r="Z87" s="166">
        <v>0.15</v>
      </c>
      <c r="AA87" s="166">
        <v>0.15</v>
      </c>
      <c r="AB87" s="166">
        <v>0.15</v>
      </c>
      <c r="AC87" s="166">
        <v>0.15</v>
      </c>
      <c r="AD87" s="166">
        <v>0.15</v>
      </c>
      <c r="AE87" s="199"/>
      <c r="AG87" s="159"/>
      <c r="AH87" s="159"/>
      <c r="AI87" s="159"/>
      <c r="AJ87" s="159"/>
    </row>
    <row r="88" spans="2:36" s="153" customFormat="1" ht="13.5" hidden="1" thickBot="1" x14ac:dyDescent="0.4">
      <c r="B88" s="306"/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140"/>
      <c r="O88" s="306"/>
      <c r="P88" s="146"/>
      <c r="Q88" s="306"/>
      <c r="R88" s="306"/>
      <c r="S88" s="306"/>
      <c r="T88" s="306"/>
      <c r="V88" s="198" t="s">
        <v>263</v>
      </c>
      <c r="W88" s="142" t="s">
        <v>94</v>
      </c>
      <c r="X88" s="308" t="s">
        <v>266</v>
      </c>
      <c r="Y88" s="152">
        <v>3</v>
      </c>
      <c r="Z88" s="152">
        <v>3</v>
      </c>
      <c r="AA88" s="152">
        <v>3</v>
      </c>
      <c r="AB88" s="152">
        <v>3</v>
      </c>
      <c r="AC88" s="152">
        <v>3</v>
      </c>
      <c r="AD88" s="152">
        <v>3</v>
      </c>
      <c r="AE88" s="199"/>
      <c r="AG88" s="413"/>
      <c r="AH88" s="413"/>
      <c r="AI88" s="413"/>
      <c r="AJ88" s="413"/>
    </row>
    <row r="89" spans="2:36" s="153" customFormat="1" ht="13.5" hidden="1" thickBot="1" x14ac:dyDescent="0.4">
      <c r="B89" s="306"/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140"/>
      <c r="O89" s="306"/>
      <c r="P89" s="146"/>
      <c r="Q89" s="306"/>
      <c r="R89" s="306"/>
      <c r="S89" s="306"/>
      <c r="T89" s="306"/>
      <c r="V89" s="198" t="s">
        <v>264</v>
      </c>
      <c r="W89" s="142" t="s">
        <v>437</v>
      </c>
      <c r="X89" s="308" t="s">
        <v>266</v>
      </c>
      <c r="Y89" s="168">
        <f>$N$10/$N$33*$H$15*$D$40</f>
        <v>211680</v>
      </c>
      <c r="Z89" s="168">
        <f>$N$10/$N$33*$H$15*$D$40</f>
        <v>211680</v>
      </c>
      <c r="AA89" s="168">
        <f>Z89*$N$42+Z89</f>
        <v>264600</v>
      </c>
      <c r="AB89" s="168">
        <f>AA89*$N$42+AA89</f>
        <v>330750</v>
      </c>
      <c r="AC89" s="168">
        <f t="shared" ref="AC89:AD89" si="37">$N$10/$N$33*$H$15*$D$40</f>
        <v>211680</v>
      </c>
      <c r="AD89" s="168">
        <f t="shared" si="37"/>
        <v>211680</v>
      </c>
      <c r="AE89" s="199"/>
      <c r="AG89" s="413"/>
      <c r="AH89" s="413"/>
      <c r="AI89" s="413"/>
      <c r="AJ89" s="413"/>
    </row>
    <row r="90" spans="2:36" ht="13.5" hidden="1" thickBot="1" x14ac:dyDescent="0.4">
      <c r="P90" s="165"/>
      <c r="V90" s="198" t="s">
        <v>267</v>
      </c>
      <c r="W90" s="142" t="s">
        <v>438</v>
      </c>
      <c r="X90" s="308" t="s">
        <v>266</v>
      </c>
      <c r="Y90" s="168">
        <f>$O$10/$N$33*$H$15*$D$40</f>
        <v>28224</v>
      </c>
      <c r="Z90" s="168">
        <f>$O$10/$N$33*$H$15*$D$40</f>
        <v>28224</v>
      </c>
      <c r="AA90" s="168">
        <f>Z90*$N$42+Z90</f>
        <v>35280</v>
      </c>
      <c r="AB90" s="168">
        <f>AA90*$N$42+AA90</f>
        <v>44100</v>
      </c>
      <c r="AC90" s="168">
        <f t="shared" ref="AC90:AD90" si="38">$O$10/$N$33*$H$15*$D$40</f>
        <v>28224</v>
      </c>
      <c r="AD90" s="168">
        <f t="shared" si="38"/>
        <v>28224</v>
      </c>
      <c r="AE90" s="218"/>
      <c r="AG90" s="159"/>
      <c r="AH90" s="159"/>
      <c r="AI90" s="159"/>
      <c r="AJ90" s="159"/>
    </row>
    <row r="91" spans="2:36" ht="13.5" hidden="1" thickBot="1" x14ac:dyDescent="0.4">
      <c r="V91" s="201" t="s">
        <v>268</v>
      </c>
      <c r="W91" s="188" t="s">
        <v>435</v>
      </c>
      <c r="X91" s="189" t="s">
        <v>273</v>
      </c>
      <c r="Y91" s="190">
        <f t="shared" ref="Y91:AD91" si="39">Y$90*Y$86*Y$87*$N$34</f>
        <v>21337344</v>
      </c>
      <c r="Z91" s="190">
        <f t="shared" si="39"/>
        <v>21337344</v>
      </c>
      <c r="AA91" s="190">
        <f t="shared" si="39"/>
        <v>27738547.200000003</v>
      </c>
      <c r="AB91" s="190">
        <f t="shared" si="39"/>
        <v>36060111.359999999</v>
      </c>
      <c r="AC91" s="190">
        <f t="shared" si="39"/>
        <v>24001610.121215999</v>
      </c>
      <c r="AD91" s="190">
        <f t="shared" si="39"/>
        <v>24961674.526064638</v>
      </c>
      <c r="AE91" s="202"/>
      <c r="AG91" s="159"/>
      <c r="AH91" s="159"/>
      <c r="AI91" s="159"/>
      <c r="AJ91" s="159"/>
    </row>
    <row r="92" spans="2:36" ht="13.5" hidden="1" thickBot="1" x14ac:dyDescent="0.4">
      <c r="V92" s="203" t="s">
        <v>269</v>
      </c>
      <c r="W92" s="204" t="s">
        <v>563</v>
      </c>
      <c r="X92" s="205" t="s">
        <v>273</v>
      </c>
      <c r="Y92" s="206">
        <f t="shared" ref="Y92:AD92" si="40">Y$89*Y$86*Y$87*$N$34</f>
        <v>160030080</v>
      </c>
      <c r="Z92" s="206">
        <f t="shared" si="40"/>
        <v>160030080</v>
      </c>
      <c r="AA92" s="206">
        <f t="shared" si="40"/>
        <v>208039104</v>
      </c>
      <c r="AB92" s="206">
        <f t="shared" si="40"/>
        <v>270450835.19999999</v>
      </c>
      <c r="AC92" s="206">
        <f t="shared" si="40"/>
        <v>180012075.90912002</v>
      </c>
      <c r="AD92" s="206">
        <f t="shared" si="40"/>
        <v>187212558.94548482</v>
      </c>
      <c r="AE92" s="207"/>
      <c r="AG92" s="159"/>
      <c r="AH92" s="159"/>
      <c r="AI92" s="159"/>
      <c r="AJ92" s="159"/>
    </row>
    <row r="93" spans="2:36" ht="13.5" hidden="1" thickBot="1" x14ac:dyDescent="0.4">
      <c r="V93" s="246" t="s">
        <v>201</v>
      </c>
      <c r="W93" s="247" t="s">
        <v>351</v>
      </c>
      <c r="X93" s="248"/>
      <c r="Y93" s="280"/>
      <c r="Z93" s="280"/>
      <c r="AA93" s="281"/>
      <c r="AB93" s="281"/>
      <c r="AC93" s="281"/>
      <c r="AD93" s="281"/>
      <c r="AE93" s="250"/>
      <c r="AG93" s="159"/>
      <c r="AH93" s="159"/>
      <c r="AI93" s="159"/>
      <c r="AJ93" s="159"/>
    </row>
    <row r="94" spans="2:36" ht="13.5" hidden="1" thickBot="1" x14ac:dyDescent="0.4">
      <c r="V94" s="219" t="s">
        <v>459</v>
      </c>
      <c r="W94" s="156" t="s">
        <v>456</v>
      </c>
      <c r="X94" s="308" t="s">
        <v>273</v>
      </c>
      <c r="Y94" s="152">
        <v>70</v>
      </c>
      <c r="Z94" s="152">
        <v>70</v>
      </c>
      <c r="AA94" s="170">
        <f>(Z94*$N$40)+Z94</f>
        <v>72.8</v>
      </c>
      <c r="AB94" s="170">
        <f>(AA94*(1+$N$40))</f>
        <v>75.712000000000003</v>
      </c>
      <c r="AC94" s="170">
        <f>(AB94*(1+$N$40))</f>
        <v>78.740480000000005</v>
      </c>
      <c r="AD94" s="170">
        <f>(AC94*(1+$N$40))</f>
        <v>81.890099200000009</v>
      </c>
      <c r="AE94" s="199"/>
      <c r="AG94" s="159"/>
      <c r="AH94" s="159"/>
      <c r="AI94" s="159"/>
      <c r="AJ94" s="159"/>
    </row>
    <row r="95" spans="2:36" ht="13.5" hidden="1" thickBot="1" x14ac:dyDescent="0.4">
      <c r="V95" s="201" t="s">
        <v>460</v>
      </c>
      <c r="W95" s="188" t="s">
        <v>457</v>
      </c>
      <c r="X95" s="189" t="s">
        <v>273</v>
      </c>
      <c r="Y95" s="190">
        <f>Y$90*Y$94*$N$34</f>
        <v>23708160</v>
      </c>
      <c r="Z95" s="190">
        <f>Y$90*Y$94*$N$34</f>
        <v>23708160</v>
      </c>
      <c r="AA95" s="190">
        <f>Z$90*Z$94*$N$34</f>
        <v>23708160</v>
      </c>
      <c r="AB95" s="190">
        <f>AA$90*AA$94*$N$34</f>
        <v>30820608</v>
      </c>
      <c r="AC95" s="190">
        <f>AB$90*AB$94*$N$34</f>
        <v>40066790.400000006</v>
      </c>
      <c r="AD95" s="190">
        <f>AC$90*AC$94*$N$34</f>
        <v>26668455.690240003</v>
      </c>
      <c r="AE95" s="202"/>
      <c r="AG95" s="159"/>
      <c r="AH95" s="159"/>
      <c r="AI95" s="159"/>
      <c r="AJ95" s="159"/>
    </row>
    <row r="96" spans="2:36" ht="13.5" hidden="1" thickBot="1" x14ac:dyDescent="0.4">
      <c r="V96" s="254" t="s">
        <v>461</v>
      </c>
      <c r="W96" s="185" t="s">
        <v>458</v>
      </c>
      <c r="X96" s="186" t="s">
        <v>273</v>
      </c>
      <c r="Y96" s="187">
        <f>Y$89*Y$94*$N$34</f>
        <v>177811200</v>
      </c>
      <c r="Z96" s="187">
        <f>Y$89*Y$94*$N$34</f>
        <v>177811200</v>
      </c>
      <c r="AA96" s="187">
        <f>Z$89*Z$94*$N$34</f>
        <v>177811200</v>
      </c>
      <c r="AB96" s="187">
        <f>AA$89*AA$94*$N$34</f>
        <v>231154560</v>
      </c>
      <c r="AC96" s="187">
        <f>AB$89*AB$94*$N$34</f>
        <v>300500928</v>
      </c>
      <c r="AD96" s="187">
        <f>AC$89*AC$94*$N$34</f>
        <v>200013417.67680001</v>
      </c>
      <c r="AE96" s="255"/>
      <c r="AG96" s="159"/>
      <c r="AH96" s="159"/>
      <c r="AI96" s="159"/>
      <c r="AJ96" s="159"/>
    </row>
    <row r="97" spans="2:36" ht="13.5" hidden="1" thickBot="1" x14ac:dyDescent="0.4">
      <c r="V97" s="275" t="s">
        <v>202</v>
      </c>
      <c r="W97" s="276" t="s">
        <v>375</v>
      </c>
      <c r="X97" s="277"/>
      <c r="Y97" s="282"/>
      <c r="Z97" s="282"/>
      <c r="AA97" s="278"/>
      <c r="AB97" s="278"/>
      <c r="AC97" s="278"/>
      <c r="AD97" s="278"/>
      <c r="AE97" s="279"/>
      <c r="AG97" s="159"/>
      <c r="AH97" s="159"/>
      <c r="AI97" s="159"/>
      <c r="AJ97" s="159"/>
    </row>
    <row r="98" spans="2:36" s="153" customFormat="1" ht="16" hidden="1" thickBot="1" x14ac:dyDescent="0.4">
      <c r="B98" s="306"/>
      <c r="C98" s="306"/>
      <c r="D98" s="306"/>
      <c r="E98" s="306"/>
      <c r="F98" s="306"/>
      <c r="G98" s="306"/>
      <c r="H98" s="306"/>
      <c r="I98" s="306"/>
      <c r="J98" s="306"/>
      <c r="K98" s="306"/>
      <c r="L98" s="306"/>
      <c r="M98" s="306"/>
      <c r="N98" s="306"/>
      <c r="O98" s="306"/>
      <c r="P98" s="306"/>
      <c r="Q98" s="306"/>
      <c r="R98" s="306"/>
      <c r="S98" s="306"/>
      <c r="T98" s="306"/>
      <c r="V98" s="236" t="s">
        <v>462</v>
      </c>
      <c r="W98" s="237" t="s">
        <v>464</v>
      </c>
      <c r="X98" s="238" t="s">
        <v>273</v>
      </c>
      <c r="Y98" s="239">
        <f>SUM(Y91+Y95)</f>
        <v>45045504</v>
      </c>
      <c r="Z98" s="239">
        <f>SUM(Z91+Z95)</f>
        <v>45045504</v>
      </c>
      <c r="AA98" s="239">
        <f t="shared" ref="AA98:AD99" si="41">SUM(AA91+AA95)</f>
        <v>51446707.200000003</v>
      </c>
      <c r="AB98" s="239">
        <f t="shared" si="41"/>
        <v>66880719.359999999</v>
      </c>
      <c r="AC98" s="239">
        <f t="shared" si="41"/>
        <v>64068400.521216005</v>
      </c>
      <c r="AD98" s="239">
        <f t="shared" si="41"/>
        <v>51630130.216304645</v>
      </c>
      <c r="AE98" s="240"/>
      <c r="AG98" s="413"/>
      <c r="AH98" s="413"/>
      <c r="AI98" s="413"/>
      <c r="AJ98" s="413"/>
    </row>
    <row r="99" spans="2:36" ht="16" hidden="1" thickBot="1" x14ac:dyDescent="0.4">
      <c r="V99" s="241" t="s">
        <v>463</v>
      </c>
      <c r="W99" s="242" t="s">
        <v>465</v>
      </c>
      <c r="X99" s="243" t="s">
        <v>273</v>
      </c>
      <c r="Y99" s="244">
        <f>SUM(Y92+Y96)</f>
        <v>337841280</v>
      </c>
      <c r="Z99" s="244">
        <f>SUM(Z92+Z96)</f>
        <v>337841280</v>
      </c>
      <c r="AA99" s="244">
        <f t="shared" si="41"/>
        <v>385850304</v>
      </c>
      <c r="AB99" s="244">
        <f t="shared" si="41"/>
        <v>501605395.19999999</v>
      </c>
      <c r="AC99" s="244">
        <f t="shared" si="41"/>
        <v>480513003.90912002</v>
      </c>
      <c r="AD99" s="244">
        <f t="shared" si="41"/>
        <v>387225976.62228483</v>
      </c>
      <c r="AE99" s="245"/>
      <c r="AG99" s="159"/>
      <c r="AH99" s="159"/>
      <c r="AI99" s="159"/>
      <c r="AJ99" s="159"/>
    </row>
    <row r="100" spans="2:36" ht="16" thickBot="1" x14ac:dyDescent="0.4">
      <c r="V100" s="401" t="s">
        <v>345</v>
      </c>
      <c r="W100" s="402" t="s">
        <v>466</v>
      </c>
      <c r="X100" s="403" t="s">
        <v>273</v>
      </c>
      <c r="Y100" s="404">
        <f>Y99-Y83-Y63</f>
        <v>225824940</v>
      </c>
      <c r="Z100" s="404">
        <f>Z99-Z83-Z63</f>
        <v>226754440</v>
      </c>
      <c r="AA100" s="404">
        <f>AA99-AA83-AA63</f>
        <v>285057315.57142854</v>
      </c>
      <c r="AB100" s="404">
        <f>AB99-AB83-AB63</f>
        <v>396896386.18035716</v>
      </c>
      <c r="AC100" s="404">
        <f>AC99-AC83-AC61</f>
        <v>445049170.49962002</v>
      </c>
      <c r="AD100" s="404">
        <f>AD99-AD83-AD61</f>
        <v>349250892.13110983</v>
      </c>
      <c r="AE100" s="405"/>
      <c r="AG100" s="159">
        <f>Y100/Cr</f>
        <v>22.582494000000001</v>
      </c>
      <c r="AH100" s="159">
        <f>Z100/Cr</f>
        <v>22.675443999999999</v>
      </c>
      <c r="AI100" s="159">
        <f>AA100/Cr</f>
        <v>28.505731557142855</v>
      </c>
      <c r="AJ100" s="159">
        <f>AB100/Cr</f>
        <v>39.689638618035715</v>
      </c>
    </row>
    <row r="101" spans="2:36" ht="13.5" hidden="1" thickBot="1" x14ac:dyDescent="0.4">
      <c r="V101" s="246" t="s">
        <v>352</v>
      </c>
      <c r="W101" s="247" t="s">
        <v>467</v>
      </c>
      <c r="X101" s="248" t="s">
        <v>273</v>
      </c>
      <c r="Y101" s="293">
        <f>(Y$51/Y$43)</f>
        <v>1254166.6666666667</v>
      </c>
      <c r="Z101" s="293">
        <f>(Z$51/Z$43)</f>
        <v>1254166.6666666667</v>
      </c>
      <c r="AA101" s="293">
        <f>(Z$51/AA$43)</f>
        <v>1254166.6666666667</v>
      </c>
      <c r="AB101" s="293">
        <f>(Z$51/AB$43)</f>
        <v>1254166.6666666667</v>
      </c>
      <c r="AC101" s="281"/>
      <c r="AD101" s="281"/>
      <c r="AE101" s="250"/>
      <c r="AG101" s="159"/>
      <c r="AH101" s="159"/>
      <c r="AI101" s="159"/>
      <c r="AJ101" s="159"/>
    </row>
    <row r="102" spans="2:36" ht="13.5" hidden="1" thickBot="1" x14ac:dyDescent="0.4">
      <c r="V102" s="219" t="s">
        <v>548</v>
      </c>
      <c r="W102" s="156" t="s">
        <v>468</v>
      </c>
      <c r="X102" s="308" t="s">
        <v>273</v>
      </c>
      <c r="Y102" s="168">
        <f>(Y56/$N$26)</f>
        <v>3471428.5714285714</v>
      </c>
      <c r="Z102" s="168">
        <f>(Z56/$N$26)</f>
        <v>3471428.5714285714</v>
      </c>
      <c r="AA102" s="168">
        <f>(Z$56/$N$26)</f>
        <v>3471428.5714285714</v>
      </c>
      <c r="AB102" s="168">
        <f>(Z$56/$N$26)</f>
        <v>3471428.5714285714</v>
      </c>
      <c r="AE102" s="199"/>
      <c r="AG102" s="159"/>
      <c r="AH102" s="159"/>
      <c r="AI102" s="159"/>
      <c r="AJ102" s="159"/>
    </row>
    <row r="103" spans="2:36" ht="13.5" hidden="1" thickBot="1" x14ac:dyDescent="0.4">
      <c r="V103" s="219" t="s">
        <v>549</v>
      </c>
      <c r="W103" s="156" t="s">
        <v>531</v>
      </c>
      <c r="X103" s="308" t="s">
        <v>273</v>
      </c>
      <c r="Y103" s="168">
        <f>(Y$40/$N$30)</f>
        <v>6300000</v>
      </c>
      <c r="Z103" s="168">
        <f>(Z$40/$N$30)</f>
        <v>6300000</v>
      </c>
      <c r="AA103" s="168">
        <f t="shared" ref="AA103:AB103" si="42">(AA$40/$N$30)</f>
        <v>5040000</v>
      </c>
      <c r="AB103" s="168">
        <f t="shared" si="42"/>
        <v>4032000</v>
      </c>
      <c r="AE103" s="199"/>
      <c r="AG103" s="159"/>
      <c r="AH103" s="159"/>
      <c r="AI103" s="159"/>
      <c r="AJ103" s="159"/>
    </row>
    <row r="104" spans="2:36" ht="13.5" hidden="1" thickBot="1" x14ac:dyDescent="0.4">
      <c r="V104" s="219" t="s">
        <v>550</v>
      </c>
      <c r="W104" s="156" t="s">
        <v>512</v>
      </c>
      <c r="X104" s="308" t="s">
        <v>273</v>
      </c>
      <c r="Y104" s="168">
        <f>(Y$58/$N$32)</f>
        <v>450000</v>
      </c>
      <c r="Z104" s="168">
        <f>(Z$58/$N$32)</f>
        <v>450000</v>
      </c>
      <c r="AA104" s="168">
        <f>(AA$58/$N$32)</f>
        <v>0</v>
      </c>
      <c r="AB104" s="168">
        <f>(AB$58/$N$32)</f>
        <v>0</v>
      </c>
      <c r="AE104" s="199"/>
      <c r="AG104" s="159"/>
      <c r="AH104" s="159"/>
      <c r="AI104" s="159"/>
      <c r="AJ104" s="159"/>
    </row>
    <row r="105" spans="2:36" ht="13.5" hidden="1" thickBot="1" x14ac:dyDescent="0.4">
      <c r="V105" s="219" t="s">
        <v>551</v>
      </c>
      <c r="W105" s="156" t="s">
        <v>513</v>
      </c>
      <c r="X105" s="308" t="s">
        <v>273</v>
      </c>
      <c r="Y105" s="168">
        <v>500000</v>
      </c>
      <c r="Z105" s="168">
        <v>500000</v>
      </c>
      <c r="AA105" s="173">
        <v>0</v>
      </c>
      <c r="AB105" s="173">
        <v>0</v>
      </c>
      <c r="AE105" s="199"/>
      <c r="AG105" s="159"/>
      <c r="AH105" s="159"/>
      <c r="AI105" s="159"/>
      <c r="AJ105" s="159"/>
    </row>
    <row r="106" spans="2:36" ht="13.5" hidden="1" thickBot="1" x14ac:dyDescent="0.4">
      <c r="V106" s="219" t="s">
        <v>552</v>
      </c>
      <c r="W106" s="156" t="s">
        <v>520</v>
      </c>
      <c r="X106" s="308" t="s">
        <v>273</v>
      </c>
      <c r="Y106" s="168">
        <v>500000</v>
      </c>
      <c r="Z106" s="168">
        <v>500000</v>
      </c>
      <c r="AA106" s="173">
        <v>0</v>
      </c>
      <c r="AB106" s="173">
        <v>0</v>
      </c>
      <c r="AE106" s="199"/>
      <c r="AG106" s="159"/>
      <c r="AH106" s="159"/>
      <c r="AI106" s="159"/>
      <c r="AJ106" s="159"/>
    </row>
    <row r="107" spans="2:36" ht="16" thickBot="1" x14ac:dyDescent="0.4">
      <c r="V107" s="382" t="s">
        <v>352</v>
      </c>
      <c r="W107" s="383" t="s">
        <v>471</v>
      </c>
      <c r="X107" s="384" t="s">
        <v>273</v>
      </c>
      <c r="Y107" s="385">
        <f>SUM(Y101:Y106)</f>
        <v>12475595.238095239</v>
      </c>
      <c r="Z107" s="385">
        <f>SUM(Z101:Z106)</f>
        <v>12475595.238095239</v>
      </c>
      <c r="AA107" s="386">
        <f t="shared" ref="AA107:AD107" si="43">SUM(AA101:AA106)</f>
        <v>9765595.2380952388</v>
      </c>
      <c r="AB107" s="386">
        <f t="shared" si="43"/>
        <v>8757595.2380952388</v>
      </c>
      <c r="AC107" s="385">
        <f t="shared" si="43"/>
        <v>0</v>
      </c>
      <c r="AD107" s="385">
        <f t="shared" si="43"/>
        <v>0</v>
      </c>
      <c r="AE107" s="387"/>
      <c r="AG107" s="159">
        <f>Y107/Cr</f>
        <v>1.2475595238095238</v>
      </c>
      <c r="AH107" s="159">
        <f>Z107/Cr</f>
        <v>1.2475595238095238</v>
      </c>
      <c r="AI107" s="159">
        <f>AA107/Cr</f>
        <v>0.97655952380952393</v>
      </c>
      <c r="AJ107" s="159">
        <f>AB107/Cr</f>
        <v>0.87575952380952393</v>
      </c>
    </row>
    <row r="108" spans="2:36" ht="13.5" hidden="1" thickBot="1" x14ac:dyDescent="0.4">
      <c r="V108" s="388" t="s">
        <v>353</v>
      </c>
      <c r="W108" s="389" t="s">
        <v>472</v>
      </c>
      <c r="X108" s="390" t="s">
        <v>273</v>
      </c>
      <c r="Y108" s="391">
        <f>(Y$51/$Y$43)</f>
        <v>1254166.6666666667</v>
      </c>
      <c r="Z108" s="391">
        <f t="shared" ref="Z108:AB108" si="44">(Z$51/$Y$43)</f>
        <v>1254166.6666666667</v>
      </c>
      <c r="AA108" s="391">
        <f t="shared" si="44"/>
        <v>836111.11111111101</v>
      </c>
      <c r="AB108" s="391">
        <f t="shared" si="44"/>
        <v>418055.55555555545</v>
      </c>
      <c r="AC108" s="392"/>
      <c r="AD108" s="392"/>
      <c r="AE108" s="393"/>
      <c r="AG108" s="159"/>
      <c r="AH108" s="159"/>
      <c r="AI108" s="159"/>
      <c r="AJ108" s="159"/>
    </row>
    <row r="109" spans="2:36" ht="13.5" hidden="1" thickBot="1" x14ac:dyDescent="0.4">
      <c r="V109" s="394" t="s">
        <v>553</v>
      </c>
      <c r="W109" s="395" t="s">
        <v>473</v>
      </c>
      <c r="X109" s="396" t="s">
        <v>273</v>
      </c>
      <c r="Y109" s="397">
        <f>(Y$63/$N$29)</f>
        <v>6601250</v>
      </c>
      <c r="Z109" s="397">
        <f t="shared" ref="Z109:AB109" si="45">(Z$63/$N$29)</f>
        <v>6616300</v>
      </c>
      <c r="AA109" s="397">
        <f t="shared" si="45"/>
        <v>4602857.1428571437</v>
      </c>
      <c r="AB109" s="397">
        <f t="shared" si="45"/>
        <v>3751714.2857142859</v>
      </c>
      <c r="AC109" s="398"/>
      <c r="AD109" s="398"/>
      <c r="AE109" s="399"/>
      <c r="AG109" s="159"/>
      <c r="AH109" s="159"/>
      <c r="AI109" s="159"/>
      <c r="AJ109" s="159"/>
    </row>
    <row r="110" spans="2:36" ht="13.5" hidden="1" thickBot="1" x14ac:dyDescent="0.4">
      <c r="V110" s="394" t="s">
        <v>554</v>
      </c>
      <c r="W110" s="395" t="s">
        <v>558</v>
      </c>
      <c r="X110" s="396" t="s">
        <v>273</v>
      </c>
      <c r="Y110" s="397">
        <f>(Y$40/$N$25)</f>
        <v>1575000</v>
      </c>
      <c r="Z110" s="397">
        <f t="shared" ref="Z110:AB110" si="46">(Z$40/$N$25)</f>
        <v>1575000</v>
      </c>
      <c r="AA110" s="397">
        <f t="shared" si="46"/>
        <v>1260000</v>
      </c>
      <c r="AB110" s="397">
        <f t="shared" si="46"/>
        <v>1008000</v>
      </c>
      <c r="AC110" s="398"/>
      <c r="AD110" s="398"/>
      <c r="AE110" s="399"/>
      <c r="AG110" s="159"/>
      <c r="AH110" s="159"/>
      <c r="AI110" s="159"/>
      <c r="AJ110" s="159"/>
    </row>
    <row r="111" spans="2:36" ht="13.5" hidden="1" thickBot="1" x14ac:dyDescent="0.4">
      <c r="V111" s="394" t="s">
        <v>555</v>
      </c>
      <c r="W111" s="395" t="s">
        <v>514</v>
      </c>
      <c r="X111" s="396" t="s">
        <v>273</v>
      </c>
      <c r="Y111" s="397">
        <f>(Y$58/$N$31)</f>
        <v>90000</v>
      </c>
      <c r="Z111" s="397">
        <f t="shared" ref="Z111:AB111" si="47">(Z$58/$N$31)</f>
        <v>90000</v>
      </c>
      <c r="AA111" s="397">
        <f t="shared" si="47"/>
        <v>0</v>
      </c>
      <c r="AB111" s="397">
        <f t="shared" si="47"/>
        <v>0</v>
      </c>
      <c r="AC111" s="398"/>
      <c r="AD111" s="398"/>
      <c r="AE111" s="399"/>
      <c r="AG111" s="159"/>
      <c r="AH111" s="159"/>
      <c r="AI111" s="159"/>
      <c r="AJ111" s="159"/>
    </row>
    <row r="112" spans="2:36" ht="13.5" hidden="1" thickBot="1" x14ac:dyDescent="0.4">
      <c r="V112" s="394" t="s">
        <v>556</v>
      </c>
      <c r="W112" s="395" t="s">
        <v>515</v>
      </c>
      <c r="X112" s="396" t="s">
        <v>273</v>
      </c>
      <c r="Y112" s="397">
        <f>(Y$59/$N$36)</f>
        <v>166666.66666666666</v>
      </c>
      <c r="Z112" s="397">
        <f t="shared" ref="Z112:AB112" si="48">(Z$59/$N$36)</f>
        <v>166666.66666666666</v>
      </c>
      <c r="AA112" s="397">
        <f t="shared" si="48"/>
        <v>0</v>
      </c>
      <c r="AB112" s="397">
        <f t="shared" si="48"/>
        <v>0</v>
      </c>
      <c r="AC112" s="398"/>
      <c r="AD112" s="398"/>
      <c r="AE112" s="399"/>
      <c r="AG112" s="159"/>
      <c r="AH112" s="159"/>
      <c r="AI112" s="159"/>
      <c r="AJ112" s="159"/>
    </row>
    <row r="113" spans="2:36" ht="13.5" hidden="1" thickBot="1" x14ac:dyDescent="0.4">
      <c r="V113" s="394" t="s">
        <v>557</v>
      </c>
      <c r="W113" s="395" t="s">
        <v>521</v>
      </c>
      <c r="X113" s="396" t="s">
        <v>273</v>
      </c>
      <c r="Y113" s="397">
        <f>(Y$60/$N$37)</f>
        <v>100000</v>
      </c>
      <c r="Z113" s="397">
        <f t="shared" ref="Z113:AB113" si="49">(Z$60/$N$37)</f>
        <v>100000</v>
      </c>
      <c r="AA113" s="397">
        <f t="shared" si="49"/>
        <v>0</v>
      </c>
      <c r="AB113" s="397">
        <f t="shared" si="49"/>
        <v>0</v>
      </c>
      <c r="AC113" s="398"/>
      <c r="AD113" s="398"/>
      <c r="AE113" s="399"/>
      <c r="AG113" s="159"/>
      <c r="AH113" s="159"/>
      <c r="AI113" s="159"/>
      <c r="AJ113" s="159"/>
    </row>
    <row r="114" spans="2:36" ht="16" thickBot="1" x14ac:dyDescent="0.4">
      <c r="V114" s="382" t="s">
        <v>353</v>
      </c>
      <c r="W114" s="383" t="s">
        <v>481</v>
      </c>
      <c r="X114" s="384" t="s">
        <v>273</v>
      </c>
      <c r="Y114" s="385">
        <f>SUM(Y108:Y113)</f>
        <v>9787083.333333334</v>
      </c>
      <c r="Z114" s="385">
        <f>SUM(Z108:Z113)</f>
        <v>9802133.333333334</v>
      </c>
      <c r="AA114" s="386">
        <f t="shared" ref="AA114:AD114" si="50">SUM(AA108:AA113)</f>
        <v>6698968.2539682547</v>
      </c>
      <c r="AB114" s="386">
        <f t="shared" si="50"/>
        <v>5177769.8412698414</v>
      </c>
      <c r="AC114" s="385">
        <f t="shared" si="50"/>
        <v>0</v>
      </c>
      <c r="AD114" s="385">
        <f t="shared" si="50"/>
        <v>0</v>
      </c>
      <c r="AE114" s="387"/>
      <c r="AG114" s="159">
        <f t="shared" ref="AG114:AJ119" si="51">Y114/Cr</f>
        <v>0.9787083333333334</v>
      </c>
      <c r="AH114" s="159">
        <f t="shared" si="51"/>
        <v>0.98021333333333338</v>
      </c>
      <c r="AI114" s="159">
        <f t="shared" si="51"/>
        <v>0.66989682539682549</v>
      </c>
      <c r="AJ114" s="159">
        <f t="shared" si="51"/>
        <v>0.51777698412698414</v>
      </c>
    </row>
    <row r="115" spans="2:36" ht="16" thickBot="1" x14ac:dyDescent="0.4">
      <c r="V115" s="406" t="s">
        <v>354</v>
      </c>
      <c r="W115" s="407" t="s">
        <v>346</v>
      </c>
      <c r="X115" s="408" t="s">
        <v>273</v>
      </c>
      <c r="Y115" s="409">
        <f>Y100-Y107-Y114</f>
        <v>203562261.42857143</v>
      </c>
      <c r="Z115" s="409">
        <f>Z100-Z107-Z114</f>
        <v>204476711.42857143</v>
      </c>
      <c r="AA115" s="410">
        <f>AA100-AA101-AA108</f>
        <v>282967037.79365075</v>
      </c>
      <c r="AB115" s="410">
        <f>AB100-AB101-AB108</f>
        <v>395224163.95813489</v>
      </c>
      <c r="AC115" s="411">
        <f>AC100-AC101-AC108</f>
        <v>445049170.49962002</v>
      </c>
      <c r="AD115" s="411">
        <f>AD100-AD101-AD108</f>
        <v>349250892.13110983</v>
      </c>
      <c r="AE115" s="412"/>
      <c r="AG115" s="159">
        <f t="shared" si="51"/>
        <v>20.356226142857142</v>
      </c>
      <c r="AH115" s="159">
        <f t="shared" si="51"/>
        <v>20.447671142857143</v>
      </c>
      <c r="AI115" s="159">
        <f t="shared" si="51"/>
        <v>28.296703779365075</v>
      </c>
      <c r="AJ115" s="159">
        <f t="shared" si="51"/>
        <v>39.522416395813487</v>
      </c>
    </row>
    <row r="116" spans="2:36" ht="16" thickBot="1" x14ac:dyDescent="0.4">
      <c r="V116" s="382" t="s">
        <v>355</v>
      </c>
      <c r="W116" s="383" t="s">
        <v>347</v>
      </c>
      <c r="X116" s="384" t="s">
        <v>273</v>
      </c>
      <c r="Y116" s="385">
        <f>$Y$107*$N$28</f>
        <v>1247559.523809524</v>
      </c>
      <c r="Z116" s="385">
        <f>$Y$107*$N$28</f>
        <v>1247559.523809524</v>
      </c>
      <c r="AA116" s="386">
        <f>$Y$107*$N$28</f>
        <v>1247559.523809524</v>
      </c>
      <c r="AB116" s="386">
        <f>$Y$107*$N$28</f>
        <v>1247559.523809524</v>
      </c>
      <c r="AC116" s="400"/>
      <c r="AD116" s="400"/>
      <c r="AE116" s="387"/>
      <c r="AG116" s="159">
        <f t="shared" si="51"/>
        <v>0.1247559523809524</v>
      </c>
      <c r="AH116" s="159">
        <f t="shared" si="51"/>
        <v>0.1247559523809524</v>
      </c>
      <c r="AI116" s="159">
        <f t="shared" si="51"/>
        <v>0.1247559523809524</v>
      </c>
      <c r="AJ116" s="159">
        <f t="shared" si="51"/>
        <v>0.1247559523809524</v>
      </c>
    </row>
    <row r="117" spans="2:36" ht="16" thickBot="1" x14ac:dyDescent="0.4">
      <c r="V117" s="406" t="s">
        <v>356</v>
      </c>
      <c r="W117" s="407" t="s">
        <v>348</v>
      </c>
      <c r="X117" s="408" t="s">
        <v>273</v>
      </c>
      <c r="Y117" s="409">
        <f>Y115-Y116</f>
        <v>202314701.90476191</v>
      </c>
      <c r="Z117" s="409">
        <f>Z115-Z116</f>
        <v>203229151.90476191</v>
      </c>
      <c r="AA117" s="410">
        <f t="shared" ref="AA117:AD117" si="52">AA115-AA116</f>
        <v>281719478.26984119</v>
      </c>
      <c r="AB117" s="410">
        <f t="shared" si="52"/>
        <v>393976604.43432534</v>
      </c>
      <c r="AC117" s="411">
        <f t="shared" si="52"/>
        <v>445049170.49962002</v>
      </c>
      <c r="AD117" s="411">
        <f t="shared" si="52"/>
        <v>349250892.13110983</v>
      </c>
      <c r="AE117" s="412"/>
      <c r="AG117" s="159">
        <f t="shared" si="51"/>
        <v>20.231470190476191</v>
      </c>
      <c r="AH117" s="159">
        <f t="shared" si="51"/>
        <v>20.322915190476191</v>
      </c>
      <c r="AI117" s="159">
        <f t="shared" si="51"/>
        <v>28.17194782698412</v>
      </c>
      <c r="AJ117" s="159">
        <f t="shared" si="51"/>
        <v>39.397660443432535</v>
      </c>
    </row>
    <row r="118" spans="2:36" ht="16" thickBot="1" x14ac:dyDescent="0.4">
      <c r="V118" s="382" t="s">
        <v>357</v>
      </c>
      <c r="W118" s="383" t="s">
        <v>349</v>
      </c>
      <c r="X118" s="384" t="s">
        <v>273</v>
      </c>
      <c r="Y118" s="385">
        <f>$Y$99*$N$20</f>
        <v>16892064</v>
      </c>
      <c r="Z118" s="385">
        <f>$Y$99*$N$20</f>
        <v>16892064</v>
      </c>
      <c r="AA118" s="386">
        <f>$Y$99*$N$20</f>
        <v>16892064</v>
      </c>
      <c r="AB118" s="386">
        <f>$Y$99*$N$20</f>
        <v>16892064</v>
      </c>
      <c r="AC118" s="400"/>
      <c r="AD118" s="400"/>
      <c r="AE118" s="387"/>
      <c r="AG118" s="159">
        <f t="shared" si="51"/>
        <v>1.6892064</v>
      </c>
      <c r="AH118" s="159">
        <f t="shared" si="51"/>
        <v>1.6892064</v>
      </c>
      <c r="AI118" s="159">
        <f t="shared" si="51"/>
        <v>1.6892064</v>
      </c>
      <c r="AJ118" s="159">
        <f t="shared" si="51"/>
        <v>1.6892064</v>
      </c>
    </row>
    <row r="119" spans="2:36" s="153" customFormat="1" ht="16" thickBot="1" x14ac:dyDescent="0.4">
      <c r="B119" s="306"/>
      <c r="C119" s="306"/>
      <c r="D119" s="306"/>
      <c r="E119" s="306"/>
      <c r="F119" s="306"/>
      <c r="G119" s="306"/>
      <c r="H119" s="306"/>
      <c r="I119" s="306"/>
      <c r="J119" s="306"/>
      <c r="K119" s="306"/>
      <c r="L119" s="306"/>
      <c r="M119" s="306"/>
      <c r="N119" s="306"/>
      <c r="O119" s="306"/>
      <c r="P119" s="306"/>
      <c r="Q119" s="306"/>
      <c r="R119" s="306"/>
      <c r="S119" s="306"/>
      <c r="T119" s="306"/>
      <c r="V119" s="406" t="s">
        <v>258</v>
      </c>
      <c r="W119" s="407" t="s">
        <v>350</v>
      </c>
      <c r="X119" s="408" t="s">
        <v>273</v>
      </c>
      <c r="Y119" s="409">
        <f>Y117-Y118</f>
        <v>185422637.90476191</v>
      </c>
      <c r="Z119" s="409">
        <f>Z117-Z118</f>
        <v>186337087.90476191</v>
      </c>
      <c r="AA119" s="410">
        <f t="shared" ref="AA119:AD119" si="53">AA117-AA118</f>
        <v>264827414.26984119</v>
      </c>
      <c r="AB119" s="410">
        <f t="shared" si="53"/>
        <v>377084540.43432534</v>
      </c>
      <c r="AC119" s="411">
        <f t="shared" si="53"/>
        <v>445049170.49962002</v>
      </c>
      <c r="AD119" s="411">
        <f t="shared" si="53"/>
        <v>349250892.13110983</v>
      </c>
      <c r="AE119" s="412"/>
      <c r="AG119" s="159">
        <f t="shared" si="51"/>
        <v>18.542263790476191</v>
      </c>
      <c r="AH119" s="159">
        <f t="shared" si="51"/>
        <v>18.633708790476192</v>
      </c>
      <c r="AI119" s="159">
        <f t="shared" si="51"/>
        <v>26.48274142698412</v>
      </c>
      <c r="AJ119" s="159">
        <f t="shared" si="51"/>
        <v>37.708454043432532</v>
      </c>
    </row>
    <row r="120" spans="2:36" ht="13.5" thickBot="1" x14ac:dyDescent="0.4"/>
    <row r="121" spans="2:36" ht="15.5" x14ac:dyDescent="0.35">
      <c r="V121" s="192" t="s">
        <v>345</v>
      </c>
      <c r="W121" s="193" t="s">
        <v>559</v>
      </c>
      <c r="X121" s="296" t="s">
        <v>273</v>
      </c>
      <c r="Y121" s="297">
        <f>Y98-Y82-Y62</f>
        <v>23735004</v>
      </c>
      <c r="Z121" s="297">
        <f>Z98-Z82-Z62</f>
        <v>24815004</v>
      </c>
      <c r="AA121" s="297">
        <f>AA98-AA82-AA62</f>
        <v>36539208.485714287</v>
      </c>
      <c r="AB121" s="297">
        <f>AB98-AB82-AB62</f>
        <v>50912415.178112246</v>
      </c>
      <c r="AC121" s="297"/>
      <c r="AD121" s="297"/>
      <c r="AE121" s="298"/>
    </row>
    <row r="122" spans="2:36" x14ac:dyDescent="0.35">
      <c r="V122" s="246" t="s">
        <v>352</v>
      </c>
      <c r="W122" s="247" t="s">
        <v>467</v>
      </c>
      <c r="X122" s="248" t="s">
        <v>273</v>
      </c>
      <c r="Y122" s="293">
        <f>(Y$50/Y$43)</f>
        <v>200666.66666666666</v>
      </c>
      <c r="Z122" s="293">
        <f t="shared" ref="Z122:AB122" si="54">(Z$50/Z$43)</f>
        <v>200666.66666666666</v>
      </c>
      <c r="AA122" s="293">
        <f t="shared" si="54"/>
        <v>133777.77777777778</v>
      </c>
      <c r="AB122" s="293">
        <f t="shared" si="54"/>
        <v>89185.185185185212</v>
      </c>
      <c r="AC122" s="281"/>
      <c r="AD122" s="281"/>
      <c r="AE122" s="250"/>
    </row>
    <row r="123" spans="2:36" x14ac:dyDescent="0.35">
      <c r="V123" s="219" t="s">
        <v>548</v>
      </c>
      <c r="W123" s="156" t="s">
        <v>468</v>
      </c>
      <c r="X123" s="308" t="s">
        <v>273</v>
      </c>
      <c r="Y123" s="168">
        <f>(Y55/$N$26)</f>
        <v>385714.28571428574</v>
      </c>
      <c r="Z123" s="168">
        <f>(Z55/$N$26)</f>
        <v>385714.28571428574</v>
      </c>
      <c r="AA123" s="168">
        <f>(AA55/$N$26)</f>
        <v>330612.24489795917</v>
      </c>
      <c r="AB123" s="168">
        <f>(AB55/$N$26)</f>
        <v>283381.92419825069</v>
      </c>
      <c r="AE123" s="199"/>
    </row>
    <row r="124" spans="2:36" x14ac:dyDescent="0.35">
      <c r="V124" s="219" t="s">
        <v>549</v>
      </c>
      <c r="W124" s="156" t="s">
        <v>531</v>
      </c>
      <c r="X124" s="308" t="s">
        <v>273</v>
      </c>
      <c r="Y124" s="168">
        <f>(Y$38/$N$30)</f>
        <v>700000</v>
      </c>
      <c r="Z124" s="168">
        <f t="shared" ref="Z124:AB124" si="55">(Z$38/$N$30)</f>
        <v>700000</v>
      </c>
      <c r="AA124" s="168">
        <f t="shared" si="55"/>
        <v>560000</v>
      </c>
      <c r="AB124" s="168">
        <f t="shared" si="55"/>
        <v>448000</v>
      </c>
      <c r="AE124" s="199"/>
    </row>
    <row r="125" spans="2:36" x14ac:dyDescent="0.35">
      <c r="V125" s="219" t="s">
        <v>550</v>
      </c>
      <c r="W125" s="156" t="s">
        <v>512</v>
      </c>
      <c r="X125" s="308" t="s">
        <v>273</v>
      </c>
      <c r="Y125" s="168">
        <f>(Y$57/$N$32)</f>
        <v>50000</v>
      </c>
      <c r="Z125" s="168">
        <f t="shared" ref="Z125:AB125" si="56">(Z$57/$N$32)</f>
        <v>50000</v>
      </c>
      <c r="AA125" s="168">
        <f t="shared" si="56"/>
        <v>0</v>
      </c>
      <c r="AB125" s="168">
        <f t="shared" si="56"/>
        <v>0</v>
      </c>
      <c r="AE125" s="199"/>
    </row>
    <row r="126" spans="2:36" x14ac:dyDescent="0.35">
      <c r="V126" s="219" t="s">
        <v>551</v>
      </c>
      <c r="W126" s="156" t="s">
        <v>513</v>
      </c>
      <c r="X126" s="308" t="s">
        <v>273</v>
      </c>
      <c r="Y126" s="168">
        <v>500000</v>
      </c>
      <c r="Z126" s="168">
        <v>500000</v>
      </c>
      <c r="AA126" s="173">
        <v>0</v>
      </c>
      <c r="AB126" s="173">
        <v>0</v>
      </c>
      <c r="AE126" s="199"/>
    </row>
    <row r="127" spans="2:36" ht="13.5" thickBot="1" x14ac:dyDescent="0.4">
      <c r="V127" s="219" t="s">
        <v>552</v>
      </c>
      <c r="W127" s="156" t="s">
        <v>520</v>
      </c>
      <c r="X127" s="308" t="s">
        <v>273</v>
      </c>
      <c r="Y127" s="168">
        <v>500000</v>
      </c>
      <c r="Z127" s="168">
        <v>500000</v>
      </c>
      <c r="AA127" s="173">
        <v>0</v>
      </c>
      <c r="AB127" s="173">
        <v>0</v>
      </c>
      <c r="AE127" s="199"/>
    </row>
    <row r="128" spans="2:36" ht="16" thickBot="1" x14ac:dyDescent="0.4">
      <c r="V128" s="299" t="s">
        <v>352</v>
      </c>
      <c r="W128" s="300" t="s">
        <v>471</v>
      </c>
      <c r="X128" s="301" t="s">
        <v>273</v>
      </c>
      <c r="Y128" s="302">
        <f>SUM(Y122:Y127)</f>
        <v>2336380.9523809524</v>
      </c>
      <c r="Z128" s="302">
        <f t="shared" ref="Z128:AB128" si="57">SUM(Z122:Z127)</f>
        <v>2336380.9523809524</v>
      </c>
      <c r="AA128" s="302">
        <f t="shared" si="57"/>
        <v>1024390.0226757369</v>
      </c>
      <c r="AB128" s="302">
        <f t="shared" si="57"/>
        <v>820567.10938343592</v>
      </c>
      <c r="AC128" s="302"/>
      <c r="AD128" s="302"/>
      <c r="AE128" s="303"/>
    </row>
    <row r="129" spans="22:31" x14ac:dyDescent="0.35">
      <c r="V129" s="246" t="s">
        <v>353</v>
      </c>
      <c r="W129" s="247" t="s">
        <v>472</v>
      </c>
      <c r="X129" s="248" t="s">
        <v>273</v>
      </c>
      <c r="Y129" s="293">
        <f>(Y$50/$Y$43)</f>
        <v>200666.66666666666</v>
      </c>
      <c r="Z129" s="293">
        <f t="shared" ref="Z129:AB129" si="58">(Z$50/$Y$43)</f>
        <v>200666.66666666666</v>
      </c>
      <c r="AA129" s="293">
        <f t="shared" si="58"/>
        <v>133777.77777777778</v>
      </c>
      <c r="AB129" s="293">
        <f t="shared" si="58"/>
        <v>89185.185185185212</v>
      </c>
      <c r="AC129" s="281"/>
      <c r="AD129" s="281"/>
      <c r="AE129" s="250"/>
    </row>
    <row r="130" spans="22:31" x14ac:dyDescent="0.35">
      <c r="V130" s="219" t="s">
        <v>553</v>
      </c>
      <c r="W130" s="156" t="s">
        <v>473</v>
      </c>
      <c r="X130" s="308" t="s">
        <v>273</v>
      </c>
      <c r="Y130" s="168">
        <f>(Y$62/$N$29)</f>
        <v>1200250</v>
      </c>
      <c r="Z130" s="168">
        <f t="shared" ref="Z130:AB130" si="59">(Z$62/$N$29)</f>
        <v>1200250</v>
      </c>
      <c r="AA130" s="168">
        <f t="shared" si="59"/>
        <v>511428.57142857148</v>
      </c>
      <c r="AB130" s="168">
        <f t="shared" si="59"/>
        <v>422367.3469387755</v>
      </c>
      <c r="AE130" s="199"/>
    </row>
    <row r="131" spans="22:31" x14ac:dyDescent="0.35">
      <c r="V131" s="219" t="s">
        <v>554</v>
      </c>
      <c r="W131" s="156" t="s">
        <v>558</v>
      </c>
      <c r="X131" s="308" t="s">
        <v>273</v>
      </c>
      <c r="Y131" s="168">
        <f>(Y$38/$N$25)</f>
        <v>175000</v>
      </c>
      <c r="Z131" s="168">
        <f t="shared" ref="Z131:AB131" si="60">(Z$38/$N$25)</f>
        <v>175000</v>
      </c>
      <c r="AA131" s="168">
        <f t="shared" si="60"/>
        <v>140000</v>
      </c>
      <c r="AB131" s="168">
        <f t="shared" si="60"/>
        <v>112000</v>
      </c>
      <c r="AE131" s="199"/>
    </row>
    <row r="132" spans="22:31" x14ac:dyDescent="0.35">
      <c r="V132" s="219" t="s">
        <v>555</v>
      </c>
      <c r="W132" s="156" t="s">
        <v>514</v>
      </c>
      <c r="X132" s="308" t="s">
        <v>273</v>
      </c>
      <c r="Y132" s="168">
        <f>(Y$57/$N$31)</f>
        <v>10000</v>
      </c>
      <c r="Z132" s="168">
        <f t="shared" ref="Z132:AB132" si="61">(Z$57/$N$31)</f>
        <v>10000</v>
      </c>
      <c r="AA132" s="168">
        <f t="shared" si="61"/>
        <v>0</v>
      </c>
      <c r="AB132" s="168">
        <f t="shared" si="61"/>
        <v>0</v>
      </c>
      <c r="AE132" s="199"/>
    </row>
    <row r="133" spans="22:31" x14ac:dyDescent="0.35">
      <c r="V133" s="219" t="s">
        <v>556</v>
      </c>
      <c r="W133" s="156" t="s">
        <v>515</v>
      </c>
      <c r="X133" s="308" t="s">
        <v>273</v>
      </c>
      <c r="Y133" s="168">
        <v>0</v>
      </c>
      <c r="Z133" s="168">
        <v>0</v>
      </c>
      <c r="AA133" s="173">
        <v>0</v>
      </c>
      <c r="AB133" s="173">
        <v>0</v>
      </c>
      <c r="AE133" s="199"/>
    </row>
    <row r="134" spans="22:31" ht="13.5" thickBot="1" x14ac:dyDescent="0.4">
      <c r="V134" s="219" t="s">
        <v>557</v>
      </c>
      <c r="W134" s="156" t="s">
        <v>521</v>
      </c>
      <c r="X134" s="308" t="s">
        <v>273</v>
      </c>
      <c r="Y134" s="168">
        <v>0</v>
      </c>
      <c r="Z134" s="168">
        <v>0</v>
      </c>
      <c r="AA134" s="173">
        <v>0</v>
      </c>
      <c r="AB134" s="173">
        <v>0</v>
      </c>
      <c r="AE134" s="199"/>
    </row>
    <row r="135" spans="22:31" ht="16" thickBot="1" x14ac:dyDescent="0.4">
      <c r="V135" s="299" t="s">
        <v>353</v>
      </c>
      <c r="W135" s="300" t="s">
        <v>481</v>
      </c>
      <c r="X135" s="301" t="s">
        <v>273</v>
      </c>
      <c r="Y135" s="302">
        <f>SUM(Y129:Y134)</f>
        <v>1585916.6666666667</v>
      </c>
      <c r="Z135" s="302">
        <f t="shared" ref="Z135:AB135" si="62">SUM(Z129:Z134)</f>
        <v>1585916.6666666667</v>
      </c>
      <c r="AA135" s="302">
        <f t="shared" si="62"/>
        <v>785206.34920634923</v>
      </c>
      <c r="AB135" s="302">
        <f t="shared" si="62"/>
        <v>623552.53212396079</v>
      </c>
      <c r="AC135" s="302"/>
      <c r="AD135" s="302"/>
      <c r="AE135" s="303"/>
    </row>
    <row r="136" spans="22:31" ht="16" thickBot="1" x14ac:dyDescent="0.4">
      <c r="V136" s="299" t="s">
        <v>354</v>
      </c>
      <c r="W136" s="300" t="s">
        <v>346</v>
      </c>
      <c r="X136" s="301" t="s">
        <v>273</v>
      </c>
      <c r="Y136" s="302">
        <f>Y98-Y128-Y135</f>
        <v>41123206.380952381</v>
      </c>
      <c r="Z136" s="302">
        <f t="shared" ref="Z136:AB136" si="63">Z98-Z128-Z135</f>
        <v>41123206.380952381</v>
      </c>
      <c r="AA136" s="302">
        <f t="shared" si="63"/>
        <v>49637110.828117914</v>
      </c>
      <c r="AB136" s="302">
        <f t="shared" si="63"/>
        <v>65436599.718492605</v>
      </c>
      <c r="AC136" s="304"/>
      <c r="AD136" s="304"/>
      <c r="AE136" s="303"/>
    </row>
    <row r="137" spans="22:31" ht="16" thickBot="1" x14ac:dyDescent="0.4">
      <c r="V137" s="299" t="s">
        <v>355</v>
      </c>
      <c r="W137" s="300" t="s">
        <v>347</v>
      </c>
      <c r="X137" s="301" t="s">
        <v>273</v>
      </c>
      <c r="Y137" s="302">
        <f>Y$128*$N$28</f>
        <v>233638.09523809527</v>
      </c>
      <c r="Z137" s="302">
        <f>Z$128*$N$28</f>
        <v>233638.09523809527</v>
      </c>
      <c r="AA137" s="302">
        <f>AA$128*$N$28</f>
        <v>102439.0022675737</v>
      </c>
      <c r="AB137" s="302">
        <f>AB$128*$N$28</f>
        <v>82056.710938343604</v>
      </c>
      <c r="AC137" s="304"/>
      <c r="AD137" s="304"/>
      <c r="AE137" s="303"/>
    </row>
    <row r="138" spans="22:31" ht="16" thickBot="1" x14ac:dyDescent="0.4">
      <c r="V138" s="299" t="s">
        <v>356</v>
      </c>
      <c r="W138" s="300" t="s">
        <v>348</v>
      </c>
      <c r="X138" s="301" t="s">
        <v>273</v>
      </c>
      <c r="Y138" s="302">
        <f>Y136-Y137</f>
        <v>40889568.285714284</v>
      </c>
      <c r="Z138" s="302">
        <f t="shared" ref="Z138:AB138" si="64">Z136-Z137</f>
        <v>40889568.285714284</v>
      </c>
      <c r="AA138" s="302">
        <f t="shared" si="64"/>
        <v>49534671.825850338</v>
      </c>
      <c r="AB138" s="302">
        <f t="shared" si="64"/>
        <v>65354543.007554263</v>
      </c>
      <c r="AC138" s="304"/>
      <c r="AD138" s="304"/>
      <c r="AE138" s="303"/>
    </row>
    <row r="139" spans="22:31" ht="16" thickBot="1" x14ac:dyDescent="0.4">
      <c r="V139" s="299" t="s">
        <v>357</v>
      </c>
      <c r="W139" s="300" t="s">
        <v>349</v>
      </c>
      <c r="X139" s="301" t="s">
        <v>273</v>
      </c>
      <c r="Y139" s="302">
        <f>Y$98*$N$20</f>
        <v>2252275.2000000002</v>
      </c>
      <c r="Z139" s="302">
        <f>Z$98*$N$20</f>
        <v>2252275.2000000002</v>
      </c>
      <c r="AA139" s="302">
        <f>AA$98*$N$20</f>
        <v>2572335.3600000003</v>
      </c>
      <c r="AB139" s="302">
        <f>AB$98*$N$20</f>
        <v>3344035.9680000003</v>
      </c>
      <c r="AC139" s="304"/>
      <c r="AD139" s="304"/>
      <c r="AE139" s="303"/>
    </row>
    <row r="140" spans="22:31" ht="16" thickBot="1" x14ac:dyDescent="0.4">
      <c r="V140" s="299" t="s">
        <v>258</v>
      </c>
      <c r="W140" s="300" t="s">
        <v>350</v>
      </c>
      <c r="X140" s="301" t="s">
        <v>273</v>
      </c>
      <c r="Y140" s="302">
        <f>Y138-Y139</f>
        <v>38637293.085714281</v>
      </c>
      <c r="Z140" s="302">
        <f t="shared" ref="Z140:AB140" si="65">Z138-Z139</f>
        <v>38637293.085714281</v>
      </c>
      <c r="AA140" s="302">
        <f t="shared" si="65"/>
        <v>46962336.465850338</v>
      </c>
      <c r="AB140" s="302">
        <f t="shared" si="65"/>
        <v>62010507.039554261</v>
      </c>
      <c r="AC140" s="304"/>
      <c r="AD140" s="304"/>
      <c r="AE140" s="303"/>
    </row>
  </sheetData>
  <mergeCells count="16">
    <mergeCell ref="F16:G16"/>
    <mergeCell ref="B1:C1"/>
    <mergeCell ref="V3:AE3"/>
    <mergeCell ref="X4:Y4"/>
    <mergeCell ref="Z4:AD4"/>
    <mergeCell ref="B14:C14"/>
    <mergeCell ref="F24:G24"/>
    <mergeCell ref="F25:G25"/>
    <mergeCell ref="B28:C28"/>
    <mergeCell ref="F28:G28"/>
    <mergeCell ref="F17:G17"/>
    <mergeCell ref="F18:G18"/>
    <mergeCell ref="F19:G19"/>
    <mergeCell ref="F20:G20"/>
    <mergeCell ref="F21:G21"/>
    <mergeCell ref="F23:G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10CB-9569-4255-94CB-3B5D200DBE0E}">
  <dimension ref="A2:E11"/>
  <sheetViews>
    <sheetView workbookViewId="0">
      <selection activeCell="Y125" sqref="Y125"/>
    </sheetView>
  </sheetViews>
  <sheetFormatPr defaultColWidth="8.81640625" defaultRowHeight="14.5" x14ac:dyDescent="0.35"/>
  <cols>
    <col min="1" max="1" width="6.453125" style="45" bestFit="1" customWidth="1"/>
    <col min="2" max="2" width="65.08984375" style="47" bestFit="1" customWidth="1"/>
    <col min="3" max="3" width="19.36328125" style="47" bestFit="1" customWidth="1"/>
    <col min="4" max="4" width="18.81640625" style="47" bestFit="1" customWidth="1"/>
    <col min="5" max="8" width="8.81640625" style="47"/>
    <col min="9" max="9" width="12.1796875" style="47" bestFit="1" customWidth="1"/>
    <col min="10" max="16384" width="8.81640625" style="47"/>
  </cols>
  <sheetData>
    <row r="2" spans="1:5" ht="18.5" x14ac:dyDescent="0.35">
      <c r="A2" s="420" t="s">
        <v>186</v>
      </c>
      <c r="B2" s="420" t="s">
        <v>582</v>
      </c>
      <c r="C2" s="420" t="s">
        <v>584</v>
      </c>
      <c r="D2" s="420" t="s">
        <v>585</v>
      </c>
    </row>
    <row r="3" spans="1:5" x14ac:dyDescent="0.35">
      <c r="A3" s="45">
        <v>1</v>
      </c>
      <c r="B3" s="113" t="s">
        <v>573</v>
      </c>
      <c r="C3" s="113" t="s">
        <v>577</v>
      </c>
      <c r="E3" s="47" t="s">
        <v>593</v>
      </c>
    </row>
    <row r="4" spans="1:5" x14ac:dyDescent="0.35">
      <c r="A4" s="45">
        <v>2</v>
      </c>
      <c r="B4" s="113" t="s">
        <v>574</v>
      </c>
      <c r="C4" s="113" t="s">
        <v>577</v>
      </c>
      <c r="E4" s="47" t="s">
        <v>593</v>
      </c>
    </row>
    <row r="5" spans="1:5" x14ac:dyDescent="0.35">
      <c r="A5" s="45">
        <v>3</v>
      </c>
      <c r="B5" s="113" t="s">
        <v>575</v>
      </c>
      <c r="C5" s="113" t="s">
        <v>577</v>
      </c>
      <c r="D5" s="419">
        <v>0.28000000000000003</v>
      </c>
      <c r="E5" s="47" t="s">
        <v>593</v>
      </c>
    </row>
    <row r="6" spans="1:5" ht="29" x14ac:dyDescent="0.35">
      <c r="A6" s="45">
        <v>4</v>
      </c>
      <c r="B6" s="49" t="s">
        <v>576</v>
      </c>
      <c r="C6" s="49" t="s">
        <v>583</v>
      </c>
      <c r="E6" s="47" t="s">
        <v>257</v>
      </c>
    </row>
    <row r="7" spans="1:5" x14ac:dyDescent="0.35">
      <c r="A7" s="45">
        <v>5</v>
      </c>
      <c r="B7" s="47" t="s">
        <v>586</v>
      </c>
      <c r="C7" s="49" t="s">
        <v>583</v>
      </c>
      <c r="E7" s="47" t="s">
        <v>257</v>
      </c>
    </row>
    <row r="8" spans="1:5" x14ac:dyDescent="0.35">
      <c r="A8" s="45">
        <v>6</v>
      </c>
      <c r="B8" s="113" t="s">
        <v>578</v>
      </c>
      <c r="C8" s="113" t="s">
        <v>577</v>
      </c>
      <c r="E8" s="47" t="s">
        <v>593</v>
      </c>
    </row>
    <row r="9" spans="1:5" x14ac:dyDescent="0.35">
      <c r="A9" s="45">
        <v>7</v>
      </c>
      <c r="B9" s="113" t="s">
        <v>579</v>
      </c>
      <c r="C9" s="113" t="s">
        <v>577</v>
      </c>
      <c r="E9" s="47" t="s">
        <v>593</v>
      </c>
    </row>
    <row r="10" spans="1:5" ht="29" x14ac:dyDescent="0.35">
      <c r="A10" s="45">
        <v>8</v>
      </c>
      <c r="B10" s="49" t="s">
        <v>580</v>
      </c>
      <c r="C10" s="49" t="s">
        <v>583</v>
      </c>
      <c r="E10" s="47" t="s">
        <v>593</v>
      </c>
    </row>
    <row r="11" spans="1:5" x14ac:dyDescent="0.35">
      <c r="A11" s="45">
        <v>9</v>
      </c>
      <c r="B11" s="113" t="s">
        <v>581</v>
      </c>
      <c r="C11" s="113" t="s">
        <v>577</v>
      </c>
      <c r="E11" s="47" t="s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OPS &amp; Business</vt:lpstr>
      <vt:lpstr>Cost &amp; Income</vt:lpstr>
      <vt:lpstr>Deepak's PoD</vt:lpstr>
      <vt:lpstr>Working_1</vt:lpstr>
      <vt:lpstr>Working_2</vt:lpstr>
      <vt:lpstr>WORK SHEET FINAL</vt:lpstr>
      <vt:lpstr>Working_2 (2)</vt:lpstr>
      <vt:lpstr>TO DO</vt:lpstr>
      <vt:lpstr>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2022-10-31T13:22:15Z</dcterms:created>
  <dcterms:modified xsi:type="dcterms:W3CDTF">2022-11-25T14:43:06Z</dcterms:modified>
</cp:coreProperties>
</file>